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showInkAnnotation="0"/>
  <mc:AlternateContent xmlns:mc="http://schemas.openxmlformats.org/markup-compatibility/2006">
    <mc:Choice Requires="x15">
      <x15ac:absPath xmlns:x15ac="http://schemas.microsoft.com/office/spreadsheetml/2010/11/ac" url="D:\Stryker\Smart Medic\"/>
    </mc:Choice>
  </mc:AlternateContent>
  <bookViews>
    <workbookView xWindow="0" yWindow="0" windowWidth="24000" windowHeight="8910" tabRatio="891"/>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44" i="12" l="1"/>
  <c r="E144" i="12"/>
  <c r="G144" i="12"/>
  <c r="R144" i="12"/>
  <c r="S144" i="12"/>
  <c r="T144" i="12"/>
  <c r="W144" i="12"/>
  <c r="AK144" i="12"/>
  <c r="AL144" i="12"/>
  <c r="AM144" i="12"/>
  <c r="AO144" i="12" s="1"/>
  <c r="AP144" i="12" s="1"/>
  <c r="AN144" i="12"/>
  <c r="C143" i="12"/>
  <c r="E143" i="12"/>
  <c r="G143" i="12"/>
  <c r="R143" i="12"/>
  <c r="S143" i="12"/>
  <c r="T143" i="12"/>
  <c r="W143" i="12"/>
  <c r="AK143" i="12"/>
  <c r="AL143" i="12"/>
  <c r="AM143" i="12"/>
  <c r="AO143" i="12" s="1"/>
  <c r="AP143" i="12" s="1"/>
  <c r="C142" i="12"/>
  <c r="E142" i="12"/>
  <c r="G142" i="12"/>
  <c r="R142" i="12"/>
  <c r="S142" i="12"/>
  <c r="T142" i="12"/>
  <c r="W142" i="12"/>
  <c r="AK142" i="12"/>
  <c r="AL142" i="12"/>
  <c r="AM142" i="12"/>
  <c r="AN142" i="12" s="1"/>
  <c r="C141" i="12"/>
  <c r="E141" i="12"/>
  <c r="G141" i="12"/>
  <c r="R141" i="12"/>
  <c r="S141" i="12"/>
  <c r="T141" i="12"/>
  <c r="W141" i="12"/>
  <c r="AK141" i="12"/>
  <c r="AL141" i="12"/>
  <c r="AM141" i="12"/>
  <c r="AO141" i="12" s="1"/>
  <c r="AP141" i="12" s="1"/>
  <c r="C140" i="12"/>
  <c r="E140" i="12"/>
  <c r="G140" i="12"/>
  <c r="R140" i="12"/>
  <c r="S140" i="12"/>
  <c r="T140" i="12"/>
  <c r="W140" i="12"/>
  <c r="AK140" i="12"/>
  <c r="AL140" i="12"/>
  <c r="AM140" i="12"/>
  <c r="AN140" i="12" s="1"/>
  <c r="C139" i="12"/>
  <c r="E139" i="12"/>
  <c r="G139" i="12"/>
  <c r="R139" i="12"/>
  <c r="S139" i="12"/>
  <c r="T139" i="12"/>
  <c r="W139" i="12"/>
  <c r="AK139" i="12"/>
  <c r="AL139" i="12"/>
  <c r="AM139" i="12"/>
  <c r="AN139" i="12" s="1"/>
  <c r="C138" i="12"/>
  <c r="E138" i="12"/>
  <c r="G138" i="12"/>
  <c r="R138" i="12"/>
  <c r="S138" i="12"/>
  <c r="T138" i="12"/>
  <c r="W138" i="12"/>
  <c r="AK138" i="12"/>
  <c r="AL138" i="12"/>
  <c r="AM138" i="12"/>
  <c r="AO138" i="12" s="1"/>
  <c r="AP138" i="12" s="1"/>
  <c r="C137" i="12"/>
  <c r="E137" i="12"/>
  <c r="G137" i="12"/>
  <c r="R137" i="12"/>
  <c r="S137" i="12"/>
  <c r="T137" i="12"/>
  <c r="W137" i="12"/>
  <c r="AK137" i="12"/>
  <c r="AL137" i="12"/>
  <c r="AM137" i="12"/>
  <c r="AN137" i="12" s="1"/>
  <c r="C136" i="12"/>
  <c r="E136" i="12"/>
  <c r="G136" i="12"/>
  <c r="R136" i="12"/>
  <c r="S136" i="12"/>
  <c r="T136" i="12"/>
  <c r="W136" i="12"/>
  <c r="AK136" i="12"/>
  <c r="AL136" i="12"/>
  <c r="AM136" i="12"/>
  <c r="AN136" i="12" s="1"/>
  <c r="C135" i="12"/>
  <c r="E135" i="12"/>
  <c r="G135" i="12"/>
  <c r="R135" i="12"/>
  <c r="S135" i="12"/>
  <c r="T135" i="12"/>
  <c r="W135" i="12"/>
  <c r="AK135" i="12"/>
  <c r="AL135" i="12"/>
  <c r="AM135" i="12"/>
  <c r="AN135" i="12" s="1"/>
  <c r="C134" i="12"/>
  <c r="E134" i="12"/>
  <c r="G134" i="12"/>
  <c r="R134" i="12"/>
  <c r="S134" i="12"/>
  <c r="T134" i="12"/>
  <c r="W134" i="12"/>
  <c r="AK134" i="12"/>
  <c r="AL134" i="12"/>
  <c r="AM134" i="12"/>
  <c r="AN134" i="12" s="1"/>
  <c r="C133" i="12"/>
  <c r="E133" i="12"/>
  <c r="G133" i="12"/>
  <c r="R133" i="12"/>
  <c r="S133" i="12"/>
  <c r="T133" i="12"/>
  <c r="W133" i="12"/>
  <c r="AK133" i="12"/>
  <c r="AL133" i="12"/>
  <c r="AM133" i="12"/>
  <c r="AN133" i="12" s="1"/>
  <c r="C132" i="12"/>
  <c r="E132" i="12"/>
  <c r="G132" i="12"/>
  <c r="R132" i="12"/>
  <c r="S132" i="12"/>
  <c r="T132" i="12"/>
  <c r="W132" i="12"/>
  <c r="AK132" i="12"/>
  <c r="AL132" i="12"/>
  <c r="AM132" i="12"/>
  <c r="AN132" i="12" s="1"/>
  <c r="C131" i="12"/>
  <c r="E131" i="12"/>
  <c r="G131" i="12"/>
  <c r="R131" i="12"/>
  <c r="S131" i="12"/>
  <c r="T131" i="12"/>
  <c r="W131" i="12"/>
  <c r="AK131" i="12"/>
  <c r="AL131" i="12"/>
  <c r="AM131" i="12"/>
  <c r="AN131" i="12" s="1"/>
  <c r="U135" i="12" l="1"/>
  <c r="X138" i="12"/>
  <c r="Y138" i="12" s="1"/>
  <c r="U141" i="12"/>
  <c r="U132" i="12"/>
  <c r="U144" i="12"/>
  <c r="U131" i="12"/>
  <c r="U134" i="12"/>
  <c r="U137" i="12"/>
  <c r="U140" i="12"/>
  <c r="X143" i="12"/>
  <c r="Y143" i="12" s="1"/>
  <c r="U133" i="12"/>
  <c r="X136" i="12"/>
  <c r="Y136" i="12" s="1"/>
  <c r="U139" i="12"/>
  <c r="U142" i="12"/>
  <c r="U143" i="12"/>
  <c r="X144" i="12"/>
  <c r="Y144" i="12" s="1"/>
  <c r="U138" i="12"/>
  <c r="X137" i="12"/>
  <c r="Y137" i="12" s="1"/>
  <c r="AN143" i="12"/>
  <c r="X141" i="12"/>
  <c r="Y141" i="12" s="1"/>
  <c r="AN141" i="12"/>
  <c r="AO137" i="12"/>
  <c r="AP137" i="12" s="1"/>
  <c r="AO142" i="12"/>
  <c r="AP142" i="12" s="1"/>
  <c r="X142" i="12"/>
  <c r="Y142" i="12" s="1"/>
  <c r="X133" i="12"/>
  <c r="Y133" i="12" s="1"/>
  <c r="AO131" i="12"/>
  <c r="AP131" i="12" s="1"/>
  <c r="AO140" i="12"/>
  <c r="AP140" i="12" s="1"/>
  <c r="X140" i="12"/>
  <c r="Y140" i="12" s="1"/>
  <c r="AO139" i="12"/>
  <c r="AP139" i="12" s="1"/>
  <c r="X139" i="12"/>
  <c r="Y139" i="12" s="1"/>
  <c r="U136" i="12"/>
  <c r="AN138" i="12"/>
  <c r="AO136" i="12"/>
  <c r="AP136" i="12" s="1"/>
  <c r="AO135" i="12"/>
  <c r="AP135" i="12" s="1"/>
  <c r="X135" i="12"/>
  <c r="Y135" i="12" s="1"/>
  <c r="X131" i="12"/>
  <c r="Y131" i="12" s="1"/>
  <c r="AO134" i="12"/>
  <c r="AP134" i="12" s="1"/>
  <c r="X134" i="12"/>
  <c r="Y134" i="12" s="1"/>
  <c r="AO132" i="12"/>
  <c r="AP132" i="12" s="1"/>
  <c r="AO133" i="12"/>
  <c r="AP133" i="12" s="1"/>
  <c r="X132" i="12"/>
  <c r="Y132" i="12" s="1"/>
  <c r="C130" i="12"/>
  <c r="E130" i="12"/>
  <c r="G130" i="12"/>
  <c r="R130" i="12"/>
  <c r="S130" i="12"/>
  <c r="T130" i="12"/>
  <c r="W130" i="12"/>
  <c r="AK130" i="12"/>
  <c r="AL130" i="12"/>
  <c r="AM130" i="12"/>
  <c r="AO130" i="12" s="1"/>
  <c r="AP130" i="12" s="1"/>
  <c r="C129" i="12"/>
  <c r="E129" i="12"/>
  <c r="G129" i="12"/>
  <c r="R129" i="12"/>
  <c r="S129" i="12"/>
  <c r="T129" i="12"/>
  <c r="W129" i="12"/>
  <c r="AK129" i="12"/>
  <c r="AL129" i="12"/>
  <c r="AM129" i="12"/>
  <c r="AO129" i="12" s="1"/>
  <c r="AP129" i="12" s="1"/>
  <c r="C128" i="12"/>
  <c r="E128" i="12"/>
  <c r="G128" i="12"/>
  <c r="R128" i="12"/>
  <c r="S128" i="12"/>
  <c r="T128" i="12"/>
  <c r="W128" i="12"/>
  <c r="AK128" i="12"/>
  <c r="AL128" i="12"/>
  <c r="AM128" i="12"/>
  <c r="AN128" i="12" s="1"/>
  <c r="C127" i="12"/>
  <c r="E127" i="12"/>
  <c r="G127" i="12"/>
  <c r="R127" i="12"/>
  <c r="S127" i="12"/>
  <c r="T127" i="12"/>
  <c r="U127" i="12" s="1"/>
  <c r="W127" i="12"/>
  <c r="AK127" i="12"/>
  <c r="AL127" i="12"/>
  <c r="AM127" i="12"/>
  <c r="AN127" i="12" s="1"/>
  <c r="C126" i="12"/>
  <c r="E126" i="12"/>
  <c r="G126" i="12"/>
  <c r="R126" i="12"/>
  <c r="S126" i="12"/>
  <c r="T126" i="12"/>
  <c r="W126" i="12"/>
  <c r="AK126" i="12"/>
  <c r="AL126" i="12"/>
  <c r="AM126" i="12"/>
  <c r="AO126" i="12" s="1"/>
  <c r="AP126" i="12" s="1"/>
  <c r="AN126" i="12"/>
  <c r="X128" i="12" l="1"/>
  <c r="Y128" i="12" s="1"/>
  <c r="U130" i="12"/>
  <c r="X126" i="12"/>
  <c r="Y126" i="12" s="1"/>
  <c r="X129" i="12"/>
  <c r="Y129" i="12" s="1"/>
  <c r="U126" i="12"/>
  <c r="U128" i="12"/>
  <c r="X130" i="12"/>
  <c r="Y130" i="12" s="1"/>
  <c r="AN130" i="12"/>
  <c r="U129" i="12"/>
  <c r="AN129" i="12"/>
  <c r="AO128" i="12"/>
  <c r="AP128" i="12" s="1"/>
  <c r="AO127" i="12"/>
  <c r="AP127" i="12" s="1"/>
  <c r="X127" i="12"/>
  <c r="Y127" i="12" s="1"/>
  <c r="C125" i="12"/>
  <c r="E125" i="12"/>
  <c r="G125" i="12"/>
  <c r="R125" i="12"/>
  <c r="S125" i="12"/>
  <c r="T125" i="12"/>
  <c r="W125" i="12"/>
  <c r="AK125" i="12"/>
  <c r="AL125" i="12"/>
  <c r="AM125" i="12"/>
  <c r="AN125" i="12" s="1"/>
  <c r="U125" i="12" l="1"/>
  <c r="AO125" i="12"/>
  <c r="AP125" i="12" s="1"/>
  <c r="X125" i="12"/>
  <c r="Y125" i="12" s="1"/>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G28" i="12" l="1"/>
  <c r="G43" i="12" l="1"/>
  <c r="E24" i="12" l="1"/>
  <c r="E17" i="12"/>
  <c r="E7" i="12"/>
  <c r="E107" i="12" l="1"/>
  <c r="E90" i="12" l="1"/>
  <c r="W82" i="12"/>
  <c r="G100" i="12"/>
  <c r="E114" i="12"/>
  <c r="G114" i="12"/>
  <c r="R114" i="12"/>
  <c r="S114" i="12"/>
  <c r="T114" i="12" s="1"/>
  <c r="W114" i="12"/>
  <c r="AK114" i="12"/>
  <c r="AL114" i="12"/>
  <c r="AM114" i="12"/>
  <c r="AN114" i="12" s="1"/>
  <c r="AO114" i="12" l="1"/>
  <c r="AP114" i="12" s="1"/>
  <c r="U114" i="12"/>
  <c r="X114" i="12"/>
  <c r="Y114" i="12" s="1"/>
  <c r="E121" i="12"/>
  <c r="G121" i="12"/>
  <c r="R121" i="12"/>
  <c r="S121" i="12"/>
  <c r="T121" i="12" s="1"/>
  <c r="W121" i="12"/>
  <c r="AK121" i="12"/>
  <c r="AL121" i="12"/>
  <c r="AM121" i="12"/>
  <c r="AN121" i="12" s="1"/>
  <c r="E122" i="12"/>
  <c r="G122" i="12"/>
  <c r="R122" i="12"/>
  <c r="S122" i="12"/>
  <c r="T122" i="12" s="1"/>
  <c r="W122" i="12"/>
  <c r="AK122" i="12"/>
  <c r="AL122" i="12"/>
  <c r="AM122" i="12"/>
  <c r="AO122" i="12" s="1"/>
  <c r="AP122" i="12" s="1"/>
  <c r="E123" i="12"/>
  <c r="G123" i="12"/>
  <c r="R123" i="12"/>
  <c r="S123" i="12"/>
  <c r="T123" i="12" s="1"/>
  <c r="W123" i="12"/>
  <c r="AK123" i="12"/>
  <c r="AL123" i="12"/>
  <c r="AM123" i="12"/>
  <c r="AN123" i="12" s="1"/>
  <c r="E117" i="12"/>
  <c r="G117" i="12"/>
  <c r="R117" i="12"/>
  <c r="S117" i="12"/>
  <c r="T117" i="12" s="1"/>
  <c r="W117" i="12"/>
  <c r="AK117" i="12"/>
  <c r="AL117" i="12"/>
  <c r="AM117" i="12"/>
  <c r="AO117" i="12" s="1"/>
  <c r="AP117" i="12" s="1"/>
  <c r="E115" i="12"/>
  <c r="G115" i="12"/>
  <c r="R115" i="12"/>
  <c r="S115" i="12"/>
  <c r="T115" i="12" s="1"/>
  <c r="W115" i="12"/>
  <c r="AK115" i="12"/>
  <c r="AL115" i="12"/>
  <c r="AM115" i="12"/>
  <c r="AN115" i="12" s="1"/>
  <c r="E111" i="12"/>
  <c r="G111" i="12"/>
  <c r="R111" i="12"/>
  <c r="S111" i="12"/>
  <c r="T111" i="12" s="1"/>
  <c r="W111" i="12"/>
  <c r="AK111" i="12"/>
  <c r="AL111" i="12"/>
  <c r="AM111" i="12"/>
  <c r="AO111" i="12" s="1"/>
  <c r="AP111" i="12" s="1"/>
  <c r="E112" i="12"/>
  <c r="G112" i="12"/>
  <c r="R112" i="12"/>
  <c r="S112" i="12"/>
  <c r="T112" i="12" s="1"/>
  <c r="W112" i="12"/>
  <c r="AK112" i="12"/>
  <c r="AL112" i="12"/>
  <c r="AM112" i="12"/>
  <c r="AO112" i="12" s="1"/>
  <c r="AP112" i="12" s="1"/>
  <c r="E113" i="12"/>
  <c r="G113" i="12"/>
  <c r="R113" i="12"/>
  <c r="S113" i="12"/>
  <c r="T113" i="12" s="1"/>
  <c r="W113" i="12"/>
  <c r="AK113" i="12"/>
  <c r="AL113" i="12"/>
  <c r="AM113" i="12"/>
  <c r="AN113" i="12" s="1"/>
  <c r="E108" i="12"/>
  <c r="G108" i="12"/>
  <c r="R108" i="12"/>
  <c r="S108" i="12"/>
  <c r="T108" i="12" s="1"/>
  <c r="W108" i="12"/>
  <c r="AK108" i="12"/>
  <c r="AL108" i="12"/>
  <c r="AM108" i="12"/>
  <c r="AN108" i="12" s="1"/>
  <c r="E109" i="12"/>
  <c r="G109" i="12"/>
  <c r="R109" i="12"/>
  <c r="S109" i="12"/>
  <c r="T109" i="12" s="1"/>
  <c r="W109" i="12"/>
  <c r="AK109" i="12"/>
  <c r="AL109" i="12"/>
  <c r="AM109" i="12"/>
  <c r="AO109" i="12" s="1"/>
  <c r="AP109" i="12" s="1"/>
  <c r="E110" i="12"/>
  <c r="G110" i="12"/>
  <c r="R110" i="12"/>
  <c r="S110" i="12"/>
  <c r="T110" i="12" s="1"/>
  <c r="W110" i="12"/>
  <c r="AK110" i="12"/>
  <c r="AL110" i="12"/>
  <c r="AM110" i="12"/>
  <c r="AN110" i="12" s="1"/>
  <c r="G107" i="12"/>
  <c r="R107" i="12"/>
  <c r="S107" i="12"/>
  <c r="T107" i="12" s="1"/>
  <c r="W107" i="12"/>
  <c r="AK107" i="12"/>
  <c r="AL107" i="12"/>
  <c r="AM107" i="12"/>
  <c r="AN107" i="12" s="1"/>
  <c r="E103" i="12"/>
  <c r="G103" i="12"/>
  <c r="R103" i="12"/>
  <c r="S103" i="12"/>
  <c r="T103" i="12" s="1"/>
  <c r="W103" i="12"/>
  <c r="AK103" i="12"/>
  <c r="AL103" i="12"/>
  <c r="AM103" i="12"/>
  <c r="AO103" i="12" s="1"/>
  <c r="AP103" i="12" s="1"/>
  <c r="E104" i="12"/>
  <c r="G104" i="12"/>
  <c r="R104" i="12"/>
  <c r="S104" i="12"/>
  <c r="T104" i="12" s="1"/>
  <c r="W104" i="12"/>
  <c r="AK104" i="12"/>
  <c r="AL104" i="12"/>
  <c r="AM104" i="12"/>
  <c r="AN104" i="12" s="1"/>
  <c r="E105" i="12"/>
  <c r="G105" i="12"/>
  <c r="R105" i="12"/>
  <c r="S105" i="12"/>
  <c r="T105" i="12" s="1"/>
  <c r="W105" i="12"/>
  <c r="AK105" i="12"/>
  <c r="AL105" i="12"/>
  <c r="AM105" i="12"/>
  <c r="AO105" i="12" s="1"/>
  <c r="AP105" i="12" s="1"/>
  <c r="E101" i="12"/>
  <c r="G101" i="12"/>
  <c r="R101" i="12"/>
  <c r="S101" i="12"/>
  <c r="T101" i="12" s="1"/>
  <c r="W101" i="12"/>
  <c r="AK101" i="12"/>
  <c r="AL101" i="12"/>
  <c r="AM101" i="12"/>
  <c r="AN101" i="12" s="1"/>
  <c r="E102" i="12"/>
  <c r="G102" i="12"/>
  <c r="R102" i="12"/>
  <c r="S102" i="12"/>
  <c r="T102" i="12" s="1"/>
  <c r="W102" i="12"/>
  <c r="AK102" i="12"/>
  <c r="AL102" i="12"/>
  <c r="AM102" i="12"/>
  <c r="AN102" i="12" s="1"/>
  <c r="E99" i="12"/>
  <c r="G99" i="12"/>
  <c r="R99" i="12"/>
  <c r="S99" i="12"/>
  <c r="T99" i="12" s="1"/>
  <c r="W99" i="12"/>
  <c r="AK99" i="12"/>
  <c r="AL99" i="12"/>
  <c r="AM99" i="12"/>
  <c r="AO99" i="12" s="1"/>
  <c r="AP99" i="12" s="1"/>
  <c r="E97" i="12"/>
  <c r="G97" i="12"/>
  <c r="R97" i="12"/>
  <c r="S97" i="12"/>
  <c r="T97" i="12" s="1"/>
  <c r="W97" i="12"/>
  <c r="AK97" i="12"/>
  <c r="AL97" i="12"/>
  <c r="AM97" i="12"/>
  <c r="AN97" i="12" s="1"/>
  <c r="E95" i="12"/>
  <c r="G95" i="12"/>
  <c r="R95" i="12"/>
  <c r="S95" i="12"/>
  <c r="T95" i="12" s="1"/>
  <c r="W95" i="12"/>
  <c r="AK95" i="12"/>
  <c r="AL95" i="12"/>
  <c r="AM95" i="12"/>
  <c r="AO95" i="12" s="1"/>
  <c r="AP95" i="12" s="1"/>
  <c r="E94" i="12"/>
  <c r="G94" i="12"/>
  <c r="R94" i="12"/>
  <c r="S94" i="12"/>
  <c r="T94" i="12" s="1"/>
  <c r="W94" i="12"/>
  <c r="AK94" i="12"/>
  <c r="AL94" i="12"/>
  <c r="AM94" i="12"/>
  <c r="AN94" i="12" s="1"/>
  <c r="E93" i="12"/>
  <c r="G93" i="12"/>
  <c r="R93" i="12"/>
  <c r="S93" i="12"/>
  <c r="T93" i="12" s="1"/>
  <c r="W93" i="12"/>
  <c r="AK93" i="12"/>
  <c r="AL93" i="12"/>
  <c r="AM93" i="12"/>
  <c r="AN93" i="12" s="1"/>
  <c r="E92" i="12"/>
  <c r="G92" i="12"/>
  <c r="R92" i="12"/>
  <c r="S92" i="12"/>
  <c r="T92" i="12" s="1"/>
  <c r="W92" i="12"/>
  <c r="AK92" i="12"/>
  <c r="AL92" i="12"/>
  <c r="AM92" i="12"/>
  <c r="AN92" i="12" s="1"/>
  <c r="E87" i="12"/>
  <c r="G87" i="12"/>
  <c r="R87" i="12"/>
  <c r="S87" i="12"/>
  <c r="T87" i="12" s="1"/>
  <c r="W87" i="12"/>
  <c r="AK87" i="12"/>
  <c r="AL87" i="12"/>
  <c r="AM87" i="12"/>
  <c r="AO87" i="12" s="1"/>
  <c r="AP87" i="12" s="1"/>
  <c r="E85" i="12"/>
  <c r="G85" i="12"/>
  <c r="R85" i="12"/>
  <c r="S85" i="12"/>
  <c r="T85" i="12" s="1"/>
  <c r="W85" i="12"/>
  <c r="AK85" i="12"/>
  <c r="AL85" i="12"/>
  <c r="AM85" i="12"/>
  <c r="AO85" i="12" s="1"/>
  <c r="AP85" i="12" s="1"/>
  <c r="E81" i="12"/>
  <c r="G81" i="12"/>
  <c r="R81" i="12"/>
  <c r="S81" i="12"/>
  <c r="T81" i="12" s="1"/>
  <c r="W81" i="12"/>
  <c r="AK81" i="12"/>
  <c r="AL81" i="12"/>
  <c r="AM81" i="12"/>
  <c r="AN81" i="12" s="1"/>
  <c r="E79" i="12"/>
  <c r="G79" i="12"/>
  <c r="R79" i="12"/>
  <c r="S79" i="12"/>
  <c r="T79" i="12" s="1"/>
  <c r="W79" i="12"/>
  <c r="AK79" i="12"/>
  <c r="AL79" i="12"/>
  <c r="AM79" i="12"/>
  <c r="AO79" i="12" s="1"/>
  <c r="AP79" i="12" s="1"/>
  <c r="E77" i="12"/>
  <c r="G77" i="12"/>
  <c r="R77" i="12"/>
  <c r="S77" i="12"/>
  <c r="T77" i="12" s="1"/>
  <c r="W77" i="12"/>
  <c r="AK77" i="12"/>
  <c r="AL77" i="12"/>
  <c r="AM77" i="12"/>
  <c r="AN77" i="12" s="1"/>
  <c r="E74" i="12"/>
  <c r="G74" i="12"/>
  <c r="R74" i="12"/>
  <c r="S74" i="12"/>
  <c r="T74" i="12" s="1"/>
  <c r="W74" i="12"/>
  <c r="AK74" i="12"/>
  <c r="AL74" i="12"/>
  <c r="AM74" i="12"/>
  <c r="AN74" i="12" s="1"/>
  <c r="E75" i="12"/>
  <c r="G75" i="12"/>
  <c r="R75" i="12"/>
  <c r="S75" i="12"/>
  <c r="T75" i="12" s="1"/>
  <c r="W75" i="12"/>
  <c r="AK75" i="12"/>
  <c r="AL75" i="12"/>
  <c r="AM75" i="12"/>
  <c r="AN75" i="12" s="1"/>
  <c r="E72" i="12"/>
  <c r="G72" i="12"/>
  <c r="R72" i="12"/>
  <c r="S72" i="12"/>
  <c r="T72" i="12" s="1"/>
  <c r="W72" i="12"/>
  <c r="AK72" i="12"/>
  <c r="AL72" i="12"/>
  <c r="AM72" i="12"/>
  <c r="AN72" i="12" s="1"/>
  <c r="E69" i="12"/>
  <c r="G69" i="12"/>
  <c r="R69" i="12"/>
  <c r="S69" i="12"/>
  <c r="T69" i="12" s="1"/>
  <c r="W69" i="12"/>
  <c r="AK69" i="12"/>
  <c r="AL69" i="12"/>
  <c r="AM69" i="12"/>
  <c r="AN69" i="12" s="1"/>
  <c r="E65" i="12"/>
  <c r="G65" i="12"/>
  <c r="R65" i="12"/>
  <c r="S65" i="12"/>
  <c r="T65" i="12" s="1"/>
  <c r="W65" i="12"/>
  <c r="AK65" i="12"/>
  <c r="AL65" i="12"/>
  <c r="AM65" i="12"/>
  <c r="AN65" i="12" s="1"/>
  <c r="E66" i="12"/>
  <c r="G66" i="12"/>
  <c r="R66" i="12"/>
  <c r="S66" i="12"/>
  <c r="T66" i="12" s="1"/>
  <c r="W66" i="12"/>
  <c r="AK66" i="12"/>
  <c r="AL66" i="12"/>
  <c r="AM66" i="12"/>
  <c r="AN66" i="12" s="1"/>
  <c r="E62" i="12"/>
  <c r="G62" i="12"/>
  <c r="R62" i="12"/>
  <c r="S62" i="12"/>
  <c r="T62" i="12" s="1"/>
  <c r="W62" i="12"/>
  <c r="AK62" i="12"/>
  <c r="AL62" i="12"/>
  <c r="AM62" i="12"/>
  <c r="AO62" i="12" s="1"/>
  <c r="AP62" i="12" s="1"/>
  <c r="E63" i="12"/>
  <c r="G63" i="12"/>
  <c r="R63" i="12"/>
  <c r="S63" i="12"/>
  <c r="T63" i="12" s="1"/>
  <c r="W63" i="12"/>
  <c r="AK63" i="12"/>
  <c r="AL63" i="12"/>
  <c r="AM63" i="12"/>
  <c r="AO63" i="12" s="1"/>
  <c r="AP63" i="12" s="1"/>
  <c r="E59" i="12"/>
  <c r="G59" i="12"/>
  <c r="R59" i="12"/>
  <c r="S59" i="12"/>
  <c r="T59" i="12" s="1"/>
  <c r="W59" i="12"/>
  <c r="AK59" i="12"/>
  <c r="AL59" i="12"/>
  <c r="AM59" i="12"/>
  <c r="AN59" i="12" s="1"/>
  <c r="E60" i="12"/>
  <c r="G60" i="12"/>
  <c r="R60" i="12"/>
  <c r="S60" i="12"/>
  <c r="T60" i="12" s="1"/>
  <c r="W60" i="12"/>
  <c r="AK60" i="12"/>
  <c r="AL60" i="12"/>
  <c r="AM60" i="12"/>
  <c r="AN60" i="12" s="1"/>
  <c r="E56" i="12"/>
  <c r="G56" i="12"/>
  <c r="R56" i="12"/>
  <c r="S56" i="12"/>
  <c r="T56" i="12" s="1"/>
  <c r="W56" i="12"/>
  <c r="AK56" i="12"/>
  <c r="AL56" i="12"/>
  <c r="AM56" i="12"/>
  <c r="AN56" i="12" s="1"/>
  <c r="E53" i="12"/>
  <c r="G53" i="12"/>
  <c r="R53" i="12"/>
  <c r="S53" i="12"/>
  <c r="T53" i="12" s="1"/>
  <c r="W53" i="12"/>
  <c r="AK53" i="12"/>
  <c r="AL53" i="12"/>
  <c r="AM53" i="12"/>
  <c r="AN53" i="12" s="1"/>
  <c r="E54" i="12"/>
  <c r="G54" i="12"/>
  <c r="R54" i="12"/>
  <c r="S54" i="12"/>
  <c r="T54" i="12" s="1"/>
  <c r="W54" i="12"/>
  <c r="AK54" i="12"/>
  <c r="AL54" i="12"/>
  <c r="AM54" i="12"/>
  <c r="AN54" i="12" s="1"/>
  <c r="E51" i="12"/>
  <c r="G51" i="12"/>
  <c r="R51" i="12"/>
  <c r="S51" i="12"/>
  <c r="T51" i="12" s="1"/>
  <c r="W51" i="12"/>
  <c r="AK51" i="12"/>
  <c r="AL51" i="12"/>
  <c r="AM51" i="12"/>
  <c r="AO51" i="12" s="1"/>
  <c r="AP51" i="12" s="1"/>
  <c r="E50" i="12"/>
  <c r="G50" i="12"/>
  <c r="R50" i="12"/>
  <c r="S50" i="12"/>
  <c r="T50" i="12" s="1"/>
  <c r="W50" i="12"/>
  <c r="AK50" i="12"/>
  <c r="AL50" i="12"/>
  <c r="AM50" i="12"/>
  <c r="AO50" i="12" s="1"/>
  <c r="AP50" i="12" s="1"/>
  <c r="E48" i="12"/>
  <c r="G48" i="12"/>
  <c r="R48" i="12"/>
  <c r="S48" i="12"/>
  <c r="T48" i="12" s="1"/>
  <c r="W48" i="12"/>
  <c r="AK48" i="12"/>
  <c r="AL48" i="12"/>
  <c r="AM48" i="12"/>
  <c r="AN48" i="12" s="1"/>
  <c r="E47" i="12"/>
  <c r="G47" i="12"/>
  <c r="R47" i="12"/>
  <c r="S47" i="12"/>
  <c r="T47" i="12" s="1"/>
  <c r="W47" i="12"/>
  <c r="AK47" i="12"/>
  <c r="AL47" i="12"/>
  <c r="AM47" i="12"/>
  <c r="AN47" i="12" s="1"/>
  <c r="E44" i="12"/>
  <c r="G44" i="12"/>
  <c r="R44" i="12"/>
  <c r="S44" i="12"/>
  <c r="T44" i="12" s="1"/>
  <c r="W44" i="12"/>
  <c r="AK44" i="12"/>
  <c r="AL44" i="12"/>
  <c r="AM44" i="12"/>
  <c r="AN44" i="12" s="1"/>
  <c r="E43" i="12"/>
  <c r="R43" i="12"/>
  <c r="S43" i="12"/>
  <c r="T43" i="12" s="1"/>
  <c r="W43" i="12"/>
  <c r="AK43" i="12"/>
  <c r="AL43" i="12"/>
  <c r="AM43" i="12"/>
  <c r="AN43" i="12" s="1"/>
  <c r="E42" i="12"/>
  <c r="G42" i="12"/>
  <c r="R42" i="12"/>
  <c r="S42" i="12"/>
  <c r="T42" i="12" s="1"/>
  <c r="W42" i="12"/>
  <c r="AK42" i="12"/>
  <c r="AL42" i="12"/>
  <c r="AM42" i="12"/>
  <c r="AN42" i="12" s="1"/>
  <c r="E41" i="12"/>
  <c r="G41" i="12"/>
  <c r="R41" i="12"/>
  <c r="S41" i="12"/>
  <c r="T41" i="12" s="1"/>
  <c r="W41" i="12"/>
  <c r="AK41" i="12"/>
  <c r="AL41" i="12"/>
  <c r="AM41" i="12"/>
  <c r="AO41" i="12" s="1"/>
  <c r="AP41" i="12" s="1"/>
  <c r="E39" i="12"/>
  <c r="G39" i="12"/>
  <c r="R39" i="12"/>
  <c r="S39" i="12"/>
  <c r="T39" i="12" s="1"/>
  <c r="W39" i="12"/>
  <c r="AK39" i="12"/>
  <c r="AL39" i="12"/>
  <c r="AM39" i="12"/>
  <c r="AO39" i="12" s="1"/>
  <c r="AP39" i="12" s="1"/>
  <c r="E36" i="12"/>
  <c r="G36" i="12"/>
  <c r="R36" i="12"/>
  <c r="S36" i="12"/>
  <c r="T36" i="12" s="1"/>
  <c r="W36" i="12"/>
  <c r="AK36" i="12"/>
  <c r="AL36" i="12"/>
  <c r="AM36" i="12"/>
  <c r="AN36" i="12" s="1"/>
  <c r="E37" i="12"/>
  <c r="G37" i="12"/>
  <c r="R37" i="12"/>
  <c r="S37" i="12"/>
  <c r="T37" i="12" s="1"/>
  <c r="W37" i="12"/>
  <c r="AK37" i="12"/>
  <c r="AL37" i="12"/>
  <c r="AM37" i="12"/>
  <c r="AN37" i="12" s="1"/>
  <c r="E33" i="12"/>
  <c r="G33" i="12"/>
  <c r="R33" i="12"/>
  <c r="S33" i="12"/>
  <c r="T33" i="12" s="1"/>
  <c r="W33" i="12"/>
  <c r="AK33" i="12"/>
  <c r="AL33" i="12"/>
  <c r="AM33" i="12"/>
  <c r="AN33" i="12" s="1"/>
  <c r="E34" i="12"/>
  <c r="G34" i="12"/>
  <c r="R34" i="12"/>
  <c r="S34" i="12"/>
  <c r="T34" i="12" s="1"/>
  <c r="W34" i="12"/>
  <c r="AK34" i="12"/>
  <c r="AL34" i="12"/>
  <c r="AM34" i="12"/>
  <c r="AN34" i="12" s="1"/>
  <c r="E29" i="12"/>
  <c r="G29" i="12"/>
  <c r="R29" i="12"/>
  <c r="S29" i="12"/>
  <c r="T29" i="12" s="1"/>
  <c r="W29" i="12"/>
  <c r="AK29" i="12"/>
  <c r="AL29" i="12"/>
  <c r="AM29" i="12"/>
  <c r="AN29" i="12" s="1"/>
  <c r="E30" i="12"/>
  <c r="G30" i="12"/>
  <c r="R30" i="12"/>
  <c r="S30" i="12"/>
  <c r="T30" i="12" s="1"/>
  <c r="W30" i="12"/>
  <c r="AK30" i="12"/>
  <c r="AL30" i="12"/>
  <c r="AM30" i="12"/>
  <c r="AO30" i="12" s="1"/>
  <c r="AP30" i="12" s="1"/>
  <c r="E26" i="12"/>
  <c r="G26" i="12"/>
  <c r="R26" i="12"/>
  <c r="S26" i="12"/>
  <c r="T26" i="12" s="1"/>
  <c r="W26" i="12"/>
  <c r="AK26" i="12"/>
  <c r="AL26" i="12"/>
  <c r="AM26" i="12"/>
  <c r="AO26" i="12" s="1"/>
  <c r="AP26" i="12" s="1"/>
  <c r="E27" i="12"/>
  <c r="G27" i="12"/>
  <c r="R27" i="12"/>
  <c r="S27" i="12"/>
  <c r="T27" i="12" s="1"/>
  <c r="W27" i="12"/>
  <c r="AK27" i="12"/>
  <c r="AL27" i="12"/>
  <c r="AM27" i="12"/>
  <c r="AN27" i="12" s="1"/>
  <c r="E23" i="12"/>
  <c r="G23" i="12"/>
  <c r="R23" i="12"/>
  <c r="S23" i="12"/>
  <c r="T23" i="12" s="1"/>
  <c r="W23" i="12"/>
  <c r="AK23" i="12"/>
  <c r="AL23" i="12"/>
  <c r="AM23" i="12"/>
  <c r="AN23" i="12" s="1"/>
  <c r="G24" i="12"/>
  <c r="R24" i="12"/>
  <c r="S24" i="12"/>
  <c r="T24" i="12" s="1"/>
  <c r="W24" i="12"/>
  <c r="AK24" i="12"/>
  <c r="AL24" i="12"/>
  <c r="AM24" i="12"/>
  <c r="AN24" i="12" s="1"/>
  <c r="E21" i="12"/>
  <c r="G21" i="12"/>
  <c r="R21" i="12"/>
  <c r="S21" i="12"/>
  <c r="T21" i="12" s="1"/>
  <c r="W21" i="12"/>
  <c r="AK21" i="12"/>
  <c r="AL21" i="12"/>
  <c r="AM21" i="12"/>
  <c r="AN21" i="12" s="1"/>
  <c r="E18" i="12"/>
  <c r="G18" i="12"/>
  <c r="R18" i="12"/>
  <c r="S18" i="12"/>
  <c r="T18" i="12" s="1"/>
  <c r="W18" i="12"/>
  <c r="AK18" i="12"/>
  <c r="AL18" i="12"/>
  <c r="AM18" i="12"/>
  <c r="AN18" i="12" s="1"/>
  <c r="E15" i="12"/>
  <c r="G15" i="12"/>
  <c r="R15" i="12"/>
  <c r="S15" i="12"/>
  <c r="T15" i="12" s="1"/>
  <c r="W15" i="12"/>
  <c r="AK15" i="12"/>
  <c r="AL15" i="12"/>
  <c r="AM15" i="12"/>
  <c r="AN15" i="12" s="1"/>
  <c r="E14" i="12"/>
  <c r="G14" i="12"/>
  <c r="R14" i="12"/>
  <c r="S14" i="12"/>
  <c r="T14" i="12" s="1"/>
  <c r="W14" i="12"/>
  <c r="AK14" i="12"/>
  <c r="AL14" i="12"/>
  <c r="AM14" i="12"/>
  <c r="AN14" i="12" s="1"/>
  <c r="E16" i="12"/>
  <c r="G16" i="12"/>
  <c r="R16" i="12"/>
  <c r="S16" i="12"/>
  <c r="T16" i="12" s="1"/>
  <c r="W16" i="12"/>
  <c r="AK16" i="12"/>
  <c r="AL16" i="12"/>
  <c r="AM16" i="12"/>
  <c r="AN16" i="12" s="1"/>
  <c r="E13" i="12"/>
  <c r="G13" i="12"/>
  <c r="R13" i="12"/>
  <c r="S13" i="12"/>
  <c r="T13" i="12" s="1"/>
  <c r="W13" i="12"/>
  <c r="AK13" i="12"/>
  <c r="AL13" i="12"/>
  <c r="AM13" i="12"/>
  <c r="AN13" i="12" s="1"/>
  <c r="E12" i="12"/>
  <c r="G12" i="12"/>
  <c r="R12" i="12"/>
  <c r="S12" i="12"/>
  <c r="T12" i="12" s="1"/>
  <c r="W12" i="12"/>
  <c r="AK12" i="12"/>
  <c r="AL12" i="12"/>
  <c r="AM12" i="12"/>
  <c r="AN12" i="12" s="1"/>
  <c r="C9" i="21"/>
  <c r="E9" i="12"/>
  <c r="G9" i="12"/>
  <c r="R9" i="12"/>
  <c r="S9" i="12"/>
  <c r="T9" i="12" s="1"/>
  <c r="W9" i="12"/>
  <c r="AK9" i="12"/>
  <c r="AL9" i="12"/>
  <c r="AM9" i="12"/>
  <c r="AO9" i="12" s="1"/>
  <c r="AP9" i="12" s="1"/>
  <c r="E8" i="12"/>
  <c r="G8" i="12"/>
  <c r="R8" i="12"/>
  <c r="S8" i="12"/>
  <c r="T8" i="12" s="1"/>
  <c r="W8" i="12"/>
  <c r="AK8" i="12"/>
  <c r="AL8" i="12"/>
  <c r="AM8" i="12"/>
  <c r="AN8" i="12" s="1"/>
  <c r="C6" i="21"/>
  <c r="E6" i="12"/>
  <c r="E6" i="21" s="1"/>
  <c r="G6" i="12"/>
  <c r="G6" i="21" s="1"/>
  <c r="R6" i="12"/>
  <c r="S6" i="12"/>
  <c r="T6" i="12" s="1"/>
  <c r="W6" i="12"/>
  <c r="AK6" i="12"/>
  <c r="AL6" i="12"/>
  <c r="AM6" i="12"/>
  <c r="AN6" i="12" s="1"/>
  <c r="B6" i="21"/>
  <c r="B7" i="21"/>
  <c r="B8" i="2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5" i="21"/>
  <c r="A6" i="21"/>
  <c r="D6" i="21"/>
  <c r="F6" i="21"/>
  <c r="H6" i="21"/>
  <c r="I6" i="21"/>
  <c r="K6" i="21"/>
  <c r="M6" i="21"/>
  <c r="A8" i="21"/>
  <c r="D8" i="21"/>
  <c r="F8" i="21"/>
  <c r="H8" i="21"/>
  <c r="I8" i="21"/>
  <c r="K8" i="21"/>
  <c r="M8" i="21"/>
  <c r="A9" i="21"/>
  <c r="D9" i="21"/>
  <c r="F9" i="21"/>
  <c r="H9" i="21"/>
  <c r="I9" i="21"/>
  <c r="K9" i="21"/>
  <c r="M9" i="21"/>
  <c r="A10" i="21"/>
  <c r="D10" i="21"/>
  <c r="F10" i="21"/>
  <c r="H10" i="21"/>
  <c r="I10" i="21"/>
  <c r="K10" i="21"/>
  <c r="M10" i="21"/>
  <c r="A11" i="21"/>
  <c r="D11" i="21"/>
  <c r="F11" i="21"/>
  <c r="H11" i="21"/>
  <c r="I11" i="21"/>
  <c r="K11" i="21"/>
  <c r="M11" i="21"/>
  <c r="A12" i="21"/>
  <c r="D12" i="21"/>
  <c r="F12" i="21"/>
  <c r="H12" i="21"/>
  <c r="I12" i="21"/>
  <c r="K12" i="21"/>
  <c r="M12" i="21"/>
  <c r="A13" i="21"/>
  <c r="D13" i="21"/>
  <c r="F13" i="21"/>
  <c r="H13" i="21"/>
  <c r="I13" i="21"/>
  <c r="K13" i="21"/>
  <c r="M13" i="21"/>
  <c r="A14" i="21"/>
  <c r="D14" i="21"/>
  <c r="F14" i="21"/>
  <c r="H14" i="21"/>
  <c r="I14" i="21"/>
  <c r="K14" i="21"/>
  <c r="M14" i="21"/>
  <c r="A15" i="21"/>
  <c r="D15" i="21"/>
  <c r="F15" i="21"/>
  <c r="H15" i="21"/>
  <c r="I15" i="21"/>
  <c r="K15" i="21"/>
  <c r="M15" i="21"/>
  <c r="A16" i="21"/>
  <c r="D16" i="21"/>
  <c r="F16" i="21"/>
  <c r="H16" i="21"/>
  <c r="I16" i="21"/>
  <c r="K16" i="21"/>
  <c r="M16" i="21"/>
  <c r="A17" i="21"/>
  <c r="D17" i="21"/>
  <c r="F17" i="21"/>
  <c r="H17" i="21"/>
  <c r="I17" i="21"/>
  <c r="K17" i="21"/>
  <c r="M17" i="21"/>
  <c r="A18" i="21"/>
  <c r="D18" i="21"/>
  <c r="F18" i="21"/>
  <c r="H18" i="21"/>
  <c r="I18" i="21"/>
  <c r="K18" i="21"/>
  <c r="M18" i="21"/>
  <c r="A19" i="21"/>
  <c r="D19" i="21"/>
  <c r="F19" i="21"/>
  <c r="H19" i="21"/>
  <c r="I19" i="21"/>
  <c r="K19" i="21"/>
  <c r="M19" i="21"/>
  <c r="A20" i="21"/>
  <c r="D20" i="21"/>
  <c r="F20" i="21"/>
  <c r="H20" i="21"/>
  <c r="I20" i="21"/>
  <c r="K20" i="21"/>
  <c r="M20" i="21"/>
  <c r="A21" i="21"/>
  <c r="D21" i="21"/>
  <c r="F21" i="21"/>
  <c r="H21" i="21"/>
  <c r="I21" i="21"/>
  <c r="K21" i="21"/>
  <c r="M21" i="21"/>
  <c r="A22" i="21"/>
  <c r="D22" i="21"/>
  <c r="F22" i="21"/>
  <c r="H22" i="21"/>
  <c r="I22" i="21"/>
  <c r="K22" i="21"/>
  <c r="M22" i="21"/>
  <c r="A23" i="21"/>
  <c r="D23" i="21"/>
  <c r="F23" i="21"/>
  <c r="H23" i="21"/>
  <c r="I23" i="21"/>
  <c r="K23" i="21"/>
  <c r="M23" i="21"/>
  <c r="A24" i="21"/>
  <c r="D24" i="21"/>
  <c r="F24" i="21"/>
  <c r="H24" i="21"/>
  <c r="I24" i="21"/>
  <c r="K24" i="21"/>
  <c r="M24" i="21"/>
  <c r="A25" i="21"/>
  <c r="D25" i="21"/>
  <c r="F25" i="21"/>
  <c r="H25" i="21"/>
  <c r="I25" i="21"/>
  <c r="K25" i="21"/>
  <c r="M25" i="21"/>
  <c r="A26" i="21"/>
  <c r="D26" i="21"/>
  <c r="F26" i="21"/>
  <c r="H26" i="21"/>
  <c r="I26" i="21"/>
  <c r="K26" i="21"/>
  <c r="M26" i="21"/>
  <c r="A27" i="21"/>
  <c r="D27" i="21"/>
  <c r="F27" i="21"/>
  <c r="H27" i="21"/>
  <c r="I27" i="21"/>
  <c r="K27" i="21"/>
  <c r="M27" i="21"/>
  <c r="A28" i="21"/>
  <c r="D28" i="21"/>
  <c r="F28" i="21"/>
  <c r="H28" i="21"/>
  <c r="I28" i="21"/>
  <c r="K28" i="21"/>
  <c r="M28" i="21"/>
  <c r="A29" i="21"/>
  <c r="D29" i="21"/>
  <c r="F29" i="21"/>
  <c r="H29" i="21"/>
  <c r="I29" i="21"/>
  <c r="K29" i="21"/>
  <c r="M29" i="21"/>
  <c r="A30" i="21"/>
  <c r="D30" i="21"/>
  <c r="F30" i="21"/>
  <c r="H30" i="21"/>
  <c r="I30" i="21"/>
  <c r="K30" i="21"/>
  <c r="M30" i="21"/>
  <c r="A31" i="21"/>
  <c r="D31" i="21"/>
  <c r="F31" i="21"/>
  <c r="H31" i="21"/>
  <c r="I31" i="21"/>
  <c r="K31" i="21"/>
  <c r="M31" i="21"/>
  <c r="A32" i="21"/>
  <c r="D32" i="21"/>
  <c r="F32" i="21"/>
  <c r="H32" i="21"/>
  <c r="I32" i="21"/>
  <c r="K32" i="21"/>
  <c r="M32" i="21"/>
  <c r="A33" i="21"/>
  <c r="D33" i="21"/>
  <c r="F33" i="21"/>
  <c r="H33" i="21"/>
  <c r="I33" i="21"/>
  <c r="K33" i="21"/>
  <c r="M33" i="21"/>
  <c r="A34" i="21"/>
  <c r="D34" i="21"/>
  <c r="F34" i="21"/>
  <c r="H34" i="21"/>
  <c r="I34" i="21"/>
  <c r="K34" i="21"/>
  <c r="M34" i="21"/>
  <c r="A35" i="21"/>
  <c r="D35" i="21"/>
  <c r="F35" i="21"/>
  <c r="H35" i="21"/>
  <c r="I35" i="21"/>
  <c r="K35" i="21"/>
  <c r="M35" i="21"/>
  <c r="A36" i="21"/>
  <c r="D36" i="21"/>
  <c r="F36" i="21"/>
  <c r="H36" i="21"/>
  <c r="I36" i="21"/>
  <c r="K36" i="21"/>
  <c r="M36" i="21"/>
  <c r="A37" i="21"/>
  <c r="D37" i="21"/>
  <c r="F37" i="21"/>
  <c r="H37" i="21"/>
  <c r="I37" i="21"/>
  <c r="K37" i="21"/>
  <c r="M37" i="21"/>
  <c r="A38" i="21"/>
  <c r="D38" i="21"/>
  <c r="F38" i="21"/>
  <c r="H38" i="21"/>
  <c r="I38" i="21"/>
  <c r="K38" i="21"/>
  <c r="M38" i="21"/>
  <c r="A39" i="21"/>
  <c r="D39" i="21"/>
  <c r="F39" i="21"/>
  <c r="H39" i="21"/>
  <c r="I39" i="21"/>
  <c r="K39" i="21"/>
  <c r="M39" i="21"/>
  <c r="A40" i="21"/>
  <c r="D40" i="21"/>
  <c r="F40" i="21"/>
  <c r="H40" i="21"/>
  <c r="I40" i="21"/>
  <c r="K40" i="21"/>
  <c r="M40" i="21"/>
  <c r="A41" i="21"/>
  <c r="D41" i="21"/>
  <c r="F41" i="21"/>
  <c r="H41" i="21"/>
  <c r="I41" i="21"/>
  <c r="K41" i="21"/>
  <c r="M41" i="21"/>
  <c r="A42" i="21"/>
  <c r="D42" i="21"/>
  <c r="F42" i="21"/>
  <c r="H42" i="21"/>
  <c r="I42" i="21"/>
  <c r="K42" i="21"/>
  <c r="M42" i="21"/>
  <c r="A43" i="21"/>
  <c r="D43" i="21"/>
  <c r="F43" i="21"/>
  <c r="H43" i="21"/>
  <c r="I43" i="21"/>
  <c r="K43" i="21"/>
  <c r="M43" i="21"/>
  <c r="A44" i="21"/>
  <c r="D44" i="21"/>
  <c r="F44" i="21"/>
  <c r="H44" i="21"/>
  <c r="I44" i="21"/>
  <c r="K44" i="21"/>
  <c r="M44" i="21"/>
  <c r="A45" i="21"/>
  <c r="D45" i="21"/>
  <c r="F45" i="21"/>
  <c r="H45" i="21"/>
  <c r="I45" i="21"/>
  <c r="K45" i="21"/>
  <c r="M45" i="21"/>
  <c r="A46" i="21"/>
  <c r="D46" i="21"/>
  <c r="F46" i="21"/>
  <c r="H46" i="21"/>
  <c r="I46" i="21"/>
  <c r="K46" i="21"/>
  <c r="M46" i="21"/>
  <c r="A47" i="21"/>
  <c r="D47" i="21"/>
  <c r="F47" i="21"/>
  <c r="H47" i="21"/>
  <c r="I47" i="21"/>
  <c r="K47" i="21"/>
  <c r="M47" i="21"/>
  <c r="A48" i="21"/>
  <c r="D48" i="21"/>
  <c r="F48" i="21"/>
  <c r="H48" i="21"/>
  <c r="I48" i="21"/>
  <c r="K48" i="21"/>
  <c r="M48" i="21"/>
  <c r="A49" i="21"/>
  <c r="D49" i="21"/>
  <c r="F49" i="21"/>
  <c r="H49" i="21"/>
  <c r="I49" i="21"/>
  <c r="K49" i="21"/>
  <c r="M49" i="21"/>
  <c r="A50" i="21"/>
  <c r="D50" i="21"/>
  <c r="F50" i="21"/>
  <c r="H50" i="21"/>
  <c r="I50" i="21"/>
  <c r="K50" i="21"/>
  <c r="M50" i="21"/>
  <c r="A51" i="21"/>
  <c r="D51" i="21"/>
  <c r="F51" i="21"/>
  <c r="H51" i="21"/>
  <c r="I51" i="21"/>
  <c r="K51" i="21"/>
  <c r="M51" i="21"/>
  <c r="A52" i="21"/>
  <c r="D52" i="21"/>
  <c r="F52" i="21"/>
  <c r="H52" i="21"/>
  <c r="I52" i="21"/>
  <c r="K52" i="21"/>
  <c r="M52" i="21"/>
  <c r="A53" i="21"/>
  <c r="D53" i="21"/>
  <c r="F53" i="21"/>
  <c r="H53" i="21"/>
  <c r="I53" i="21"/>
  <c r="K53" i="21"/>
  <c r="M53" i="21"/>
  <c r="A54" i="21"/>
  <c r="D54" i="21"/>
  <c r="F54" i="21"/>
  <c r="H54" i="21"/>
  <c r="I54" i="21"/>
  <c r="K54" i="21"/>
  <c r="M54" i="21"/>
  <c r="A55" i="21"/>
  <c r="D55" i="21"/>
  <c r="F55" i="21"/>
  <c r="H55" i="21"/>
  <c r="I55" i="21"/>
  <c r="K55" i="21"/>
  <c r="M55" i="21"/>
  <c r="A56" i="21"/>
  <c r="D56" i="21"/>
  <c r="F56" i="21"/>
  <c r="H56" i="21"/>
  <c r="I56" i="21"/>
  <c r="K56" i="21"/>
  <c r="M56" i="21"/>
  <c r="A57" i="21"/>
  <c r="D57" i="21"/>
  <c r="F57" i="21"/>
  <c r="H57" i="21"/>
  <c r="I57" i="21"/>
  <c r="K57" i="21"/>
  <c r="M57" i="21"/>
  <c r="A58" i="21"/>
  <c r="D58" i="21"/>
  <c r="F58" i="21"/>
  <c r="H58" i="21"/>
  <c r="I58" i="21"/>
  <c r="K58" i="21"/>
  <c r="M58" i="21"/>
  <c r="A59" i="21"/>
  <c r="D59" i="21"/>
  <c r="F59" i="21"/>
  <c r="H59" i="21"/>
  <c r="I59" i="21"/>
  <c r="K59" i="21"/>
  <c r="M59" i="21"/>
  <c r="A60" i="21"/>
  <c r="D60" i="21"/>
  <c r="F60" i="21"/>
  <c r="H60" i="21"/>
  <c r="I60" i="21"/>
  <c r="K60" i="21"/>
  <c r="M60" i="21"/>
  <c r="A61" i="21"/>
  <c r="D61" i="21"/>
  <c r="F61" i="21"/>
  <c r="H61" i="21"/>
  <c r="I61" i="21"/>
  <c r="K61" i="21"/>
  <c r="M61" i="21"/>
  <c r="A62" i="21"/>
  <c r="D62" i="21"/>
  <c r="F62" i="21"/>
  <c r="H62" i="21"/>
  <c r="I62" i="21"/>
  <c r="K62" i="21"/>
  <c r="M62" i="21"/>
  <c r="A63" i="21"/>
  <c r="D63" i="21"/>
  <c r="F63" i="21"/>
  <c r="H63" i="21"/>
  <c r="I63" i="21"/>
  <c r="K63" i="21"/>
  <c r="M63" i="21"/>
  <c r="A64" i="21"/>
  <c r="D64" i="21"/>
  <c r="F64" i="21"/>
  <c r="H64" i="21"/>
  <c r="I64" i="21"/>
  <c r="K64" i="21"/>
  <c r="M64" i="21"/>
  <c r="A65" i="21"/>
  <c r="D65" i="21"/>
  <c r="F65" i="21"/>
  <c r="H65" i="21"/>
  <c r="I65" i="21"/>
  <c r="K65" i="21"/>
  <c r="M65" i="21"/>
  <c r="A66" i="21"/>
  <c r="D66" i="21"/>
  <c r="F66" i="21"/>
  <c r="H66" i="21"/>
  <c r="I66" i="21"/>
  <c r="K66" i="21"/>
  <c r="M66" i="21"/>
  <c r="A67" i="21"/>
  <c r="D67" i="21"/>
  <c r="F67" i="21"/>
  <c r="H67" i="21"/>
  <c r="I67" i="21"/>
  <c r="K67" i="21"/>
  <c r="M67" i="21"/>
  <c r="A68" i="21"/>
  <c r="D68" i="21"/>
  <c r="F68" i="21"/>
  <c r="H68" i="21"/>
  <c r="I68" i="21"/>
  <c r="K68" i="21"/>
  <c r="M68" i="21"/>
  <c r="A69" i="21"/>
  <c r="D69" i="21"/>
  <c r="F69" i="21"/>
  <c r="H69" i="21"/>
  <c r="I69" i="21"/>
  <c r="K69" i="21"/>
  <c r="M69" i="21"/>
  <c r="A70" i="21"/>
  <c r="D70" i="21"/>
  <c r="F70" i="21"/>
  <c r="H70" i="21"/>
  <c r="I70" i="21"/>
  <c r="K70" i="21"/>
  <c r="M70" i="21"/>
  <c r="A71" i="21"/>
  <c r="D71" i="21"/>
  <c r="F71" i="21"/>
  <c r="H71" i="21"/>
  <c r="I71" i="21"/>
  <c r="K71" i="21"/>
  <c r="M71" i="21"/>
  <c r="A72" i="21"/>
  <c r="D72" i="21"/>
  <c r="F72" i="21"/>
  <c r="H72" i="21"/>
  <c r="I72" i="21"/>
  <c r="K72" i="21"/>
  <c r="M72" i="21"/>
  <c r="A73" i="21"/>
  <c r="D73" i="21"/>
  <c r="F73" i="21"/>
  <c r="H73" i="21"/>
  <c r="I73" i="21"/>
  <c r="K73" i="21"/>
  <c r="M73" i="21"/>
  <c r="A74" i="21"/>
  <c r="D74" i="21"/>
  <c r="F74" i="21"/>
  <c r="H74" i="21"/>
  <c r="I74" i="21"/>
  <c r="K74" i="21"/>
  <c r="M74" i="21"/>
  <c r="A75" i="21"/>
  <c r="D75" i="21"/>
  <c r="F75" i="21"/>
  <c r="H75" i="21"/>
  <c r="I75" i="21"/>
  <c r="K75" i="21"/>
  <c r="M75" i="21"/>
  <c r="A76" i="21"/>
  <c r="D76" i="21"/>
  <c r="F76" i="21"/>
  <c r="H76" i="21"/>
  <c r="I76" i="21"/>
  <c r="K76" i="21"/>
  <c r="M76" i="21"/>
  <c r="E119" i="12"/>
  <c r="E120" i="12"/>
  <c r="E124" i="12"/>
  <c r="G119" i="12"/>
  <c r="G120" i="12"/>
  <c r="G124" i="12"/>
  <c r="R119" i="12"/>
  <c r="R120" i="12"/>
  <c r="R124" i="12"/>
  <c r="S119" i="12"/>
  <c r="T119" i="12" s="1"/>
  <c r="S120" i="12"/>
  <c r="T120" i="12" s="1"/>
  <c r="S124" i="12"/>
  <c r="T124" i="12" s="1"/>
  <c r="W119" i="12"/>
  <c r="W120" i="12"/>
  <c r="W124" i="12"/>
  <c r="AK119" i="12"/>
  <c r="AK120" i="12"/>
  <c r="AK124" i="12"/>
  <c r="AL119" i="12"/>
  <c r="AL120" i="12"/>
  <c r="AL124" i="12"/>
  <c r="AM119" i="12"/>
  <c r="AN119" i="12" s="1"/>
  <c r="AM120" i="12"/>
  <c r="AN120" i="12" s="1"/>
  <c r="AM124" i="12"/>
  <c r="AO124" i="12" s="1"/>
  <c r="AP124" i="12" s="1"/>
  <c r="E118" i="12"/>
  <c r="G118" i="12"/>
  <c r="R118" i="12"/>
  <c r="S118" i="12"/>
  <c r="T118" i="12" s="1"/>
  <c r="W118" i="12"/>
  <c r="AK118" i="12"/>
  <c r="AL118" i="12"/>
  <c r="AM118" i="12"/>
  <c r="AN118" i="12" s="1"/>
  <c r="E116" i="12"/>
  <c r="G116" i="12"/>
  <c r="R116" i="12"/>
  <c r="S116" i="12"/>
  <c r="T116" i="12" s="1"/>
  <c r="W116" i="12"/>
  <c r="AK116" i="12"/>
  <c r="AL116" i="12"/>
  <c r="AM116" i="12"/>
  <c r="AN116" i="12" s="1"/>
  <c r="E106" i="12"/>
  <c r="G106" i="12"/>
  <c r="R106" i="12"/>
  <c r="S106" i="12"/>
  <c r="T106" i="12" s="1"/>
  <c r="W106" i="12"/>
  <c r="AK106" i="12"/>
  <c r="AL106" i="12"/>
  <c r="AM106" i="12"/>
  <c r="AN106" i="12" s="1"/>
  <c r="E96" i="12"/>
  <c r="E98" i="12"/>
  <c r="E100" i="12"/>
  <c r="G96" i="12"/>
  <c r="G98" i="12"/>
  <c r="R96" i="12"/>
  <c r="R98" i="12"/>
  <c r="R100" i="12"/>
  <c r="S96" i="12"/>
  <c r="T96" i="12" s="1"/>
  <c r="S98" i="12"/>
  <c r="T98" i="12" s="1"/>
  <c r="S100" i="12"/>
  <c r="T100" i="12" s="1"/>
  <c r="W96" i="12"/>
  <c r="W98" i="12"/>
  <c r="W100" i="12"/>
  <c r="AK96" i="12"/>
  <c r="AK98" i="12"/>
  <c r="AK100" i="12"/>
  <c r="AL96" i="12"/>
  <c r="AL98" i="12"/>
  <c r="AL100" i="12"/>
  <c r="AM96" i="12"/>
  <c r="AO96" i="12" s="1"/>
  <c r="AP96" i="12" s="1"/>
  <c r="AM98" i="12"/>
  <c r="AN98" i="12" s="1"/>
  <c r="AM100" i="12"/>
  <c r="AO100" i="12" s="1"/>
  <c r="AP100" i="12" s="1"/>
  <c r="E91" i="12"/>
  <c r="G91" i="12"/>
  <c r="R91" i="12"/>
  <c r="S91" i="12"/>
  <c r="T91" i="12" s="1"/>
  <c r="W91" i="12"/>
  <c r="AK91" i="12"/>
  <c r="AL91" i="12"/>
  <c r="AM91" i="12"/>
  <c r="AN91" i="12" s="1"/>
  <c r="E83" i="12"/>
  <c r="E84" i="12"/>
  <c r="E86" i="12"/>
  <c r="E88" i="12"/>
  <c r="E89" i="12"/>
  <c r="G83" i="12"/>
  <c r="G84" i="12"/>
  <c r="G86" i="12"/>
  <c r="G88" i="12"/>
  <c r="G89" i="12"/>
  <c r="G90" i="12"/>
  <c r="R83" i="12"/>
  <c r="R84" i="12"/>
  <c r="R86" i="12"/>
  <c r="R88" i="12"/>
  <c r="R89" i="12"/>
  <c r="R90" i="12"/>
  <c r="S83" i="12"/>
  <c r="T83" i="12" s="1"/>
  <c r="S84" i="12"/>
  <c r="T84" i="12" s="1"/>
  <c r="S86" i="12"/>
  <c r="T86" i="12" s="1"/>
  <c r="S88" i="12"/>
  <c r="T88" i="12" s="1"/>
  <c r="S89" i="12"/>
  <c r="T89" i="12" s="1"/>
  <c r="S90" i="12"/>
  <c r="T90" i="12" s="1"/>
  <c r="W83" i="12"/>
  <c r="W84" i="12"/>
  <c r="W86" i="12"/>
  <c r="W88" i="12"/>
  <c r="W89" i="12"/>
  <c r="W90" i="12"/>
  <c r="AK83" i="12"/>
  <c r="AK84" i="12"/>
  <c r="AK86" i="12"/>
  <c r="AK88" i="12"/>
  <c r="AK89" i="12"/>
  <c r="AK90" i="12"/>
  <c r="AL83" i="12"/>
  <c r="AL84" i="12"/>
  <c r="AL86" i="12"/>
  <c r="AL88" i="12"/>
  <c r="AL89" i="12"/>
  <c r="AL90" i="12"/>
  <c r="AM83" i="12"/>
  <c r="AO83" i="12" s="1"/>
  <c r="AP83" i="12" s="1"/>
  <c r="AM84" i="12"/>
  <c r="AN84" i="12" s="1"/>
  <c r="AM86" i="12"/>
  <c r="AN86" i="12" s="1"/>
  <c r="AM88" i="12"/>
  <c r="AN88" i="12" s="1"/>
  <c r="AM89" i="12"/>
  <c r="AN89" i="12" s="1"/>
  <c r="AM90" i="12"/>
  <c r="AO90" i="12" s="1"/>
  <c r="AP90" i="12" s="1"/>
  <c r="E82" i="12"/>
  <c r="G82" i="12"/>
  <c r="R82" i="12"/>
  <c r="S82" i="12"/>
  <c r="T82" i="12" s="1"/>
  <c r="AK82" i="12"/>
  <c r="AL82" i="12"/>
  <c r="AM82" i="12"/>
  <c r="AO82" i="12" s="1"/>
  <c r="AP82" i="12" s="1"/>
  <c r="E80" i="12"/>
  <c r="G80" i="12"/>
  <c r="R80" i="12"/>
  <c r="S80" i="12"/>
  <c r="T80" i="12" s="1"/>
  <c r="W80" i="12"/>
  <c r="AK80" i="12"/>
  <c r="AL80" i="12"/>
  <c r="AM80" i="12"/>
  <c r="AN80" i="12" s="1"/>
  <c r="E78" i="12"/>
  <c r="G78" i="12"/>
  <c r="R78" i="12"/>
  <c r="S78" i="12"/>
  <c r="T78" i="12" s="1"/>
  <c r="W78" i="12"/>
  <c r="AK78" i="12"/>
  <c r="AL78" i="12"/>
  <c r="AM78" i="12"/>
  <c r="AN78" i="12" s="1"/>
  <c r="E76" i="12"/>
  <c r="G76" i="12"/>
  <c r="R76" i="12"/>
  <c r="S76" i="12"/>
  <c r="T76" i="12" s="1"/>
  <c r="W76" i="12"/>
  <c r="AK76" i="12"/>
  <c r="AL76" i="12"/>
  <c r="AM76" i="12"/>
  <c r="AO76" i="12" s="1"/>
  <c r="AP76" i="12" s="1"/>
  <c r="E28" i="12"/>
  <c r="R28" i="12"/>
  <c r="S28" i="12"/>
  <c r="T28" i="12" s="1"/>
  <c r="W28" i="12"/>
  <c r="AK28" i="12"/>
  <c r="AL28" i="12"/>
  <c r="AM28" i="12"/>
  <c r="AN28" i="12" s="1"/>
  <c r="E31" i="12"/>
  <c r="G31" i="12"/>
  <c r="R31" i="12"/>
  <c r="S31" i="12"/>
  <c r="T31" i="12" s="1"/>
  <c r="W31" i="12"/>
  <c r="AK31" i="12"/>
  <c r="AL31" i="12"/>
  <c r="AM31" i="12"/>
  <c r="AO31" i="12" s="1"/>
  <c r="AP31" i="12" s="1"/>
  <c r="E32" i="12"/>
  <c r="G32" i="12"/>
  <c r="R32" i="12"/>
  <c r="S32" i="12"/>
  <c r="T32" i="12" s="1"/>
  <c r="W32" i="12"/>
  <c r="AK32" i="12"/>
  <c r="AL32" i="12"/>
  <c r="AM32" i="12"/>
  <c r="AO32" i="12" s="1"/>
  <c r="AP32" i="12" s="1"/>
  <c r="E35" i="12"/>
  <c r="G35" i="12"/>
  <c r="R35" i="12"/>
  <c r="S35" i="12"/>
  <c r="T35" i="12" s="1"/>
  <c r="W35" i="12"/>
  <c r="AK35" i="12"/>
  <c r="AL35" i="12"/>
  <c r="AM35" i="12"/>
  <c r="AN35" i="12" s="1"/>
  <c r="E38" i="12"/>
  <c r="G38" i="12"/>
  <c r="R38" i="12"/>
  <c r="S38" i="12"/>
  <c r="T38" i="12" s="1"/>
  <c r="W38" i="12"/>
  <c r="AK38" i="12"/>
  <c r="AL38" i="12"/>
  <c r="AM38" i="12"/>
  <c r="AN38" i="12" s="1"/>
  <c r="G7" i="12"/>
  <c r="R7" i="12"/>
  <c r="S7" i="12"/>
  <c r="T7" i="12" s="1"/>
  <c r="W7" i="12"/>
  <c r="AK7" i="12"/>
  <c r="AL7" i="12"/>
  <c r="AM7" i="12"/>
  <c r="AN7" i="12" s="1"/>
  <c r="E10" i="12"/>
  <c r="G10" i="12"/>
  <c r="R10" i="12"/>
  <c r="S10" i="12"/>
  <c r="T10" i="12" s="1"/>
  <c r="W10" i="12"/>
  <c r="AK10" i="12"/>
  <c r="AL10" i="12"/>
  <c r="AM10" i="12"/>
  <c r="AN10" i="12" s="1"/>
  <c r="E11" i="12"/>
  <c r="G11" i="12"/>
  <c r="R11" i="12"/>
  <c r="S11" i="12"/>
  <c r="T11" i="12" s="1"/>
  <c r="W11" i="12"/>
  <c r="AK11" i="12"/>
  <c r="AL11" i="12"/>
  <c r="AM11" i="12"/>
  <c r="AN11" i="12" s="1"/>
  <c r="G17" i="12"/>
  <c r="R17" i="12"/>
  <c r="S17" i="12"/>
  <c r="T17" i="12" s="1"/>
  <c r="W17" i="12"/>
  <c r="AK17" i="12"/>
  <c r="AL17" i="12"/>
  <c r="AM17" i="12"/>
  <c r="AN17" i="12" s="1"/>
  <c r="E19" i="12"/>
  <c r="G19" i="12"/>
  <c r="R19" i="12"/>
  <c r="S19" i="12"/>
  <c r="T19" i="12" s="1"/>
  <c r="W19" i="12"/>
  <c r="AK19" i="12"/>
  <c r="AL19" i="12"/>
  <c r="AM19" i="12"/>
  <c r="AN19" i="12" s="1"/>
  <c r="E20" i="12"/>
  <c r="G20" i="12"/>
  <c r="R20" i="12"/>
  <c r="S20" i="12"/>
  <c r="T20" i="12" s="1"/>
  <c r="W20" i="12"/>
  <c r="AK20" i="12"/>
  <c r="AL20" i="12"/>
  <c r="AM20" i="12"/>
  <c r="AN20" i="12" s="1"/>
  <c r="E22" i="12"/>
  <c r="G22" i="12"/>
  <c r="R22" i="12"/>
  <c r="S22" i="12"/>
  <c r="T22" i="12" s="1"/>
  <c r="W22" i="12"/>
  <c r="AK22" i="12"/>
  <c r="AL22" i="12"/>
  <c r="AM22" i="12"/>
  <c r="AN22" i="12" s="1"/>
  <c r="E49" i="12"/>
  <c r="E52" i="12"/>
  <c r="E55" i="12"/>
  <c r="E57" i="12"/>
  <c r="E58" i="12"/>
  <c r="E61" i="12"/>
  <c r="E64" i="12"/>
  <c r="E67" i="12"/>
  <c r="E68" i="12"/>
  <c r="E70" i="12"/>
  <c r="E71" i="12"/>
  <c r="E73" i="12"/>
  <c r="G49" i="12"/>
  <c r="G52" i="12"/>
  <c r="G55" i="12"/>
  <c r="G57" i="12"/>
  <c r="G58" i="12"/>
  <c r="G61" i="12"/>
  <c r="G64" i="12"/>
  <c r="G67" i="12"/>
  <c r="G68" i="12"/>
  <c r="G70" i="12"/>
  <c r="G71" i="12"/>
  <c r="G73" i="12"/>
  <c r="R49" i="12"/>
  <c r="R52" i="12"/>
  <c r="R55" i="12"/>
  <c r="R57" i="12"/>
  <c r="R58" i="12"/>
  <c r="R61" i="12"/>
  <c r="R64" i="12"/>
  <c r="R67" i="12"/>
  <c r="R68" i="12"/>
  <c r="R70" i="12"/>
  <c r="R71" i="12"/>
  <c r="R73" i="12"/>
  <c r="S49" i="12"/>
  <c r="T49" i="12" s="1"/>
  <c r="S52" i="12"/>
  <c r="T52" i="12" s="1"/>
  <c r="S55" i="12"/>
  <c r="T55" i="12" s="1"/>
  <c r="S57" i="12"/>
  <c r="T57" i="12" s="1"/>
  <c r="S58" i="12"/>
  <c r="T58" i="12" s="1"/>
  <c r="S61" i="12"/>
  <c r="T61" i="12" s="1"/>
  <c r="S64" i="12"/>
  <c r="T64" i="12" s="1"/>
  <c r="S67" i="12"/>
  <c r="T67" i="12" s="1"/>
  <c r="S68" i="12"/>
  <c r="T68" i="12" s="1"/>
  <c r="S70" i="12"/>
  <c r="T70" i="12" s="1"/>
  <c r="S71" i="12"/>
  <c r="T71" i="12" s="1"/>
  <c r="S73" i="12"/>
  <c r="T73" i="12" s="1"/>
  <c r="W49" i="12"/>
  <c r="W52" i="12"/>
  <c r="W55" i="12"/>
  <c r="W57" i="12"/>
  <c r="W58" i="12"/>
  <c r="W61" i="12"/>
  <c r="W64" i="12"/>
  <c r="W67" i="12"/>
  <c r="W68" i="12"/>
  <c r="W70" i="12"/>
  <c r="W71" i="12"/>
  <c r="W73" i="12"/>
  <c r="AK49" i="12"/>
  <c r="AK52" i="12"/>
  <c r="AK55" i="12"/>
  <c r="AK57" i="12"/>
  <c r="AK58" i="12"/>
  <c r="AK61" i="12"/>
  <c r="AK64" i="12"/>
  <c r="AK67" i="12"/>
  <c r="AK68" i="12"/>
  <c r="AK70" i="12"/>
  <c r="AK71" i="12"/>
  <c r="AK73" i="12"/>
  <c r="AL49" i="12"/>
  <c r="AL52" i="12"/>
  <c r="AL55" i="12"/>
  <c r="AL57" i="12"/>
  <c r="AL58" i="12"/>
  <c r="AL61" i="12"/>
  <c r="AL64" i="12"/>
  <c r="AL67" i="12"/>
  <c r="AL68" i="12"/>
  <c r="AL70" i="12"/>
  <c r="AL71" i="12"/>
  <c r="AL73" i="12"/>
  <c r="AM49" i="12"/>
  <c r="AO49" i="12" s="1"/>
  <c r="AP49" i="12" s="1"/>
  <c r="AM52" i="12"/>
  <c r="AN52" i="12" s="1"/>
  <c r="AM55" i="12"/>
  <c r="AO55" i="12" s="1"/>
  <c r="AP55" i="12" s="1"/>
  <c r="AM57" i="12"/>
  <c r="AO57" i="12" s="1"/>
  <c r="AP57" i="12" s="1"/>
  <c r="AM58" i="12"/>
  <c r="AO58" i="12" s="1"/>
  <c r="AP58" i="12" s="1"/>
  <c r="AM61" i="12"/>
  <c r="AN61" i="12" s="1"/>
  <c r="AM64" i="12"/>
  <c r="AO64" i="12" s="1"/>
  <c r="AP64" i="12" s="1"/>
  <c r="AM67" i="12"/>
  <c r="AN67" i="12" s="1"/>
  <c r="AM68" i="12"/>
  <c r="AN68" i="12" s="1"/>
  <c r="AM70" i="12"/>
  <c r="AN70" i="12" s="1"/>
  <c r="AM71" i="12"/>
  <c r="AO71" i="12" s="1"/>
  <c r="AP71" i="12" s="1"/>
  <c r="AM73" i="12"/>
  <c r="AO73" i="12" s="1"/>
  <c r="AP73" i="12" s="1"/>
  <c r="X117" i="12" l="1"/>
  <c r="Y117" i="12" s="1"/>
  <c r="X9" i="12"/>
  <c r="Y9" i="12" s="1"/>
  <c r="U107" i="12"/>
  <c r="U113" i="12"/>
  <c r="U13" i="12"/>
  <c r="U104" i="12"/>
  <c r="U42" i="12"/>
  <c r="U53" i="12"/>
  <c r="U69" i="12"/>
  <c r="U92" i="12"/>
  <c r="U23" i="12"/>
  <c r="U48" i="12"/>
  <c r="U72" i="12"/>
  <c r="U29" i="12"/>
  <c r="X6" i="12"/>
  <c r="Y6" i="12" s="1"/>
  <c r="U109" i="12"/>
  <c r="U123" i="12"/>
  <c r="X111" i="12"/>
  <c r="Y111" i="12" s="1"/>
  <c r="X36" i="12"/>
  <c r="Y36" i="12" s="1"/>
  <c r="X63" i="12"/>
  <c r="Y63" i="12" s="1"/>
  <c r="X87" i="12"/>
  <c r="Y87" i="12" s="1"/>
  <c r="X18" i="12"/>
  <c r="Y18" i="12" s="1"/>
  <c r="U27" i="12"/>
  <c r="U34" i="12"/>
  <c r="U43" i="12"/>
  <c r="X50" i="12"/>
  <c r="Y50" i="12" s="1"/>
  <c r="U56" i="12"/>
  <c r="X62" i="12"/>
  <c r="Y62" i="12" s="1"/>
  <c r="X75" i="12"/>
  <c r="Y75" i="12" s="1"/>
  <c r="U81" i="12"/>
  <c r="X93" i="12"/>
  <c r="Y93" i="12" s="1"/>
  <c r="U97" i="12"/>
  <c r="X8" i="12"/>
  <c r="Y8" i="12" s="1"/>
  <c r="U16" i="12"/>
  <c r="X103" i="12"/>
  <c r="Y103" i="12" s="1"/>
  <c r="U110" i="12"/>
  <c r="U112" i="12"/>
  <c r="U121" i="12"/>
  <c r="X21" i="12"/>
  <c r="Y21" i="12" s="1"/>
  <c r="X26" i="12"/>
  <c r="Y26" i="12" s="1"/>
  <c r="U33" i="12"/>
  <c r="X39" i="12"/>
  <c r="Y39" i="12" s="1"/>
  <c r="U44" i="12"/>
  <c r="X51" i="12"/>
  <c r="Y51" i="12" s="1"/>
  <c r="U60" i="12"/>
  <c r="U66" i="12"/>
  <c r="U74" i="12"/>
  <c r="X77" i="12"/>
  <c r="Y77" i="12" s="1"/>
  <c r="X94" i="12"/>
  <c r="Y94" i="12" s="1"/>
  <c r="U102" i="12"/>
  <c r="X15" i="12"/>
  <c r="Y15" i="12" s="1"/>
  <c r="X24" i="12"/>
  <c r="Y24" i="12" s="1"/>
  <c r="U30" i="12"/>
  <c r="U37" i="12"/>
  <c r="X41" i="12"/>
  <c r="Y41" i="12" s="1"/>
  <c r="U47" i="12"/>
  <c r="U54" i="12"/>
  <c r="U59" i="12"/>
  <c r="U65" i="12"/>
  <c r="X79" i="12"/>
  <c r="Y79" i="12" s="1"/>
  <c r="X85" i="12"/>
  <c r="Y85" i="12" s="1"/>
  <c r="X95" i="12"/>
  <c r="Y95" i="12" s="1"/>
  <c r="X99" i="12"/>
  <c r="Y99" i="12" s="1"/>
  <c r="X101" i="12"/>
  <c r="Y101" i="12" s="1"/>
  <c r="U12" i="12"/>
  <c r="X108" i="12"/>
  <c r="Y108" i="12" s="1"/>
  <c r="U115" i="12"/>
  <c r="X122" i="12"/>
  <c r="Y122" i="12" s="1"/>
  <c r="X121" i="12"/>
  <c r="Y121" i="12" s="1"/>
  <c r="AO121" i="12"/>
  <c r="AP121" i="12" s="1"/>
  <c r="X123" i="12"/>
  <c r="Y123" i="12" s="1"/>
  <c r="AN122" i="12"/>
  <c r="U122" i="12"/>
  <c r="AO123" i="12"/>
  <c r="AP123" i="12" s="1"/>
  <c r="X112" i="12"/>
  <c r="Y112" i="12" s="1"/>
  <c r="X115" i="12"/>
  <c r="Y115" i="12" s="1"/>
  <c r="AN117" i="12"/>
  <c r="U117" i="12"/>
  <c r="AO115" i="12"/>
  <c r="AP115" i="12" s="1"/>
  <c r="AN111" i="12"/>
  <c r="U111" i="12"/>
  <c r="X113" i="12"/>
  <c r="Y113" i="12" s="1"/>
  <c r="AN112" i="12"/>
  <c r="AO113" i="12"/>
  <c r="AP113" i="12" s="1"/>
  <c r="X109" i="12"/>
  <c r="Y109" i="12" s="1"/>
  <c r="AO108" i="12"/>
  <c r="AP108" i="12" s="1"/>
  <c r="U108" i="12"/>
  <c r="X110" i="12"/>
  <c r="Y110" i="12" s="1"/>
  <c r="AN109" i="12"/>
  <c r="X107" i="12"/>
  <c r="Y107" i="12" s="1"/>
  <c r="AO110" i="12"/>
  <c r="AP110" i="12" s="1"/>
  <c r="AO107" i="12"/>
  <c r="AP107" i="12" s="1"/>
  <c r="AN103" i="12"/>
  <c r="X104" i="12"/>
  <c r="Y104" i="12" s="1"/>
  <c r="X102" i="12"/>
  <c r="Y102" i="12" s="1"/>
  <c r="U103" i="12"/>
  <c r="X105" i="12"/>
  <c r="Y105" i="12" s="1"/>
  <c r="AO104" i="12"/>
  <c r="AP104" i="12" s="1"/>
  <c r="AN105" i="12"/>
  <c r="U101" i="12"/>
  <c r="U105" i="12"/>
  <c r="AO101" i="12"/>
  <c r="AP101" i="12" s="1"/>
  <c r="AO102" i="12"/>
  <c r="AP102" i="12" s="1"/>
  <c r="AN99" i="12"/>
  <c r="U99" i="12"/>
  <c r="X97" i="12"/>
  <c r="Y97" i="12" s="1"/>
  <c r="AO97" i="12"/>
  <c r="AP97" i="12" s="1"/>
  <c r="AO94" i="12"/>
  <c r="AP94" i="12" s="1"/>
  <c r="AN95" i="12"/>
  <c r="X92" i="12"/>
  <c r="Y92" i="12" s="1"/>
  <c r="U95" i="12"/>
  <c r="U93" i="12"/>
  <c r="U94" i="12"/>
  <c r="AO93" i="12"/>
  <c r="AP93" i="12" s="1"/>
  <c r="AO92" i="12"/>
  <c r="AP92" i="12" s="1"/>
  <c r="AN87" i="12"/>
  <c r="AN85" i="12"/>
  <c r="U87" i="12"/>
  <c r="U85" i="12"/>
  <c r="X81" i="12"/>
  <c r="Y81" i="12" s="1"/>
  <c r="AO81" i="12"/>
  <c r="AP81" i="12" s="1"/>
  <c r="AN79" i="12"/>
  <c r="U77" i="12"/>
  <c r="U79" i="12"/>
  <c r="X74" i="12"/>
  <c r="Y74" i="12" s="1"/>
  <c r="AO77" i="12"/>
  <c r="AP77" i="12" s="1"/>
  <c r="AO75" i="12"/>
  <c r="AP75" i="12" s="1"/>
  <c r="U75" i="12"/>
  <c r="AO74" i="12"/>
  <c r="AP74" i="12" s="1"/>
  <c r="X72" i="12"/>
  <c r="Y72" i="12" s="1"/>
  <c r="AO72" i="12"/>
  <c r="AP72" i="12" s="1"/>
  <c r="X69" i="12"/>
  <c r="Y69" i="12" s="1"/>
  <c r="X65" i="12"/>
  <c r="Y65" i="12" s="1"/>
  <c r="X66" i="12"/>
  <c r="Y66" i="12" s="1"/>
  <c r="AO69" i="12"/>
  <c r="AP69" i="12" s="1"/>
  <c r="X59" i="12"/>
  <c r="Y59" i="12" s="1"/>
  <c r="AO65" i="12"/>
  <c r="AP65" i="12" s="1"/>
  <c r="AO66" i="12"/>
  <c r="AP66" i="12" s="1"/>
  <c r="AN62" i="12"/>
  <c r="U62" i="12"/>
  <c r="X60" i="12"/>
  <c r="Y60" i="12" s="1"/>
  <c r="AN63" i="12"/>
  <c r="U63" i="12"/>
  <c r="AO59" i="12"/>
  <c r="AP59" i="12" s="1"/>
  <c r="AO60" i="12"/>
  <c r="AP60" i="12" s="1"/>
  <c r="X56" i="12"/>
  <c r="Y56" i="12" s="1"/>
  <c r="X53" i="12"/>
  <c r="Y53" i="12" s="1"/>
  <c r="X54" i="12"/>
  <c r="Y54" i="12" s="1"/>
  <c r="AO56" i="12"/>
  <c r="AP56" i="12" s="1"/>
  <c r="AO53" i="12"/>
  <c r="AP53" i="12" s="1"/>
  <c r="AO54" i="12"/>
  <c r="AP54" i="12" s="1"/>
  <c r="X48" i="12"/>
  <c r="Y48" i="12" s="1"/>
  <c r="AN51" i="12"/>
  <c r="U51" i="12"/>
  <c r="AN50" i="12"/>
  <c r="U50" i="12"/>
  <c r="X44" i="12"/>
  <c r="Y44" i="12" s="1"/>
  <c r="X47" i="12"/>
  <c r="Y47" i="12" s="1"/>
  <c r="AO48" i="12"/>
  <c r="AP48" i="12" s="1"/>
  <c r="X43" i="12"/>
  <c r="Y43" i="12" s="1"/>
  <c r="AO47" i="12"/>
  <c r="AP47" i="12" s="1"/>
  <c r="AO44" i="12"/>
  <c r="AP44" i="12" s="1"/>
  <c r="X42" i="12"/>
  <c r="Y42" i="12" s="1"/>
  <c r="AO43" i="12"/>
  <c r="AP43" i="12" s="1"/>
  <c r="X33" i="12"/>
  <c r="Y33" i="12" s="1"/>
  <c r="AO42" i="12"/>
  <c r="AP42" i="12" s="1"/>
  <c r="AN39" i="12"/>
  <c r="AN41" i="12"/>
  <c r="U39" i="12"/>
  <c r="U41" i="12"/>
  <c r="X37" i="12"/>
  <c r="Y37" i="12" s="1"/>
  <c r="AO36" i="12"/>
  <c r="AP36" i="12" s="1"/>
  <c r="U36" i="12"/>
  <c r="X29" i="12"/>
  <c r="Y29" i="12" s="1"/>
  <c r="AO37" i="12"/>
  <c r="AP37" i="12" s="1"/>
  <c r="X34" i="12"/>
  <c r="Y34" i="12" s="1"/>
  <c r="AO29" i="12"/>
  <c r="AP29" i="12" s="1"/>
  <c r="AO33" i="12"/>
  <c r="AP33" i="12" s="1"/>
  <c r="AO34" i="12"/>
  <c r="AP34" i="12" s="1"/>
  <c r="X30" i="12"/>
  <c r="Y30" i="12" s="1"/>
  <c r="AN30" i="12"/>
  <c r="X23" i="12"/>
  <c r="Y23" i="12" s="1"/>
  <c r="AN26" i="12"/>
  <c r="X27" i="12"/>
  <c r="Y27" i="12" s="1"/>
  <c r="U26" i="12"/>
  <c r="U21" i="12"/>
  <c r="AO24" i="12"/>
  <c r="AP24" i="12" s="1"/>
  <c r="AO27" i="12"/>
  <c r="AP27" i="12" s="1"/>
  <c r="AO18" i="12"/>
  <c r="AP18" i="12" s="1"/>
  <c r="U24" i="12"/>
  <c r="AO23" i="12"/>
  <c r="AP23" i="12" s="1"/>
  <c r="U18" i="12"/>
  <c r="AO21" i="12"/>
  <c r="AP21" i="12" s="1"/>
  <c r="U15" i="12"/>
  <c r="AO15" i="12"/>
  <c r="AP15" i="12" s="1"/>
  <c r="E10" i="21"/>
  <c r="X14" i="12"/>
  <c r="Y14" i="12" s="1"/>
  <c r="U14" i="12"/>
  <c r="AO14" i="12"/>
  <c r="AP14" i="12" s="1"/>
  <c r="X16" i="12"/>
  <c r="Y16" i="12" s="1"/>
  <c r="X13" i="12"/>
  <c r="Y13" i="12" s="1"/>
  <c r="AO16" i="12"/>
  <c r="AP16" i="12" s="1"/>
  <c r="E66" i="21"/>
  <c r="X12" i="12"/>
  <c r="Y12" i="12" s="1"/>
  <c r="AO13" i="12"/>
  <c r="AP13" i="12" s="1"/>
  <c r="C13" i="21"/>
  <c r="E14" i="21"/>
  <c r="U70" i="12"/>
  <c r="U52" i="12"/>
  <c r="AO12" i="12"/>
  <c r="AP12" i="12" s="1"/>
  <c r="U80" i="12"/>
  <c r="X84" i="12"/>
  <c r="Y84" i="12" s="1"/>
  <c r="C52" i="21"/>
  <c r="AN9" i="12"/>
  <c r="E9" i="21"/>
  <c r="U90" i="12"/>
  <c r="U83" i="12"/>
  <c r="C64" i="21"/>
  <c r="U8" i="12"/>
  <c r="U9" i="12"/>
  <c r="C73" i="21"/>
  <c r="C76" i="21"/>
  <c r="AO8" i="12"/>
  <c r="AP8" i="12" s="1"/>
  <c r="E55" i="21"/>
  <c r="G53" i="21"/>
  <c r="E54" i="21"/>
  <c r="G76" i="21"/>
  <c r="E13" i="21"/>
  <c r="X98" i="12"/>
  <c r="Y98" i="12" s="1"/>
  <c r="G60" i="21"/>
  <c r="U116" i="12"/>
  <c r="G71" i="21"/>
  <c r="C71" i="21"/>
  <c r="G12" i="21"/>
  <c r="E70" i="21"/>
  <c r="C59" i="21"/>
  <c r="E67" i="21"/>
  <c r="C65" i="21"/>
  <c r="C55" i="21"/>
  <c r="G74" i="21"/>
  <c r="C11" i="21"/>
  <c r="C70" i="21"/>
  <c r="E76" i="21"/>
  <c r="E58" i="21"/>
  <c r="E63" i="21"/>
  <c r="G8" i="21"/>
  <c r="G54" i="21"/>
  <c r="G10" i="21"/>
  <c r="G14" i="21"/>
  <c r="G70" i="21"/>
  <c r="G61" i="21"/>
  <c r="G65" i="21"/>
  <c r="G51" i="21"/>
  <c r="E52" i="21"/>
  <c r="C53" i="21"/>
  <c r="C56" i="21"/>
  <c r="G58" i="21"/>
  <c r="C60" i="21"/>
  <c r="G66" i="21"/>
  <c r="E64" i="21"/>
  <c r="C62" i="21"/>
  <c r="G68" i="21"/>
  <c r="U71" i="12"/>
  <c r="U55" i="12"/>
  <c r="U22" i="12"/>
  <c r="E12" i="21"/>
  <c r="E8" i="21"/>
  <c r="G50" i="21"/>
  <c r="E51" i="21"/>
  <c r="U98" i="12"/>
  <c r="G57" i="21"/>
  <c r="E68" i="21"/>
  <c r="C75" i="21"/>
  <c r="AO6" i="12"/>
  <c r="AP6" i="12" s="1"/>
  <c r="U6" i="12"/>
  <c r="C12" i="21"/>
  <c r="G11" i="21"/>
  <c r="C8" i="21"/>
  <c r="E50" i="21"/>
  <c r="C51" i="21"/>
  <c r="E61" i="21"/>
  <c r="C58" i="21"/>
  <c r="G64" i="21"/>
  <c r="E62" i="21"/>
  <c r="C68" i="21"/>
  <c r="G69" i="21"/>
  <c r="C69" i="21"/>
  <c r="G73" i="21"/>
  <c r="C74" i="21"/>
  <c r="E11" i="21"/>
  <c r="C50" i="21"/>
  <c r="E60" i="21"/>
  <c r="C57" i="21"/>
  <c r="G63" i="21"/>
  <c r="C67" i="21"/>
  <c r="E72" i="21"/>
  <c r="E73" i="21"/>
  <c r="G75" i="21"/>
  <c r="G55" i="21"/>
  <c r="E59" i="21"/>
  <c r="G62" i="21"/>
  <c r="C66" i="21"/>
  <c r="E71" i="21"/>
  <c r="C14" i="21"/>
  <c r="G13" i="21"/>
  <c r="C10" i="21"/>
  <c r="G9" i="21"/>
  <c r="G56" i="21"/>
  <c r="E57" i="21"/>
  <c r="E69" i="21"/>
  <c r="E75" i="21"/>
  <c r="G52" i="21"/>
  <c r="E53" i="21"/>
  <c r="C54" i="21"/>
  <c r="E56" i="21"/>
  <c r="G59" i="21"/>
  <c r="C61" i="21"/>
  <c r="G67" i="21"/>
  <c r="E65" i="21"/>
  <c r="C63" i="21"/>
  <c r="G72" i="21"/>
  <c r="C72" i="21"/>
  <c r="E74" i="21"/>
  <c r="X124" i="12"/>
  <c r="Y124" i="12" s="1"/>
  <c r="X31" i="12"/>
  <c r="Y31" i="12" s="1"/>
  <c r="X106" i="12"/>
  <c r="Y106" i="12" s="1"/>
  <c r="U89" i="12"/>
  <c r="U96" i="12"/>
  <c r="U49" i="12"/>
  <c r="X38" i="12"/>
  <c r="Y38" i="12" s="1"/>
  <c r="X68" i="12"/>
  <c r="Y68" i="12" s="1"/>
  <c r="U67" i="12"/>
  <c r="X61" i="12"/>
  <c r="Y61" i="12" s="1"/>
  <c r="X28" i="12"/>
  <c r="Y28" i="12" s="1"/>
  <c r="U120" i="12"/>
  <c r="U20" i="12"/>
  <c r="U91" i="12"/>
  <c r="X119" i="12"/>
  <c r="Y119" i="12" s="1"/>
  <c r="U11" i="12"/>
  <c r="X35" i="12"/>
  <c r="Y35" i="12" s="1"/>
  <c r="U76" i="12"/>
  <c r="X64" i="12"/>
  <c r="Y64" i="12" s="1"/>
  <c r="X19" i="12"/>
  <c r="Y19" i="12" s="1"/>
  <c r="X32" i="12"/>
  <c r="Y32" i="12" s="1"/>
  <c r="X78" i="12"/>
  <c r="Y78" i="12" s="1"/>
  <c r="U88" i="12"/>
  <c r="U100" i="12"/>
  <c r="U58" i="12"/>
  <c r="U17" i="12"/>
  <c r="U10" i="12"/>
  <c r="X73" i="12"/>
  <c r="Y73" i="12" s="1"/>
  <c r="U57" i="12"/>
  <c r="U82" i="12"/>
  <c r="U86" i="12"/>
  <c r="U118" i="12"/>
  <c r="U7" i="12"/>
  <c r="X120" i="12"/>
  <c r="Y120" i="12" s="1"/>
  <c r="AO119" i="12"/>
  <c r="AP119" i="12" s="1"/>
  <c r="X118" i="12"/>
  <c r="Y118" i="12" s="1"/>
  <c r="AO120" i="12"/>
  <c r="AP120" i="12" s="1"/>
  <c r="AN124" i="12"/>
  <c r="X90" i="12"/>
  <c r="Y90" i="12" s="1"/>
  <c r="U124" i="12"/>
  <c r="AO84" i="12"/>
  <c r="AP84" i="12" s="1"/>
  <c r="U119" i="12"/>
  <c r="AO116" i="12"/>
  <c r="AP116" i="12" s="1"/>
  <c r="AO118" i="12"/>
  <c r="AP118" i="12" s="1"/>
  <c r="AN82" i="12"/>
  <c r="X116" i="12"/>
  <c r="Y116" i="12" s="1"/>
  <c r="AO106" i="12"/>
  <c r="AP106" i="12" s="1"/>
  <c r="U106" i="12"/>
  <c r="U84" i="12"/>
  <c r="AO86" i="12"/>
  <c r="AP86" i="12" s="1"/>
  <c r="X96" i="12"/>
  <c r="Y96" i="12" s="1"/>
  <c r="X89" i="12"/>
  <c r="Y89" i="12" s="1"/>
  <c r="X91" i="12"/>
  <c r="Y91" i="12" s="1"/>
  <c r="AO98" i="12"/>
  <c r="AP98" i="12" s="1"/>
  <c r="X83" i="12"/>
  <c r="Y83" i="12" s="1"/>
  <c r="AN96" i="12"/>
  <c r="X80" i="12"/>
  <c r="Y80" i="12" s="1"/>
  <c r="X82" i="12"/>
  <c r="Y82" i="12" s="1"/>
  <c r="AN100" i="12"/>
  <c r="X100" i="12"/>
  <c r="Y100" i="12" s="1"/>
  <c r="AO89" i="12"/>
  <c r="AP89" i="12" s="1"/>
  <c r="AO91" i="12"/>
  <c r="AP91" i="12" s="1"/>
  <c r="AN83" i="12"/>
  <c r="X88" i="12"/>
  <c r="Y88" i="12" s="1"/>
  <c r="AN90" i="12"/>
  <c r="X86" i="12"/>
  <c r="Y86" i="12" s="1"/>
  <c r="AO88" i="12"/>
  <c r="AP88" i="12" s="1"/>
  <c r="U78" i="12"/>
  <c r="AO80" i="12"/>
  <c r="AP80" i="12" s="1"/>
  <c r="AO28" i="12"/>
  <c r="AP28" i="12" s="1"/>
  <c r="AN76" i="12"/>
  <c r="X76" i="12"/>
  <c r="Y76" i="12" s="1"/>
  <c r="AO78" i="12"/>
  <c r="AP78" i="12" s="1"/>
  <c r="U28" i="12"/>
  <c r="AN32" i="12"/>
  <c r="AN31" i="12"/>
  <c r="U19" i="12"/>
  <c r="X20" i="12"/>
  <c r="Y20" i="12" s="1"/>
  <c r="U31" i="12"/>
  <c r="X22" i="12"/>
  <c r="Y22" i="12" s="1"/>
  <c r="U35" i="12"/>
  <c r="U32" i="12"/>
  <c r="AO61" i="12"/>
  <c r="AP61" i="12" s="1"/>
  <c r="AO17" i="12"/>
  <c r="AP17" i="12" s="1"/>
  <c r="AO35" i="12"/>
  <c r="AP35" i="12" s="1"/>
  <c r="X70" i="12"/>
  <c r="Y70" i="12" s="1"/>
  <c r="X52" i="12"/>
  <c r="Y52" i="12" s="1"/>
  <c r="X49" i="12"/>
  <c r="Y49" i="12" s="1"/>
  <c r="X7" i="12"/>
  <c r="Y7" i="12" s="1"/>
  <c r="AO19" i="12"/>
  <c r="AP19" i="12" s="1"/>
  <c r="X10" i="12"/>
  <c r="Y10" i="12" s="1"/>
  <c r="AO38" i="12"/>
  <c r="AP38" i="12" s="1"/>
  <c r="U38" i="12"/>
  <c r="AO67" i="12"/>
  <c r="AP67" i="12" s="1"/>
  <c r="AO20" i="12"/>
  <c r="AP20" i="12" s="1"/>
  <c r="X11" i="12"/>
  <c r="Y11" i="12" s="1"/>
  <c r="AO22" i="12"/>
  <c r="AP22" i="12" s="1"/>
  <c r="AO7" i="12"/>
  <c r="AP7" i="12" s="1"/>
  <c r="X55" i="12"/>
  <c r="Y55" i="12" s="1"/>
  <c r="AO10" i="12"/>
  <c r="AP10" i="12" s="1"/>
  <c r="X17" i="12"/>
  <c r="Y17" i="12" s="1"/>
  <c r="AO11" i="12"/>
  <c r="AP11" i="12" s="1"/>
  <c r="L9" i="21"/>
  <c r="U68" i="12"/>
  <c r="X71" i="12"/>
  <c r="Y71" i="12" s="1"/>
  <c r="X67" i="12"/>
  <c r="Y67" i="12" s="1"/>
  <c r="U73" i="12"/>
  <c r="AN64" i="12"/>
  <c r="AN58" i="12"/>
  <c r="AO70" i="12"/>
  <c r="AP70" i="12" s="1"/>
  <c r="X57" i="12"/>
  <c r="Y57" i="12" s="1"/>
  <c r="AO68" i="12"/>
  <c r="AP68" i="12" s="1"/>
  <c r="AN49" i="12"/>
  <c r="AO52" i="12"/>
  <c r="AP52" i="12" s="1"/>
  <c r="AN73" i="12"/>
  <c r="AN57" i="12"/>
  <c r="X58" i="12"/>
  <c r="Y58" i="12" s="1"/>
  <c r="U64" i="12"/>
  <c r="AN71" i="12"/>
  <c r="AN55" i="12"/>
  <c r="U61" i="12"/>
  <c r="J6" i="21" l="1"/>
  <c r="J8" i="21"/>
  <c r="L54" i="21"/>
  <c r="L6" i="21"/>
  <c r="L62" i="21"/>
  <c r="J67" i="21"/>
  <c r="L65" i="21"/>
  <c r="J66" i="21"/>
  <c r="J11" i="21"/>
  <c r="J50" i="21"/>
  <c r="L63" i="21"/>
  <c r="L64" i="21"/>
  <c r="L14" i="21"/>
  <c r="J60" i="21"/>
  <c r="L69" i="21"/>
  <c r="L53" i="21"/>
  <c r="J65" i="21"/>
  <c r="L61" i="21"/>
  <c r="J53" i="21"/>
  <c r="L68" i="21"/>
  <c r="J72" i="21"/>
  <c r="L13" i="21"/>
  <c r="L58" i="21"/>
  <c r="J73" i="21"/>
  <c r="J13" i="21"/>
  <c r="J54" i="21"/>
  <c r="J59" i="21"/>
  <c r="L74" i="21"/>
  <c r="L11" i="21"/>
  <c r="L50" i="21"/>
  <c r="J69" i="21"/>
  <c r="L73" i="21"/>
  <c r="L72" i="21"/>
  <c r="J75" i="21"/>
  <c r="L52" i="21"/>
  <c r="J10" i="21"/>
  <c r="L56" i="21"/>
  <c r="J63" i="21"/>
  <c r="L8" i="21"/>
  <c r="J14" i="21"/>
  <c r="J61" i="21"/>
  <c r="L66" i="21"/>
  <c r="L75" i="21"/>
  <c r="J52" i="21"/>
  <c r="L76" i="21"/>
  <c r="J55" i="21"/>
  <c r="L57" i="21"/>
  <c r="L59" i="21"/>
  <c r="L70" i="21"/>
  <c r="J76" i="21"/>
  <c r="L67" i="21"/>
  <c r="J51" i="21"/>
  <c r="J56" i="21"/>
  <c r="J57" i="21"/>
  <c r="J64" i="21"/>
  <c r="J70" i="21"/>
  <c r="L71" i="21"/>
  <c r="J68" i="21"/>
  <c r="J74" i="21"/>
  <c r="L60" i="21"/>
  <c r="L55" i="21"/>
  <c r="J62" i="21"/>
  <c r="L10" i="21"/>
  <c r="J9" i="21"/>
  <c r="L12" i="21"/>
  <c r="L51" i="21"/>
  <c r="J71" i="21"/>
  <c r="J12" i="21"/>
  <c r="J58" i="21"/>
  <c r="M7" i="21" l="1"/>
  <c r="K7" i="21"/>
  <c r="I7" i="21"/>
  <c r="H7" i="21"/>
  <c r="F7" i="21"/>
  <c r="D7" i="21"/>
  <c r="A7" i="21"/>
  <c r="M5" i="21"/>
  <c r="K5" i="21"/>
  <c r="I5" i="21"/>
  <c r="H5" i="21"/>
  <c r="F5" i="21"/>
  <c r="D5" i="21"/>
  <c r="A5" i="21"/>
  <c r="E5" i="12" l="1"/>
  <c r="E25" i="12"/>
  <c r="E40" i="12"/>
  <c r="E45" i="12"/>
  <c r="E46" i="12"/>
  <c r="E49" i="21" s="1"/>
  <c r="C49" i="21"/>
  <c r="E47" i="21" l="1"/>
  <c r="E48" i="21"/>
  <c r="C47" i="21"/>
  <c r="C48" i="21"/>
  <c r="E45" i="21"/>
  <c r="E46" i="21"/>
  <c r="C45" i="21"/>
  <c r="C46" i="21"/>
  <c r="C43" i="21"/>
  <c r="C44" i="21"/>
  <c r="E43" i="21"/>
  <c r="E44" i="21"/>
  <c r="C41" i="21"/>
  <c r="C42" i="21"/>
  <c r="E41" i="21"/>
  <c r="E42" i="21"/>
  <c r="E39" i="21"/>
  <c r="E40" i="21"/>
  <c r="C39" i="21"/>
  <c r="C40" i="21"/>
  <c r="C37" i="21"/>
  <c r="C38" i="21"/>
  <c r="E37" i="21"/>
  <c r="E38" i="21"/>
  <c r="E35" i="21"/>
  <c r="E36" i="21"/>
  <c r="C35" i="21"/>
  <c r="C36" i="21"/>
  <c r="E33" i="21"/>
  <c r="E34" i="21"/>
  <c r="C33" i="21"/>
  <c r="C34" i="21"/>
  <c r="E31" i="21"/>
  <c r="E32" i="21"/>
  <c r="C31" i="21"/>
  <c r="C32" i="21"/>
  <c r="E29" i="21"/>
  <c r="E30" i="21"/>
  <c r="C29" i="21"/>
  <c r="C30" i="21"/>
  <c r="C20" i="21"/>
  <c r="C21" i="21"/>
  <c r="C27" i="21"/>
  <c r="C28" i="21"/>
  <c r="E27" i="21"/>
  <c r="E28" i="21"/>
  <c r="E19" i="21"/>
  <c r="E20" i="21"/>
  <c r="C18" i="21"/>
  <c r="C19" i="21"/>
  <c r="C25" i="21"/>
  <c r="C26" i="21"/>
  <c r="E25" i="21"/>
  <c r="E26" i="21"/>
  <c r="E17" i="21"/>
  <c r="E18" i="21"/>
  <c r="C16" i="21"/>
  <c r="C17" i="21"/>
  <c r="E23" i="21"/>
  <c r="E24" i="21"/>
  <c r="E22" i="21"/>
  <c r="C23" i="21"/>
  <c r="C24" i="21"/>
  <c r="E15" i="21"/>
  <c r="E16" i="21"/>
  <c r="C15" i="21"/>
  <c r="C7" i="21"/>
  <c r="C22" i="21"/>
  <c r="E5" i="21"/>
  <c r="E21" i="21"/>
  <c r="C5" i="21"/>
  <c r="E7" i="21"/>
  <c r="W46" i="12"/>
  <c r="W45" i="12"/>
  <c r="W40" i="12"/>
  <c r="W25" i="12"/>
  <c r="G46" i="12" l="1"/>
  <c r="G49" i="21" s="1"/>
  <c r="R45" i="12"/>
  <c r="R5" i="12" l="1"/>
  <c r="R25" i="12"/>
  <c r="R40" i="12"/>
  <c r="R46" i="12"/>
  <c r="AL46" i="12"/>
  <c r="AL45" i="12"/>
  <c r="AL40" i="12"/>
  <c r="AL25" i="12"/>
  <c r="AK46" i="12"/>
  <c r="AK45" i="12"/>
  <c r="AK40" i="12"/>
  <c r="AK25" i="12"/>
  <c r="AK5" i="12" l="1"/>
  <c r="AM45" i="12" l="1"/>
  <c r="AM46" i="12"/>
  <c r="AO46" i="12" s="1"/>
  <c r="AP46" i="12" s="1"/>
  <c r="L49" i="21" s="1"/>
  <c r="AM40" i="12"/>
  <c r="AM25" i="12"/>
  <c r="AL5" i="12"/>
  <c r="AM5" i="12" s="1"/>
  <c r="AN5" i="12" s="1"/>
  <c r="AN25" i="12" l="1"/>
  <c r="AN45" i="12"/>
  <c r="AN40" i="12"/>
  <c r="AN46" i="12"/>
  <c r="G45" i="12"/>
  <c r="G48" i="21" s="1"/>
  <c r="G40" i="12"/>
  <c r="G25" i="12"/>
  <c r="G46" i="21" l="1"/>
  <c r="G47" i="21"/>
  <c r="G44" i="21"/>
  <c r="G45" i="21"/>
  <c r="G42" i="21"/>
  <c r="G43" i="21"/>
  <c r="G40" i="21"/>
  <c r="G41" i="21"/>
  <c r="G38" i="21"/>
  <c r="G39" i="21"/>
  <c r="G36" i="21"/>
  <c r="G37" i="21"/>
  <c r="G34" i="21"/>
  <c r="G35" i="21"/>
  <c r="G32" i="21"/>
  <c r="G33" i="21"/>
  <c r="G30" i="21"/>
  <c r="G31" i="21"/>
  <c r="G28" i="21"/>
  <c r="G29" i="21"/>
  <c r="G26" i="21"/>
  <c r="G27" i="21"/>
  <c r="G19" i="21"/>
  <c r="G20" i="21"/>
  <c r="G24" i="21"/>
  <c r="G25" i="21"/>
  <c r="G17" i="21"/>
  <c r="G18" i="21"/>
  <c r="G22" i="21"/>
  <c r="G23" i="21"/>
  <c r="G15" i="21"/>
  <c r="G16" i="21"/>
  <c r="G21" i="21"/>
  <c r="G7" i="21"/>
  <c r="AO45" i="12"/>
  <c r="AP45" i="12" s="1"/>
  <c r="L48" i="21" s="1"/>
  <c r="AO40" i="12"/>
  <c r="AP40" i="12" s="1"/>
  <c r="AO25" i="12"/>
  <c r="AP25" i="12" s="1"/>
  <c r="L46" i="21" l="1"/>
  <c r="L47" i="21"/>
  <c r="L44" i="21"/>
  <c r="L45" i="21"/>
  <c r="L42" i="21"/>
  <c r="L43" i="21"/>
  <c r="L40" i="21"/>
  <c r="L41" i="21"/>
  <c r="L38" i="21"/>
  <c r="L39" i="21"/>
  <c r="L36" i="21"/>
  <c r="L37" i="21"/>
  <c r="L34" i="21"/>
  <c r="L35" i="21"/>
  <c r="L32" i="21"/>
  <c r="L33" i="21"/>
  <c r="L30" i="21"/>
  <c r="L31" i="21"/>
  <c r="L21" i="21"/>
  <c r="L28" i="21"/>
  <c r="L29" i="21"/>
  <c r="L26" i="21"/>
  <c r="L27" i="21"/>
  <c r="L19" i="21"/>
  <c r="L20" i="21"/>
  <c r="L17" i="21"/>
  <c r="L18" i="21"/>
  <c r="L24" i="21"/>
  <c r="L25" i="21"/>
  <c r="L22" i="21"/>
  <c r="L23" i="21"/>
  <c r="L15" i="21"/>
  <c r="L16" i="21"/>
  <c r="L7" i="21"/>
  <c r="S46" i="12"/>
  <c r="T46" i="12" s="1"/>
  <c r="S45" i="12"/>
  <c r="T45" i="12" s="1"/>
  <c r="U45" i="12" s="1"/>
  <c r="S40" i="12"/>
  <c r="T40" i="12" s="1"/>
  <c r="S25" i="12"/>
  <c r="T25" i="12" s="1"/>
  <c r="X40" i="12" l="1"/>
  <c r="U46" i="12"/>
  <c r="X46" i="12"/>
  <c r="Y46" i="12" s="1"/>
  <c r="J49" i="21" s="1"/>
  <c r="X25" i="12"/>
  <c r="X45" i="12"/>
  <c r="U25" i="12"/>
  <c r="U40" i="12"/>
  <c r="S5" i="12"/>
  <c r="T5" i="12" s="1"/>
  <c r="U5" i="12" l="1"/>
  <c r="W5" i="12" l="1"/>
  <c r="G5" i="12"/>
  <c r="G5" i="21" s="1"/>
  <c r="X5" i="12" l="1"/>
  <c r="AO5" i="12"/>
  <c r="AP5" i="12" s="1"/>
  <c r="L5" i="21" s="1"/>
  <c r="Y25" i="12" l="1"/>
  <c r="Y40" i="12"/>
  <c r="Y45" i="12"/>
  <c r="J48" i="21" s="1"/>
  <c r="Y5" i="12"/>
  <c r="J46" i="21" l="1"/>
  <c r="J47" i="21"/>
  <c r="J44" i="21"/>
  <c r="J45" i="21"/>
  <c r="J42" i="21"/>
  <c r="J43" i="21"/>
  <c r="J40" i="21"/>
  <c r="J41" i="21"/>
  <c r="J38" i="21"/>
  <c r="J39" i="21"/>
  <c r="J36" i="21"/>
  <c r="J37" i="21"/>
  <c r="J34" i="21"/>
  <c r="J35" i="21"/>
  <c r="J32" i="21"/>
  <c r="J33" i="21"/>
  <c r="J30" i="21"/>
  <c r="J31" i="21"/>
  <c r="J28" i="21"/>
  <c r="J29" i="21"/>
  <c r="J26" i="21"/>
  <c r="J27" i="21"/>
  <c r="J19" i="21"/>
  <c r="J20" i="21"/>
  <c r="J24" i="21"/>
  <c r="J25" i="21"/>
  <c r="J17" i="21"/>
  <c r="J18" i="21"/>
  <c r="J22" i="21"/>
  <c r="J23" i="21"/>
  <c r="J15" i="21"/>
  <c r="J16" i="21"/>
  <c r="J5" i="21"/>
  <c r="J21" i="21"/>
  <c r="J7" i="21"/>
</calcChain>
</file>

<file path=xl/comments1.xml><?xml version="1.0" encoding="utf-8"?>
<comments xmlns="http://schemas.openxmlformats.org/spreadsheetml/2006/main">
  <authors>
    <author>Sai Praneetha Bhaskaruni</author>
  </authors>
  <commentList>
    <comment ref="C10" authorId="0" shapeId="0">
      <text>
        <r>
          <rPr>
            <b/>
            <sz val="9"/>
            <color indexed="81"/>
            <rFont val="Tahoma"/>
            <charset val="1"/>
          </rPr>
          <t>Sai Praneetha Bhaskaruni:</t>
        </r>
        <r>
          <rPr>
            <sz val="9"/>
            <color indexed="81"/>
            <rFont val="Tahoma"/>
            <charset val="1"/>
          </rPr>
          <t xml:space="preserve">
Bluetooth</t>
        </r>
      </text>
    </comment>
  </commentList>
</comments>
</file>

<file path=xl/sharedStrings.xml><?xml version="1.0" encoding="utf-8"?>
<sst xmlns="http://schemas.openxmlformats.org/spreadsheetml/2006/main" count="2511" uniqueCount="393">
  <si>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</si>
  <si>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</si>
  <si>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</si>
  <si>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</si>
  <si>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</si>
  <si>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</si>
  <si>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</si>
  <si>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</si>
  <si>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</si>
  <si>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</si>
  <si>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</si>
  <si>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</si>
  <si>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SBOM</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</si>
  <si>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</si>
  <si>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</si>
  <si>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</si>
  <si>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</si>
  <si>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</si>
  <si>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</si>
  <si>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</si>
  <si>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</si>
  <si>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</si>
  <si>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</si>
  <si>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</si>
  <si>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</si>
  <si>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</si>
  <si>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</si>
  <si>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</si>
  <si>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</si>
  <si>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Individual (Disgruntled/Ex-Employees, Outsider, Insider, Trusted Insider, Priveleged Insider)</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</si>
  <si>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</si>
  <si>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</si>
  <si>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</si>
  <si>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</si>
  <si>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</si>
  <si>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</si>
  <si>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</si>
  <si>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</si>
  <si>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</si>
  <si>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</si>
  <si>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</si>
  <si>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</si>
  <si>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</si>
  <si>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</si>
  <si>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</si>
  <si>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</si>
  <si>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</si>
  <si>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</si>
  <si>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</si>
  <si>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</si>
  <si>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</si>
  <si>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</si>
  <si>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</si>
  <si>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</si>
  <si>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</si>
  <si>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</si>
  <si>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</si>
  <si>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</si>
  <si>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</si>
  <si>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</si>
  <si>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</si>
  <si>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</si>
  <si>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</si>
  <si>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</si>
  <si>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</si>
  <si>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</si>
  <si>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</si>
  <si>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</si>
  <si>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</si>
  <si>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</si>
  <si>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</si>
  <si>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</si>
  <si>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</si>
  <si>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</si>
  <si>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</si>
  <si>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</si>
  <si>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</si>
  <si>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</si>
  <si>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</si>
  <si>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</si>
  <si>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</si>
  <si>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</si>
  <si>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</si>
  <si>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</si>
  <si>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</si>
  <si>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</si>
  <si>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</si>
  <si>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</si>
  <si>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</si>
  <si>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</si>
  <si>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</si>
  <si>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</si>
  <si>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</si>
  <si>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</si>
  <si>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</si>
  <si>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</si>
  <si>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</si>
  <si>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</si>
  <si>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</si>
  <si>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</si>
  <si>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</si>
  <si>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</si>
  <si>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</si>
  <si>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</si>
  <si>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</si>
  <si>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</si>
  <si>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</si>
  <si>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</si>
  <si>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A11</t>
  </si>
  <si>
    <t>A12</t>
  </si>
  <si>
    <t>A13</t>
  </si>
  <si>
    <t>A14</t>
  </si>
  <si>
    <t>A01</t>
  </si>
  <si>
    <t>A02</t>
  </si>
  <si>
    <t>A03</t>
  </si>
  <si>
    <t>A04</t>
  </si>
  <si>
    <t>A05</t>
  </si>
  <si>
    <t>A06</t>
  </si>
  <si>
    <t>A07</t>
  </si>
  <si>
    <t>A08</t>
  </si>
  <si>
    <t>A09</t>
  </si>
  <si>
    <t>V01</t>
  </si>
  <si>
    <t>V02</t>
  </si>
  <si>
    <t>V ID</t>
  </si>
  <si>
    <t>T ID</t>
  </si>
  <si>
    <t>A ID</t>
  </si>
  <si>
    <t>T01</t>
  </si>
  <si>
    <t>T02</t>
  </si>
  <si>
    <t>T03</t>
  </si>
  <si>
    <t>T04</t>
  </si>
  <si>
    <t>T05</t>
  </si>
  <si>
    <t>Yes</t>
  </si>
  <si>
    <t>n/a</t>
  </si>
  <si>
    <t>Rating</t>
  </si>
  <si>
    <t>Pre-Implementation of Security Controls</t>
  </si>
  <si>
    <t>Post-Implementation of Security Controls</t>
  </si>
  <si>
    <t>Threat Event Initiation</t>
  </si>
  <si>
    <t>Threat Event Initiation
Score</t>
  </si>
  <si>
    <t>Security 
Risk 
Level</t>
  </si>
  <si>
    <t xml:space="preserve"> </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</si>
  <si>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</si>
  <si>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Thread source delivers malware on a removable media which was designed to exploit a known vulnerability of the Navigation System. Directed attack on the Navigation System using knowledge about the Navigation System.</t>
  </si>
  <si>
    <t>V11</t>
  </si>
  <si>
    <t>V21</t>
  </si>
  <si>
    <t>V22</t>
  </si>
  <si>
    <t>V23</t>
  </si>
  <si>
    <t>Data</t>
  </si>
  <si>
    <t>Information about internals of the system (Device identification, software versions, supported protocols, etc.)</t>
  </si>
  <si>
    <t>System &amp; Asset Identification</t>
  </si>
  <si>
    <t xml:space="preserve">Medical Device / System: </t>
  </si>
  <si>
    <t>Date:</t>
  </si>
  <si>
    <t xml:space="preserve">Conducted by: </t>
  </si>
  <si>
    <t>&lt;Author Name / Function / Organization&gt;
&lt;Author Name / Function / Organization&gt;</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</si>
  <si>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</si>
  <si>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</si>
  <si>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</si>
  <si>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</si>
  <si>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</si>
  <si>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</si>
  <si>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</si>
  <si>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</si>
  <si>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</si>
  <si>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</si>
  <si>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D05788-1, Ver 1</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</si>
  <si>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</si>
  <si>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</si>
  <si>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</si>
  <si>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</si>
  <si>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</si>
  <si>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</si>
  <si>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</si>
  <si>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</si>
  <si>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</si>
  <si>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</si>
  <si>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</si>
  <si>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</si>
  <si>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</si>
  <si>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</si>
  <si>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</si>
  <si>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</si>
  <si>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</si>
  <si>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</si>
  <si>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</si>
  <si>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</si>
  <si>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</si>
  <si>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</si>
  <si>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</si>
  <si>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</si>
  <si>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</si>
  <si>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</si>
  <si>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</si>
  <si>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</si>
  <si>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</si>
  <si>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</si>
  <si>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</si>
  <si>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</si>
  <si>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</si>
  <si>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Justification</t>
  </si>
  <si>
    <t>Tablet OS/network details &amp; Tablet Application</t>
  </si>
  <si>
    <t>Physical Assets</t>
  </si>
  <si>
    <t>Smart medic (Stryker device) System Component</t>
  </si>
  <si>
    <t>Monitors local bed status information, alerting caregivers visually, audibly or remotely if preset parameters are compromised.</t>
  </si>
  <si>
    <t xml:space="preserve">Authenication/Authorisation data </t>
  </si>
  <si>
    <t>Information related to authenication/authorisation data (password/pins/MFA/Biometrics)</t>
  </si>
  <si>
    <t>Device Maintainence tool (Hardware/Software)</t>
  </si>
  <si>
    <t>Device Maintainence tool (Hardware/Software) that patchs and updates Smart Medic Device and Application related to Security</t>
  </si>
  <si>
    <t>Electronic Health Records (EHR)/ Device Component status</t>
  </si>
  <si>
    <t xml:space="preserve">Smart device components health status information </t>
  </si>
  <si>
    <t>Interface/API Communication</t>
  </si>
  <si>
    <t>Communication middleware enables communication and data management for distributed applications.</t>
  </si>
  <si>
    <t>Wireless Network device</t>
  </si>
  <si>
    <t xml:space="preserve">Devices that are used for communication among the Smart Medic project component. </t>
  </si>
  <si>
    <t>Data at Rest</t>
  </si>
  <si>
    <t>Use strong encryption algorthim to store data on cloud platform (Smartmedic Device)/tablet</t>
  </si>
  <si>
    <t>Data in Motion</t>
  </si>
  <si>
    <t>Use strong encryption algorthim to data moving on tablet to cloud platform(Smartmedic Device)/tablet</t>
  </si>
  <si>
    <t>Smart medic app (Stryker Azure Cloud Web Application)</t>
  </si>
  <si>
    <t>Smart medic application for nurse/health worker (Stryker Azure Cloud Web Application)</t>
  </si>
  <si>
    <t>Smart medic app (Azure Portal Administrator)</t>
  </si>
  <si>
    <t>Azure Portal Administrator for Smart medic app</t>
  </si>
  <si>
    <t>Azure Cloud DataBase</t>
  </si>
  <si>
    <t xml:space="preserve">Azure Cloud DataBase related to Smart Medic app </t>
  </si>
  <si>
    <t>Health vital data</t>
  </si>
  <si>
    <t>Health vital data Body temperature. Pulse rate. Respiration rate,weight data, position data, etc.</t>
  </si>
  <si>
    <t>&lt;2021-07-12&gt;</t>
  </si>
  <si>
    <t>V03</t>
  </si>
  <si>
    <t>V04</t>
  </si>
  <si>
    <t>V05</t>
  </si>
  <si>
    <t>Devices with default passwords needs to be checked for bruteforce attacks</t>
  </si>
  <si>
    <t>External communications and exposure for communciation channels from and to application and devices like tablet and smartmedic device.</t>
  </si>
  <si>
    <t>The password complexity or location vulnerability. Like weak passwords and hardcoded passwords.</t>
  </si>
  <si>
    <t>Checking authentication modes for possible hacks and bypasses</t>
  </si>
  <si>
    <t>V06</t>
  </si>
  <si>
    <t>V07</t>
  </si>
  <si>
    <t>V08</t>
  </si>
  <si>
    <t>V09</t>
  </si>
  <si>
    <t>V10</t>
  </si>
  <si>
    <t>Lack of Asset location digaram in security operations manual</t>
  </si>
  <si>
    <t>Lack of configuration controls for IT assets in the informaion system plan</t>
  </si>
  <si>
    <t>Ineffective patch management of firware, OS and applications thoughout the information system plan</t>
  </si>
  <si>
    <t xml:space="preserve">Lack of plan for periodic Software Vulnerability Management </t>
  </si>
  <si>
    <t>The  static connection digaram between devices and applications with provision for periodic updation as per changes</t>
  </si>
  <si>
    <t>Assest counting system for all instances of product implementation</t>
  </si>
  <si>
    <t>Unprotected network port(s) on network devices and connection points</t>
  </si>
  <si>
    <t>Unprotected external USB Port on the tablet/devices.</t>
  </si>
  <si>
    <t>Unencrypted Network segment throught the information flow</t>
  </si>
  <si>
    <t>Controlled Use of Administrative Privileges over the network</t>
  </si>
  <si>
    <t>V12</t>
  </si>
  <si>
    <t>V13</t>
  </si>
  <si>
    <t>V14</t>
  </si>
  <si>
    <t>V15</t>
  </si>
  <si>
    <t>V16</t>
  </si>
  <si>
    <t>Unencrypted data at rest in all possible locations</t>
  </si>
  <si>
    <t>Unencrypted data in flight in all flowchannels</t>
  </si>
  <si>
    <t>Weak Encryption Implementaion in data at rest and in motion tactical and design wise</t>
  </si>
  <si>
    <t>Weak Algorthim implementation with respect cipher key size</t>
  </si>
  <si>
    <t>InSecure Configurations of Resources</t>
  </si>
  <si>
    <t>V17</t>
  </si>
  <si>
    <t>V18</t>
  </si>
  <si>
    <t>V19</t>
  </si>
  <si>
    <t>InSecure/not recommended  Configuration for Mobile Devices, Laptops, Workstations, and Servers</t>
  </si>
  <si>
    <t>InSecure Configuration for Software/OS on Mobile Devices, Laptops, Workstations, and Servers</t>
  </si>
  <si>
    <t>Legacy system identification if any</t>
  </si>
  <si>
    <t>Outdated  - Software/Hardware</t>
  </si>
  <si>
    <t>V20</t>
  </si>
  <si>
    <t>T06</t>
  </si>
  <si>
    <t>T07</t>
  </si>
  <si>
    <t>T08</t>
  </si>
  <si>
    <t>T09</t>
  </si>
  <si>
    <t>T10</t>
  </si>
  <si>
    <t>T11</t>
  </si>
  <si>
    <t>T12</t>
  </si>
  <si>
    <t>This phase is where an attacker breaks into the system/network using various tools or methods. After entering into a system, he has to increase his privilege to administrator level so he can install an application he needs or modify data or hide data</t>
  </si>
  <si>
    <t>The aim is to maintain the access to the target until he finishes the tasks he planned to accomplish in that target.</t>
  </si>
  <si>
    <t>This involves modifying/corrupting/deleting the values of Logs, modifying registry values and uninstalling all applications he used and deleting all folders he created</t>
  </si>
  <si>
    <t>Identify weaknesses of segregation in terms of administrative and user-level privileges</t>
  </si>
  <si>
    <t>Find ways to exhaust or drown out legitimate requests</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</si>
  <si>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</si>
  <si>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Access user and application data e.g. by a malicious application or script</t>
  </si>
  <si>
    <t>Penetrate Open and Unsecured Ports</t>
  </si>
  <si>
    <t>The brute-force attack contained a dictionary of well-known directories and authentication paradigms present in common webservers.</t>
  </si>
  <si>
    <t>create custom phishing scams, phone-based attacks and even physical intrusion to test your organization’s level of security.</t>
  </si>
  <si>
    <t xml:space="preserve">1) Malicious utilization of  computer resources 2) computing power  
3) denial of service attacks, 
4) ransomware attack 
5) Bitcoin mining, etc </t>
  </si>
  <si>
    <t xml:space="preserve">1) Malicious utilization of  computer resources 
2) computing power  
3) denial of service attacks, 
4) ransomware attack 
5) Bitcoin mining, etc </t>
  </si>
  <si>
    <t>1)  Obtain knowledge about system internals
2)  Attempt to find attack vectors 
3)  Possibilities for exploitation of publicly known Vulnerabilities.</t>
  </si>
  <si>
    <t>1) Tampering of forensic data
2) This involves modifying/corrupting/deleting the values of Logs, 
3) Modifying registry values 
4) Uninstalling all malcious applications/tools   
5) Deleting all folders which were created</t>
  </si>
  <si>
    <t>1) Gaining access to the portal 
2) Accessing confidential data, 
3) Lead misuse of confidential data
4)  Company defamation</t>
  </si>
  <si>
    <t>1) Bring down the service availability 
2) Blocking the end user usage</t>
  </si>
  <si>
    <t>1) Allowing application or script to perform abnormal activites on the system.
2) Modifying the data, tampering the confidential data making it unavailable or challenging the integrity of data.</t>
  </si>
  <si>
    <t>1) This threat may hamper digital or physical resources, infractructure and end points
2) Get the user (employee/ client/ customer) to download malware, send money or perform actions that are dangerous.</t>
  </si>
  <si>
    <t>1) This threat may hamper digital or physical resources, infractructure and end points through spear phishing mail 
2) Get the user (employee/ client/ customer) to download malware, send money or perform actions that are dangerous.
3) Reputational harm
4) Economical harm</t>
  </si>
  <si>
    <t>1) An attacker may attempt to discover a weak encryption by systematically trying every possible combination of decryption key.</t>
  </si>
  <si>
    <t>Tablet Resources - web cam, microphone, OTG devices, Removable USB, Tablet Application,</t>
  </si>
  <si>
    <t xml:space="preserve">Utilizing computer resources and computing power by adversary, allows various general purpose attacks, such as  incl. Ransomware deployment, Bitcoin Mining, abuse of peripheral devices such as WebCam, Microphones, etc., . </t>
  </si>
  <si>
    <t>Insecure communications in networks (hospital)</t>
  </si>
  <si>
    <t>Information of health data can be exploit and disclose with various means like network, tablet etc.  .</t>
  </si>
  <si>
    <t xml:space="preserve">• Encrypting the storage subsystem
• Encryption methods such as HTTPS, SSL, and TLS are often used to protect data in motion.
• Stateful firewall
• Host Hardening
•  Maintain access control list.
•  Use strong encrption algorithm </t>
  </si>
  <si>
    <t>•  Stateful Firewall
• Maintain access control list</t>
  </si>
  <si>
    <t xml:space="preserve">• Use Secure tunnel Communications channel </t>
  </si>
  <si>
    <t>• Disable the device network discoverable
• Maintain Access Control List.
• Block all unrequired ports
• Stateful firewall</t>
  </si>
  <si>
    <t>• Configuring account lockout policies cannot be exploited to lock out well known service accounts.
• Ensuring application is capable of handling required volumes of traffic and that thresholds are in place to handle optimal  loads.
• Review your application's failover functionality.
• Maintain Access Control List.
• Block all unrequired ports
• Stateful firewall</t>
  </si>
  <si>
    <t>• Eliminating rogue access points
• Properly configuring all authorized access points
• Firewall
• Limit Network Access</t>
  </si>
  <si>
    <t xml:space="preserve">• Use secure tunnel communication channel
• Maintain access control list.
• Use strong encrption algorithm </t>
  </si>
  <si>
    <t>• Server-side encryption using Service-Managed keys
• Network access control
• Encryption for sensitive data in transit, such as when files are attached to an email message or moved to cloud storage, removable drives
•  Transfer over encrypted tunnel</t>
  </si>
  <si>
    <t>• Server-side encryption using Service-Managed keys
• Use secure tunnel communication channel
• Network access control
• Encryption for sensitive data in transit, such as when files are attached to an email message or moved to cloud storage, removable drives
•  Transfer over encrypted tunnel</t>
  </si>
  <si>
    <t>• Firewall
• Secure communication links with protocols that provide message confidentiality.</t>
  </si>
  <si>
    <t xml:space="preserve">• Use secure tunnel communication channel
• Configure and upgrade routers for the n/w security
• Configure firewalls to reject any packets with spoofed addresses.
• Maintain access control list.
• Use strong encrption algorithm </t>
  </si>
  <si>
    <t xml:space="preserve">• Set your spam filters setting options to high
• Secure your computing devices </t>
  </si>
  <si>
    <t xml:space="preserve">• Set your spam filters setting options to high
• Secure your computing devices
</t>
  </si>
  <si>
    <t>• Firewall
• Encrypting data at rest
• Protect your data with multi factor authentication
• Use secure tunnel communication channel</t>
  </si>
  <si>
    <t>• Set your spam filters setting options to high
• Firewalls, 
• Use secure tunnel communication channel</t>
  </si>
  <si>
    <t xml:space="preserve">▪Asset should be behind stateful firewall
•  Use secure tunnel communications channel </t>
  </si>
  <si>
    <t xml:space="preserve">• Implement automated configuration monitoring systems
• Use Secure tunnel Communications channel </t>
  </si>
  <si>
    <t xml:space="preserve">• Encrypting the storage subsystem
• Encryption methods such as HTTPS, SSL, and TLS are often used to protect data in motion.
• Stateful firewall
•  Maintain access control list.
•  Use strong encrption algorithm </t>
  </si>
  <si>
    <t xml:space="preserve">•  Using port security on Firewall
•  Application level Firewall
•  Check ing  internet provider’s or router manufacturer’s wireless security options.
</t>
  </si>
  <si>
    <t>• limit authentication attempts (rate Limiting)
• Maintain Access Logs
• Maintain Server Security Logs
• IP Whitelisting
• Use strong encryption algorithyms</t>
  </si>
  <si>
    <t>• Implement automated configuration monitoring systems
• Stateful firewall</t>
  </si>
  <si>
    <t>•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t>
  </si>
  <si>
    <t xml:space="preserve">
• Require multi-factor authentication
• limit authentication attempts (rate Limiting)
• Maintain Access Logs
• Maintain Server Security Logs
• Stronger authentication methods</t>
  </si>
  <si>
    <t>• Require multi-factor authentication
• limit authentication attempts (rate Limiting)
• Maintain Access Logs
• Maintain Server Security Logs
• Stronger authentication methods</t>
  </si>
  <si>
    <t xml:space="preserve">• Require multi-factor authentication
• limit authentication attempts (rate Limiting)
• Maintain Access Logs
• Maintain Server Security Logs
• Stronger authentication methods
</t>
  </si>
  <si>
    <t xml:space="preserve">• Require multi-factor authentication
• limit authentication attempts (rate Limiting)
• Maintain Access Logs
</t>
  </si>
  <si>
    <t xml:space="preserve">• Implement strong encryption descrption method at data at rest
• Use secure tunnel communication channel
</t>
  </si>
  <si>
    <t>• Implement strong sysmetric or unsysmetric algorhythn
• Implementing VPN and stateful Firewall</t>
  </si>
  <si>
    <t>• Anonymization/Pseudomyzation
• Encyrption
• Mainitaing Access Logs
• Maintain Server Security Logs</t>
  </si>
  <si>
    <t>• Use strong encryption.
• Secure communication links with protocols that provide message confidentiality.
• Secure sensitive data in the channel flow
• Protect authentication cookies with Secure Sockets Layer (SSL) or TLS.</t>
  </si>
  <si>
    <t xml:space="preserve">• Firewall
• Do not store sensitive data in plaintext.
• Use strong encrption algorithm.
• Apply salting over sensitive data.
</t>
  </si>
  <si>
    <t>• Stronger authentication methods
• Use strong encrption algorithm.</t>
  </si>
  <si>
    <t xml:space="preserve">• Stronger authentication methods
</t>
  </si>
  <si>
    <t xml:space="preserve">• Stronger authentication methods
</t>
  </si>
  <si>
    <t>• Delete any request for personal information
• Firewall
• Disable device network discoverable
• Maintain access control list</t>
  </si>
  <si>
    <t>• Set your spam filters setting options to high
• Firewalls, 
• Use Multi Factor Authentication
• Use secure tunnel communication channel</t>
  </si>
  <si>
    <t xml:space="preserve">• Set your spam filters setting options to high
• Firewalls, 
• Use Multi Factor Authentication
• Use secure tunnel communication channel
</t>
  </si>
  <si>
    <t xml:space="preserve">• Firewall
• Use Multi Factor Authentication
• Use secure tunnel communication channel
</t>
  </si>
  <si>
    <t>•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t>
  </si>
  <si>
    <t>• Require that administrators establish multi-factor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t>
  </si>
  <si>
    <t>•Never use credentials such as date of birth, spouse, or child’s or pet’s name
•Lockout an account subjected to too many incorrect credential guesses.</t>
  </si>
  <si>
    <t>• Establish secure configuration
• Deploy system configuration management tool
• Implement automated configuration monitoring systems
• Establish internal and external
information sources for threat
intelligence and vulnerability
data, monitoring them regularly
and taking appropriate action for
high-priority items
• Upgrades the software, firmware
• Never use credentials such as date of birth, spouse, or child’s or pet’s name
• Stateful Firewall</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</si>
  <si>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</si>
  <si>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</si>
  <si>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</si>
  <si>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An attacker may attempt to discover a weak credential by systematically trying every possible combination of letters, numbers, and symbols until it discovers the one correct combination that works.</t>
  </si>
  <si>
    <t>• Require multi-factor authentication
• limit authentication attempts (rate Limiting)
• Maintain Access Logs
• Maintain Server Security Logs</t>
  </si>
  <si>
    <t>Lack of  Strong Guidelines Password Policy</t>
  </si>
  <si>
    <t>Error Info containing sensitive data for Failed Authentication attempts</t>
  </si>
  <si>
    <t>Absence of Multiple layer Authentication (MFA)</t>
  </si>
  <si>
    <t>Lack of Authorization policies &amp; Management</t>
  </si>
  <si>
    <t>V24</t>
  </si>
  <si>
    <t>V25</t>
  </si>
  <si>
    <t>V26</t>
  </si>
  <si>
    <t>V27</t>
  </si>
  <si>
    <t>Deliver undirected malware
(CAPEC-185)</t>
  </si>
  <si>
    <t>Deliver directed malware
(CAPEC-185)</t>
  </si>
  <si>
    <t>AuthN,AuthZ management</t>
  </si>
  <si>
    <t>V28</t>
  </si>
  <si>
    <t>V29</t>
  </si>
  <si>
    <t>Logging/Monitoring</t>
  </si>
  <si>
    <t>Insufficient Logging information</t>
  </si>
  <si>
    <t>Keys &amp; Certificates</t>
  </si>
  <si>
    <t>V32</t>
  </si>
  <si>
    <t>Generation of keys without using a FIPS certified /Standard RNG</t>
  </si>
  <si>
    <t>V33</t>
  </si>
  <si>
    <t xml:space="preserve">Generation and Signing of certificates without standards </t>
  </si>
  <si>
    <t>V34</t>
  </si>
  <si>
    <t>Improper security (for ex.,Storage &amp; Access) for Keys and Certificates</t>
  </si>
  <si>
    <t>Gaining Access
([S]TRID[E])</t>
  </si>
  <si>
    <t>Maintaining Access
(TTP)</t>
  </si>
  <si>
    <t>Clearing Track
(TTP)</t>
  </si>
  <si>
    <t>Elevation of privilege
(STRID[E])</t>
  </si>
  <si>
    <t>Denial of service
(STRI(D)E)</t>
  </si>
  <si>
    <t>Information disclosure
(STR(I)DE)</t>
  </si>
  <si>
    <t>Data Access
(STR[I]DE)</t>
  </si>
  <si>
    <t>Open network port exploit
(TTP)</t>
  </si>
  <si>
    <t>Brute-force Attack
(CAPEC-112)</t>
  </si>
  <si>
    <t>Social Engineering
(TTP)</t>
  </si>
  <si>
    <t>T13</t>
  </si>
  <si>
    <t>T14</t>
  </si>
  <si>
    <t>This involves  modifying registry values, deleting/encrypting Confidential info and uninstalling Any secure applications and renaming/deleting all files/folders</t>
  </si>
  <si>
    <t>Unauthorized Alterations
(S[T]RIDE)</t>
  </si>
  <si>
    <t>Having no limit on the login attempts</t>
  </si>
  <si>
    <t>No session expiry after certain time interval</t>
  </si>
  <si>
    <t>All the actions/events should be properly logged and the content needs to be protected by proper access rights.</t>
  </si>
  <si>
    <t>V30</t>
  </si>
  <si>
    <t>V31</t>
  </si>
  <si>
    <t>Insufficient Access permissions for accessing and modifying Log files</t>
  </si>
  <si>
    <t>Lack of evidence to conclude any malicious attempt/attack
(ST[R]IDE)</t>
  </si>
  <si>
    <t>1)  Adversary tried to obtain knowledge about system internals
2)  Attempt to find attack vectors 
3)  Executed malicious activities
4)  Alter/Modify the recorded information</t>
  </si>
  <si>
    <t>1)  Adversary tried to obtain knowledge about system internals
2)  Attempt to find attack vectors 
3)  Executed malicious activities
4)  Complete details related to the attacker/malicious activities not recorded</t>
  </si>
  <si>
    <t xml:space="preserve">1)  Adversary tried to obtain knowledge about system internals
2)  Identify unsecured critical data/information (eg: patient info, keys, certificates...)
3)  Modify the identified content
</t>
  </si>
  <si>
    <t>All the information needed for identifying the threat (malicious) activity and adversary information needed to be logged for determining the attack vector and attach surface. This helps to make the system less vulnerable</t>
  </si>
  <si>
    <t xml:space="preserve">The error log information should not be allowed for open access.
There should be proper access control provided to ensure only authorized person can access.
Based on time lapse logs should be backedup. </t>
  </si>
  <si>
    <t>System configurations and oudated/undated software should be properly monitored for avoiding the malicious activities and tampering of data</t>
  </si>
  <si>
    <t>Strict authorization policies has to be designed based on either asset/role based and has to be enforcedfor proper protection of the data and alterations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</si>
</sst>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sz val="11"/>
      <color theme="1"/>
      <name val="Cambria"/>
      <family val="1"/>
    </font>
    <font>
      <sz val="11"/>
      <color rgb="FF000000"/>
      <name val="Cambria"/>
      <family val="1"/>
    </font>
    <font>
      <sz val="11"/>
      <color rgb="FF0000FF"/>
      <name val="Cambria"/>
      <family val="1"/>
    </font>
    <font>
      <sz val="11"/>
      <name val="Cambria"/>
      <family val="1"/>
    </font>
    <font>
      <sz val="11"/>
      <color theme="1"/>
      <name val="Cambria"/>
      <family val="1"/>
    </font>
    <font>
      <sz val="11"/>
      <color theme="1"/>
      <name val="Cambria"/>
    </font>
    <font>
      <sz val="11"/>
      <color rgb="FF0000FF"/>
      <name val="Cambria"/>
    </font>
    <font>
      <sz val="11"/>
      <name val="Cambria"/>
    </font>
    <font>
      <sz val="9"/>
      <color indexed="81"/>
      <name val="Tahoma"/>
      <charset val="1"/>
    </font>
    <font>
      <b/>
      <sz val="9"/>
      <color indexed="81"/>
      <name val="Tahoma"/>
      <charset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3">
    <xf numFmtId="0" fontId="0" fillId="0" borderId="0"/>
    <xf numFmtId="0" fontId="1" fillId="0" borderId="0"/>
    <xf numFmtId="0" fontId="14" fillId="0" borderId="0"/>
  </cellStyleXfs>
  <cellXfs count="314">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19" fillId="4" borderId="41" xfId="0" applyFont="1" applyFill="1" applyBorder="1" applyAlignment="1">
      <alignment horizontal="center" vertical="center" wrapText="1"/>
    </xf>
    <xf numFmtId="0" fontId="19" fillId="4" borderId="34" xfId="0" applyFont="1" applyFill="1" applyBorder="1" applyAlignment="1">
      <alignment horizontal="center"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23" fillId="0" borderId="1" xfId="0" applyFont="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15" fillId="15" borderId="1" xfId="0"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17" fillId="0" borderId="0" xfId="0" applyFont="1" applyAlignment="1">
      <alignment wrapText="1"/>
    </xf>
    <xf numFmtId="0" fontId="37" fillId="0" borderId="1" xfId="0" applyFont="1" applyBorder="1" applyAlignment="1">
      <alignment vertical="top"/>
    </xf>
    <xf numFmtId="0" fontId="37" fillId="0" borderId="1" xfId="0" applyFont="1" applyBorder="1" applyAlignment="1">
      <alignment vertical="top" wrapText="1"/>
    </xf>
    <xf numFmtId="0" fontId="15" fillId="0" borderId="6" xfId="0" applyFont="1" applyBorder="1" applyAlignment="1">
      <alignment vertical="top" wrapText="1"/>
    </xf>
    <xf numFmtId="0" fontId="15" fillId="3" borderId="3" xfId="0" applyFont="1" applyFill="1" applyBorder="1" applyAlignment="1">
      <alignment horizontal="left" vertical="top" wrapText="1"/>
    </xf>
    <xf numFmtId="0" fontId="0" fillId="0" borderId="0" xfId="0" applyFont="1" applyAlignment="1">
      <alignment vertical="top" wrapText="1"/>
    </xf>
    <xf numFmtId="0" fontId="38" fillId="19" borderId="1" xfId="0" applyFont="1" applyFill="1" applyBorder="1" applyAlignment="1">
      <alignment vertical="top" wrapText="1"/>
    </xf>
    <xf numFmtId="0" fontId="38" fillId="0" borderId="1" xfId="0" applyFont="1" applyBorder="1" applyAlignment="1">
      <alignment horizontal="center" vertical="top" wrapText="1"/>
    </xf>
    <xf numFmtId="0" fontId="37" fillId="0" borderId="1" xfId="0" applyFont="1" applyBorder="1" applyAlignment="1">
      <alignment horizontal="center" vertical="top"/>
    </xf>
    <xf numFmtId="0" fontId="37" fillId="15" borderId="1" xfId="0" applyNumberFormat="1" applyFont="1" applyFill="1" applyBorder="1" applyAlignment="1">
      <alignment vertical="top" wrapText="1"/>
    </xf>
    <xf numFmtId="0" fontId="37" fillId="19" borderId="1" xfId="0" applyFont="1" applyFill="1" applyBorder="1" applyAlignment="1">
      <alignment horizontal="center" vertical="center" wrapText="1"/>
    </xf>
    <xf numFmtId="164" fontId="37" fillId="15" borderId="1" xfId="0" applyNumberFormat="1" applyFont="1" applyFill="1" applyBorder="1" applyAlignment="1">
      <alignment horizontal="center" vertical="center" wrapText="1"/>
    </xf>
    <xf numFmtId="164" fontId="39" fillId="15" borderId="1" xfId="0" applyNumberFormat="1" applyFont="1" applyFill="1" applyBorder="1" applyAlignment="1">
      <alignment horizontal="center" vertical="center" wrapText="1"/>
    </xf>
    <xf numFmtId="0" fontId="37" fillId="0" borderId="1" xfId="0" applyNumberFormat="1" applyFont="1" applyBorder="1" applyAlignment="1">
      <alignment horizontal="center" vertical="top" wrapText="1"/>
    </xf>
    <xf numFmtId="0" fontId="40" fillId="0" borderId="1" xfId="0" applyFont="1" applyBorder="1" applyAlignment="1">
      <alignment vertical="top" wrapText="1"/>
    </xf>
    <xf numFmtId="0" fontId="37" fillId="19" borderId="1" xfId="0" applyNumberFormat="1" applyFont="1" applyFill="1" applyBorder="1" applyAlignment="1">
      <alignment horizontal="center" vertical="center" wrapText="1"/>
    </xf>
    <xf numFmtId="0" fontId="39" fillId="22" borderId="1" xfId="0" applyNumberFormat="1" applyFont="1" applyFill="1" applyBorder="1" applyAlignment="1">
      <alignment horizontal="center" vertical="center" wrapText="1"/>
    </xf>
    <xf numFmtId="0" fontId="37" fillId="0" borderId="1" xfId="0" applyNumberFormat="1" applyFont="1" applyBorder="1" applyAlignment="1">
      <alignment horizontal="center" vertical="top"/>
    </xf>
    <xf numFmtId="0" fontId="37" fillId="0" borderId="1" xfId="0" applyNumberFormat="1" applyFont="1" applyBorder="1" applyAlignment="1">
      <alignment vertical="top"/>
    </xf>
    <xf numFmtId="0" fontId="37" fillId="18" borderId="1" xfId="0" applyNumberFormat="1" applyFont="1" applyFill="1" applyBorder="1" applyAlignment="1">
      <alignment vertical="top"/>
    </xf>
    <xf numFmtId="0" fontId="40" fillId="0" borderId="1" xfId="0" applyFont="1" applyBorder="1" applyAlignment="1">
      <alignment vertical="top"/>
    </xf>
    <xf numFmtId="0" fontId="0" fillId="0" borderId="0" xfId="0" applyAlignment="1">
      <alignment wrapText="1"/>
    </xf>
    <xf numFmtId="0" fontId="37" fillId="0" borderId="1" xfId="0" applyNumberFormat="1" applyFont="1" applyBorder="1" applyAlignment="1">
      <alignment vertical="top" wrapText="1"/>
    </xf>
    <xf numFmtId="0" fontId="0" fillId="0" borderId="0" xfId="0" applyAlignment="1">
      <alignment vertical="top" wrapText="1"/>
    </xf>
    <xf numFmtId="0" fontId="37" fillId="0" borderId="1" xfId="0" applyFont="1" applyBorder="1" applyAlignment="1">
      <alignment horizontal="center" vertical="center"/>
    </xf>
    <xf numFmtId="0" fontId="37" fillId="0" borderId="5" xfId="0" applyFont="1" applyBorder="1" applyAlignment="1">
      <alignment horizontal="center" vertical="center"/>
    </xf>
    <xf numFmtId="0" fontId="0" fillId="0" borderId="0" xfId="0" applyAlignment="1">
      <alignment horizontal="center" vertical="center"/>
    </xf>
    <xf numFmtId="0" fontId="15" fillId="0" borderId="4" xfId="0" applyFont="1" applyBorder="1" applyAlignment="1">
      <alignment horizontal="center" vertical="center" wrapText="1"/>
    </xf>
    <xf numFmtId="0" fontId="25" fillId="4" borderId="37" xfId="0" applyFont="1" applyFill="1" applyBorder="1" applyAlignment="1">
      <alignment horizontal="center" vertical="center" wrapText="1"/>
    </xf>
    <xf numFmtId="0" fontId="15" fillId="0" borderId="1" xfId="0" applyFont="1" applyBorder="1" applyAlignment="1">
      <alignment horizontal="center" vertical="center"/>
    </xf>
    <xf numFmtId="0" fontId="37" fillId="18" borderId="1" xfId="0" applyFont="1" applyFill="1" applyBorder="1" applyAlignment="1">
      <alignment horizontal="center" vertical="center"/>
    </xf>
    <xf numFmtId="0" fontId="18" fillId="4" borderId="36" xfId="0" applyFont="1" applyFill="1" applyBorder="1" applyAlignment="1">
      <alignment horizontal="center" vertical="center" wrapText="1"/>
    </xf>
    <xf numFmtId="0" fontId="25" fillId="4" borderId="35" xfId="0" applyFont="1" applyFill="1" applyBorder="1" applyAlignment="1">
      <alignment horizontal="center" vertical="center" wrapText="1"/>
    </xf>
    <xf numFmtId="0" fontId="18" fillId="4" borderId="37" xfId="0" applyFont="1" applyFill="1" applyBorder="1" applyAlignment="1">
      <alignment horizontal="center" vertical="center" wrapText="1"/>
    </xf>
    <xf numFmtId="0" fontId="25" fillId="4" borderId="41" xfId="0" applyFont="1" applyFill="1" applyBorder="1" applyAlignment="1">
      <alignment horizontal="center" vertical="center" wrapText="1"/>
    </xf>
    <xf numFmtId="0" fontId="37" fillId="18" borderId="1" xfId="0" applyFont="1" applyFill="1" applyBorder="1" applyAlignment="1">
      <alignment horizontal="center" vertical="center" wrapText="1"/>
    </xf>
    <xf numFmtId="0" fontId="15" fillId="0" borderId="6" xfId="0" applyFont="1" applyFill="1" applyBorder="1" applyAlignment="1">
      <alignment horizontal="center" vertical="center"/>
    </xf>
    <xf numFmtId="0" fontId="0" fillId="0" borderId="0" xfId="0" applyFill="1" applyAlignment="1">
      <alignment horizontal="center" vertical="center"/>
    </xf>
    <xf numFmtId="0" fontId="37" fillId="0" borderId="1" xfId="0" applyFont="1" applyFill="1" applyBorder="1" applyAlignment="1">
      <alignment horizontal="center" vertical="center"/>
    </xf>
    <xf numFmtId="0" fontId="15" fillId="0" borderId="1" xfId="0" applyFont="1" applyFill="1" applyBorder="1" applyAlignment="1">
      <alignment vertical="top" wrapText="1"/>
    </xf>
    <xf numFmtId="0" fontId="15" fillId="0" borderId="1" xfId="0" applyFont="1" applyFill="1" applyBorder="1" applyAlignment="1">
      <alignment horizontal="center" vertical="center" wrapText="1"/>
    </xf>
    <xf numFmtId="0" fontId="37" fillId="0" borderId="1" xfId="0" applyFont="1" applyFill="1" applyBorder="1" applyAlignment="1">
      <alignment horizontal="center" vertical="center" wrapText="1"/>
    </xf>
    <xf numFmtId="164" fontId="39" fillId="0" borderId="1" xfId="0" applyNumberFormat="1" applyFont="1" applyFill="1" applyBorder="1" applyAlignment="1">
      <alignment horizontal="center" vertical="center" wrapText="1"/>
    </xf>
    <xf numFmtId="0" fontId="37" fillId="0" borderId="1" xfId="0" applyNumberFormat="1" applyFont="1" applyFill="1" applyBorder="1" applyAlignment="1">
      <alignment horizontal="center" vertical="top" wrapText="1"/>
    </xf>
    <xf numFmtId="0" fontId="37" fillId="0" borderId="1" xfId="0" applyFont="1" applyFill="1" applyBorder="1" applyAlignment="1">
      <alignment vertical="top"/>
    </xf>
    <xf numFmtId="0" fontId="40" fillId="0" borderId="1" xfId="0" applyFont="1" applyFill="1" applyBorder="1" applyAlignment="1">
      <alignment vertical="top"/>
    </xf>
    <xf numFmtId="0" fontId="37" fillId="0" borderId="1" xfId="0" applyNumberFormat="1" applyFont="1" applyFill="1" applyBorder="1" applyAlignment="1">
      <alignment horizontal="center" vertical="center" wrapText="1"/>
    </xf>
    <xf numFmtId="0" fontId="39" fillId="0" borderId="1" xfId="0" applyNumberFormat="1" applyFont="1" applyFill="1" applyBorder="1" applyAlignment="1">
      <alignment horizontal="center" vertical="center" wrapText="1"/>
    </xf>
    <xf numFmtId="0" fontId="0" fillId="0" borderId="0" xfId="0" applyFont="1" applyFill="1"/>
    <xf numFmtId="0" fontId="0" fillId="0" borderId="0" xfId="0" applyFill="1"/>
    <xf numFmtId="0" fontId="15" fillId="10" borderId="4" xfId="0" applyFont="1" applyFill="1" applyBorder="1" applyAlignment="1">
      <alignment vertical="top"/>
    </xf>
    <xf numFmtId="0" fontId="41" fillId="0" borderId="5" xfId="0" applyFont="1" applyBorder="1" applyAlignment="1">
      <alignment horizontal="center" vertical="top"/>
    </xf>
    <xf numFmtId="0" fontId="41" fillId="0" borderId="36" xfId="0" applyFont="1" applyBorder="1" applyAlignment="1">
      <alignment vertical="top"/>
    </xf>
    <xf numFmtId="0" fontId="41" fillId="10" borderId="5" xfId="0" applyFont="1" applyFill="1" applyBorder="1" applyAlignment="1">
      <alignment horizontal="center" vertical="top" wrapText="1"/>
    </xf>
    <xf numFmtId="0" fontId="15" fillId="10" borderId="5" xfId="0" applyFont="1" applyFill="1" applyBorder="1" applyAlignment="1">
      <alignment horizontal="center" vertical="top" wrapText="1"/>
    </xf>
    <xf numFmtId="0" fontId="15" fillId="0" borderId="39" xfId="0" applyFont="1" applyBorder="1" applyAlignment="1">
      <alignment vertical="top" wrapText="1"/>
    </xf>
    <xf numFmtId="0" fontId="37" fillId="0" borderId="5" xfId="0" applyFont="1" applyBorder="1" applyAlignment="1">
      <alignment vertical="top" wrapText="1"/>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5" xfId="0" applyFont="1" applyBorder="1" applyAlignment="1">
      <alignment horizontal="center" vertical="center"/>
    </xf>
    <xf numFmtId="0" fontId="15" fillId="15" borderId="5" xfId="0" applyNumberFormat="1" applyFont="1" applyFill="1" applyBorder="1" applyAlignment="1">
      <alignment vertical="top" wrapText="1"/>
    </xf>
    <xf numFmtId="0" fontId="15" fillId="18" borderId="5" xfId="0" applyFont="1" applyFill="1" applyBorder="1" applyAlignment="1">
      <alignment horizontal="center" vertical="center"/>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10" borderId="39" xfId="0" applyFont="1" applyFill="1" applyBorder="1" applyAlignment="1">
      <alignment vertical="top"/>
    </xf>
    <xf numFmtId="0" fontId="15" fillId="3" borderId="4" xfId="0" applyFont="1" applyFill="1" applyBorder="1" applyAlignment="1">
      <alignment horizontal="left" vertical="top"/>
    </xf>
    <xf numFmtId="0" fontId="15" fillId="3" borderId="1" xfId="0" applyFont="1" applyFill="1" applyBorder="1" applyAlignment="1">
      <alignment horizontal="left" vertical="top" wrapText="1"/>
    </xf>
    <xf numFmtId="0" fontId="15" fillId="3" borderId="1" xfId="0" applyFont="1" applyFill="1" applyBorder="1" applyAlignment="1">
      <alignment horizontal="left" vertical="top"/>
    </xf>
    <xf numFmtId="0" fontId="42" fillId="0" borderId="5" xfId="0" applyFont="1" applyBorder="1" applyAlignment="1">
      <alignment horizontal="center" vertical="top"/>
    </xf>
    <xf numFmtId="0" fontId="42" fillId="0" borderId="5" xfId="0" applyFont="1" applyBorder="1" applyAlignment="1">
      <alignment horizontal="center" vertical="center"/>
    </xf>
    <xf numFmtId="0" fontId="42" fillId="15" borderId="5" xfId="0" applyNumberFormat="1" applyFont="1" applyFill="1" applyBorder="1" applyAlignment="1">
      <alignment vertical="top" wrapText="1"/>
    </xf>
    <xf numFmtId="0" fontId="42" fillId="18" borderId="5" xfId="0" applyFont="1" applyFill="1" applyBorder="1" applyAlignment="1">
      <alignment horizontal="center" vertical="center"/>
    </xf>
    <xf numFmtId="0" fontId="42" fillId="0" borderId="5" xfId="0" applyFont="1" applyBorder="1" applyAlignment="1">
      <alignment vertical="top"/>
    </xf>
    <xf numFmtId="0" fontId="42" fillId="19" borderId="5" xfId="0" applyFont="1" applyFill="1" applyBorder="1" applyAlignment="1">
      <alignment horizontal="center" vertical="center" wrapText="1"/>
    </xf>
    <xf numFmtId="164" fontId="42" fillId="15" borderId="5" xfId="0" applyNumberFormat="1" applyFont="1" applyFill="1" applyBorder="1" applyAlignment="1">
      <alignment horizontal="center" vertical="center" wrapText="1"/>
    </xf>
    <xf numFmtId="164" fontId="43" fillId="15" borderId="5" xfId="0" applyNumberFormat="1" applyFont="1" applyFill="1" applyBorder="1" applyAlignment="1">
      <alignment horizontal="center" vertical="center" wrapText="1"/>
    </xf>
    <xf numFmtId="164" fontId="43" fillId="19" borderId="5" xfId="0" applyNumberFormat="1" applyFont="1" applyFill="1" applyBorder="1" applyAlignment="1">
      <alignment horizontal="center" vertical="center" wrapText="1"/>
    </xf>
    <xf numFmtId="0" fontId="42" fillId="0" borderId="5" xfId="0" applyNumberFormat="1" applyFont="1" applyBorder="1" applyAlignment="1">
      <alignment horizontal="center" vertical="top" wrapText="1"/>
    </xf>
    <xf numFmtId="0" fontId="42" fillId="0" borderId="5" xfId="0" applyFont="1" applyBorder="1" applyAlignment="1">
      <alignment vertical="top" wrapText="1"/>
    </xf>
    <xf numFmtId="0" fontId="44" fillId="0" borderId="5" xfId="0" applyFont="1" applyBorder="1" applyAlignment="1">
      <alignment vertical="top"/>
    </xf>
    <xf numFmtId="0" fontId="42" fillId="19" borderId="5" xfId="0" applyNumberFormat="1" applyFont="1" applyFill="1" applyBorder="1" applyAlignment="1">
      <alignment horizontal="center" vertical="center" wrapText="1"/>
    </xf>
    <xf numFmtId="0" fontId="43" fillId="22" borderId="5" xfId="0" applyNumberFormat="1" applyFont="1" applyFill="1" applyBorder="1" applyAlignment="1">
      <alignment horizontal="center" vertical="center"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3">
    <cellStyle name="Excel Built-in Normal" xfId="2"/>
    <cellStyle name="Normal" xfId="0" builtinId="0"/>
    <cellStyle name="Normal 2" xfId="1"/>
  </cellStyles>
  <dxfs count="172">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3" name="Assets" displayName="Assets" ref="A9:D23" totalsRowShown="0" headerRowDxfId="171" dataDxfId="169" headerRowBorderDxfId="170" tableBorderDxfId="168" totalsRowBorderDxfId="167">
  <autoFilter ref="A9:D23"/>
  <tableColumns count="4">
    <tableColumn id="1" name="ID #" dataDxfId="166"/>
    <tableColumn id="2" name="Asset Type_x000a_(Information/Physical)" dataDxfId="165"/>
    <tableColumn id="3" name="Asset" dataDxfId="164"/>
    <tableColumn id="4" name="Asset Description" dataDxfId="163"/>
  </tableColumns>
  <tableStyleInfo name="TableStyleLight8" showFirstColumn="0" showLastColumn="0" showRowStripes="1" showColumnStripes="0"/>
</table>
</file>

<file path=xl/tables/table2.xml><?xml version="1.0" encoding="utf-8"?>
<table xmlns="http://schemas.openxmlformats.org/spreadsheetml/2006/main" id="2" name="Vulnerabilities" displayName="Vulnerabilities" ref="A4:D45" totalsRowShown="0" headerRowDxfId="162" dataDxfId="160" headerRowBorderDxfId="161" tableBorderDxfId="159" totalsRowBorderDxfId="158">
  <autoFilter ref="A4:D45"/>
  <tableColumns count="4">
    <tableColumn id="1" name="Vuln. ID" dataDxfId="157"/>
    <tableColumn id="4" name="Vulnerability Description" dataDxfId="156"/>
    <tableColumn id="5" name="Applicable (Yes/No)" dataDxfId="155"/>
    <tableColumn id="6" name="Rationale (if Vulnerability not applicable)" dataDxfId="154"/>
  </tableColumns>
  <tableStyleInfo name="TableStyleLight11" showFirstColumn="0" showLastColumn="0" showRowStripes="1" showColumnStripes="0"/>
</table>
</file>

<file path=xl/tables/table3.xml><?xml version="1.0" encoding="utf-8"?>
<table xmlns="http://schemas.openxmlformats.org/spreadsheetml/2006/main" id="5" name="Table5" displayName="Table5" ref="A3:F17" totalsRowShown="0" headerRowDxfId="153" dataDxfId="151" headerRowBorderDxfId="152" tableBorderDxfId="150" totalsRowBorderDxfId="149">
  <autoFilter ref="A3:F17"/>
  <tableColumns count="6">
    <tableColumn id="1" name="#" dataDxfId="148"/>
    <tableColumn id="2" name="Threat Event " dataDxfId="147"/>
    <tableColumn id="3" name="Description " dataDxfId="146"/>
    <tableColumn id="4" name="Threat Source" dataDxfId="145"/>
    <tableColumn id="5" name="In Scope (Yes/No)" dataDxfId="144"/>
    <tableColumn id="13" name="Rationale _x000a_(if out of scope)" dataDxfId="143"/>
  </tableColumns>
  <tableStyleInfo name="TableStyleLight11" showFirstColumn="0" showLastColumn="0" showRowStripes="1" showColumnStripes="0"/>
</table>
</file>

<file path=xl/tables/table4.xml><?xml version="1.0" encoding="utf-8"?>
<table xmlns="http://schemas.openxmlformats.org/spreadsheetml/2006/main" id="4" name="Table4" displayName="Table4" ref="A4:AQ144" totalsRowShown="0" headerRowDxfId="137" dataDxfId="136" tableBorderDxfId="135">
  <autoFilter ref="A4:AQ144"/>
  <tableColumns count="43">
    <tableColumn id="1" name="_x000a_ID #" dataDxfId="134" totalsRowDxfId="133"/>
    <tableColumn id="23" name="T ID" dataDxfId="132" totalsRowDxfId="131"/>
    <tableColumn id="2" name="Threat Event(s)" dataDxfId="130" totalsRowDxfId="129">
      <calculatedColumnFormula>IF(VLOOKUP(Table4[[#This Row],[T ID]],Table5[#All],5,FALSE)="No","Not in scope",VLOOKUP(Table4[[#This Row],[T ID]],Table5[#All],2,FALSE))</calculatedColumnFormula>
    </tableColumn>
    <tableColumn id="22" name="V ID" dataDxfId="128" totalsRowDxfId="127"/>
    <tableColumn id="3" name="Vulnerabilities" dataDxfId="126" totalsRowDxfId="125">
      <calculatedColumnFormula>IF(VLOOKUP(Table4[[#This Row],[V ID]],Vulnerabilities[#All],3,FALSE)="No","Not in scope",VLOOKUP(Table4[[#This Row],[V ID]],Vulnerabilities[#All],2,FALSE))</calculatedColumnFormula>
    </tableColumn>
    <tableColumn id="24" name="A ID" dataDxfId="124" totalsRowDxfId="123"/>
    <tableColumn id="4" name="Asset" dataDxfId="122" totalsRowDxfId="121">
      <calculatedColumnFormula>VLOOKUP(Table4[[#This Row],[A ID]],Assets[#All],3,FALSE)</calculatedColumnFormula>
    </tableColumn>
    <tableColumn id="5" name="Impact Description" dataDxfId="120" totalsRowDxfId="119"/>
    <tableColumn id="7" name="Safety Impact _x000a_(Risk ID# or N/A)" dataDxfId="118" totalsRowDxfId="117"/>
    <tableColumn id="26" name="Confidentiality" dataDxfId="116" totalsRowDxfId="115"/>
    <tableColumn id="25" name="Integrity" dataDxfId="114" totalsRowDxfId="113"/>
    <tableColumn id="21" name="Availability" dataDxfId="112" totalsRowDxfId="111"/>
    <tableColumn id="44" name="Attack Vector" dataDxfId="110" totalsRowDxfId="109"/>
    <tableColumn id="45" name="Attack Complexity" dataDxfId="108" totalsRowDxfId="107"/>
    <tableColumn id="46" name="Privileges Required" dataDxfId="106" totalsRowDxfId="105"/>
    <tableColumn id="47" name="User Interaction" dataDxfId="104" totalsRowDxfId="103"/>
    <tableColumn id="43" name="Scope" dataDxfId="102" totalsRowDxfId="101"/>
    <tableColumn id="48" name="Exploitability Sub Score" dataDxfId="100" totalsRowDxfId="99">
      <calculatedColumnFormula>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calculatedColumnFormula>
    </tableColumn>
    <tableColumn id="17" name="ISC Base" dataDxfId="98" totalsRowDxfId="97">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name="Impact Sub Score" dataDxfId="96" totalsRowDxfId="95">
      <calculatedColumnFormula>IF(Table4[[#This Row],[Scope]]="Unchanged",6.42*Table4[[#This Row],[ISC Base]],IF(Table4[[#This Row],[Scope]]="Changed",7.52*(Table4[[#This Row],[ISC Base]] - 0.029) - 3.25 * POWER(Table4[[#This Row],[ISC Base]] - 0.02,15),NA()))</calculatedColumnFormula>
    </tableColumn>
    <tableColumn id="34" name="CVSS v3.0 Base Score" dataDxfId="94" totalsRowDxfId="93">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name="Threat Event Initiation" dataDxfId="92"/>
    <tableColumn id="33" name="Threat Event Initiation_x000a_Score" dataDxfId="91" totalsRowDxfId="90">
      <calculatedColumnFormula>VLOOKUP(Table4[[#This Row],[Threat Event Initiation]],NIST_Scale_LOAI[],2,FALSE)</calculatedColumnFormula>
    </tableColumn>
    <tableColumn id="10" name="Overall Risk Score" dataDxfId="89" totalsRowDxfId="88">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name="Security _x000a_Risk _x000a_Level" dataDxfId="87" totalsRowDxfId="86">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name="Security Risk Control Measures" dataDxfId="85" totalsRowDxfId="84"/>
    <tableColumn id="14" name="Implementation of Risk Control Measures " dataDxfId="83" totalsRowDxfId="82"/>
    <tableColumn id="15" name="Verification of Risk Control Measures (Effectiveness)" dataDxfId="81" totalsRowDxfId="80"/>
    <tableColumn id="13" name="ConfidentialityP" dataDxfId="79" totalsRowDxfId="78"/>
    <tableColumn id="27" name="IntegrityP" dataDxfId="77" totalsRowDxfId="76"/>
    <tableColumn id="28" name="AvailabilityP" dataDxfId="75" totalsRowDxfId="74"/>
    <tableColumn id="8" name="Attack VectorP" dataDxfId="73" totalsRowDxfId="72"/>
    <tableColumn id="29" name="Attack ComplexityP" dataDxfId="71" totalsRowDxfId="70"/>
    <tableColumn id="30" name="Privileges RequiredP" dataDxfId="69" totalsRowDxfId="68"/>
    <tableColumn id="31" name="User InteractionP" dataDxfId="67"/>
    <tableColumn id="36" name="ScopeP" dataDxfId="66" totalsRowDxfId="65"/>
    <tableColumn id="35" name="Exploitability Sub ScoreP" dataDxfId="64" totalsRowDxfId="63">
      <calculatedColumnFormula>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calculatedColumnFormula>
    </tableColumn>
    <tableColumn id="40" name="ISC BaseP" dataDxfId="62" totalsRowDxfId="61">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name="Impact Sub ScoreP" dataDxfId="60" totalsRowDxfId="59">
      <calculatedColumnFormula>IF(Table4[[#This Row],[ScopeP]]="Unchanged",6.42*Table4[[#This Row],[ISC BaseP]],IF(Table4[[#This Row],[ScopeP]]="Changed",7.52*(Table4[[#This Row],[ISC BaseP]] - 0.029) - 3.25 * POWER(Table4[[#This Row],[ISC BaseP]] - 0.02,15),NA()))</calculatedColumnFormula>
    </tableColumn>
    <tableColumn id="42" name="CVSS v3.0 Base ScoreP" dataDxfId="58" totalsRowDxfId="57">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name="Overall Risk ScoreP" dataDxfId="56" totalsRowDxfId="55">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name="Security Risk LevelP" dataDxfId="54" totalsRowDxfId="53">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name="Residual Security Risk Acceptability Justification" dataDxfId="52" totalsRowDxfId="51"/>
  </tableColumns>
  <tableStyleInfo name="TableStyleLight11" showFirstColumn="0" showLastColumn="0" showRowStripes="1" showColumnStripes="0"/>
</table>
</file>

<file path=xl/tables/table5.xml><?xml version="1.0" encoding="utf-8"?>
<table xmlns="http://schemas.openxmlformats.org/spreadsheetml/2006/main" id="14" name="Table41415" displayName="Table41415" ref="A4:M84" totalsRowShown="0" headerRowDxfId="45" dataDxfId="44" tableBorderDxfId="43">
  <autoFilter ref="A4:M84"/>
  <tableColumns count="13">
    <tableColumn id="1" name="_x000a_ID #" dataDxfId="42" totalsRowDxfId="41">
      <calculatedColumnFormula>Table4[[#This Row],[
ID '#]]</calculatedColumnFormula>
    </tableColumn>
    <tableColumn id="23" name="T ID" dataDxfId="40" totalsRowDxfId="39">
      <calculatedColumnFormula>IF(Table4[[#This Row],[A ID]]&gt;0,Table4[[#This Row],[T ID]],"")</calculatedColumnFormula>
    </tableColumn>
    <tableColumn id="2" name="Threat Event(s)" dataDxfId="38" totalsRowDxfId="37">
      <calculatedColumnFormula>Table4[[#This Row],[Threat Event(s)]]</calculatedColumnFormula>
    </tableColumn>
    <tableColumn id="22" name="V ID" dataDxfId="36" totalsRowDxfId="35">
      <calculatedColumnFormula>IF(Table4[[#This Row],[V ID]]&gt;0,Table4[[#This Row],[V ID]],"")</calculatedColumnFormula>
    </tableColumn>
    <tableColumn id="3" name="Vulnerabilities" dataDxfId="34" totalsRowDxfId="33">
      <calculatedColumnFormula>Table4[[#This Row],[Vulnerabilities]]</calculatedColumnFormula>
    </tableColumn>
    <tableColumn id="24" name="A ID" dataDxfId="32" totalsRowDxfId="31">
      <calculatedColumnFormula>IF(Table4[[#This Row],[A ID]]&gt;0,Table4[[#This Row],[A ID]],"")</calculatedColumnFormula>
    </tableColumn>
    <tableColumn id="4" name="Assets" dataDxfId="30" totalsRowDxfId="29">
      <calculatedColumnFormula>Table4[[#This Row],[Asset]]</calculatedColumnFormula>
    </tableColumn>
    <tableColumn id="5" name="Impact Description" dataDxfId="28" totalsRowDxfId="27">
      <calculatedColumnFormula>IF(Table4[[#This Row],[Impact Description]]&gt;0,Table4[[#This Row],[Impact Description]],"")</calculatedColumnFormula>
    </tableColumn>
    <tableColumn id="7" name="Safety Impact _x000a_(Risk ID# or N/A)" dataDxfId="26" totalsRowDxfId="25">
      <calculatedColumnFormula>IF(Table4[[#This Row],[Safety Impact 
(Risk ID'# or N/A)]]&gt;0,Table4[[#This Row],[Safety Impact 
(Risk ID'# or N/A)]],"")</calculatedColumnFormula>
    </tableColumn>
    <tableColumn id="11" name="Pre-Controls _x000a_Risk Level" dataDxfId="24" totalsRowDxfId="23">
      <calculatedColumnFormula>Table4[[#This Row],[Security 
Risk 
Level]]</calculatedColumnFormula>
    </tableColumn>
    <tableColumn id="12" name="Security Risk Control Measures" dataDxfId="22" totalsRowDxfId="21">
      <calculatedColumnFormula>IF(Table4[[#This Row],[Security Risk Control Measures]]&gt;0,Table4[[#This Row],[Security Risk Control Measures]],"")</calculatedColumnFormula>
    </tableColumn>
    <tableColumn id="50" name="Post-Controls Risk Level" dataDxfId="20" totalsRowDxfId="19">
      <calculatedColumnFormula>Table4[[#This Row],[Security Risk LevelP]]</calculatedColumnFormula>
    </tableColumn>
    <tableColumn id="20" name="Residual Security Risk Acceptability Justification" dataDxfId="18" totalsRowDxfId="1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id="6" name="NIST_Scale_LOAI" displayName="NIST_Scale_LOAI" ref="Q4:R10" totalsRowShown="0" headerRowDxfId="16" dataDxfId="15" tableBorderDxfId="14">
  <autoFilter ref="Q4:R10"/>
  <tableColumns count="2">
    <tableColumn id="1" name="Rating" dataDxfId="13"/>
    <tableColumn id="2" name="Score" dataDxfId="12"/>
  </tableColumns>
  <tableStyleInfo name="TableStyleLight11" showFirstColumn="0" showLastColumn="0" showRowStripes="1" showColumnStripes="0"/>
</table>
</file>

<file path=xl/tables/table7.xml><?xml version="1.0" encoding="utf-8"?>
<table xmlns="http://schemas.openxmlformats.org/spreadsheetml/2006/main" id="7" name="Table7" displayName="Table7" ref="A4:C10" totalsRowShown="0" headerRowDxfId="11" dataDxfId="10" tableBorderDxfId="9">
  <autoFilter ref="A4:C10"/>
  <tableColumns count="3">
    <tableColumn id="1" name="ID#" dataDxfId="8"/>
    <tableColumn id="2" name="Threat Source" dataDxfId="7"/>
    <tableColumn id="3" name="In Scope (Y/N)" dataDxfId="6"/>
  </tableColumns>
  <tableStyleInfo name="TableStyleLight10" showFirstColumn="0" showLastColumn="0" showRowStripes="1" showColumnStripes="0"/>
</table>
</file>

<file path=xl/tables/table8.xml><?xml version="1.0" encoding="utf-8"?>
<table xmlns="http://schemas.openxmlformats.org/spreadsheetml/2006/main" id="8" name="Table8" displayName="Table8" ref="E4:G10" totalsRowShown="0" headerRowDxfId="5" dataDxfId="4" tableBorderDxfId="3">
  <autoFilter ref="E4:G10"/>
  <tableColumns count="3">
    <tableColumn id="1" name="ID#" dataDxfId="2"/>
    <tableColumn id="2" name="Source" dataDxfId="1"/>
    <tableColumn id="3" name="In Scope (Y/N)"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40"/>
  <sheetViews>
    <sheetView tabSelected="1" topLeftCell="A5" zoomScaleNormal="100" workbookViewId="0">
      <selection activeCell="E10" sqref="E10"/>
    </sheetView>
  </sheetViews>
  <sheetFormatPr defaultColWidth="9.140625" defaultRowHeight="14.25" x14ac:dyDescent="0.25"/>
  <cols>
    <col min="1" max="1" width="7.85546875" style="28" customWidth="1"/>
    <col min="2" max="2" width="30.7109375" style="28" customWidth="1"/>
    <col min="3" max="3" width="40.85546875" style="28" customWidth="1"/>
    <col min="4" max="4" width="51.28515625" style="28" customWidth="1"/>
    <col min="5" max="5" width="16.140625" style="28" customWidth="1"/>
    <col min="6" max="6" width="14.28515625" style="28" customWidth="1"/>
    <col min="7" max="16384" width="9.140625" style="28"/>
  </cols>
  <sheetData>
    <row r="1" spans="1:4" s="32" customFormat="1" x14ac:dyDescent="0.25">
      <c r="A1" s="31" t="s">
        <v>148</v>
      </c>
    </row>
    <row r="2" spans="1:4" s="32" customFormat="1" x14ac:dyDescent="0.25"/>
    <row r="3" spans="1:4" s="32" customFormat="1" x14ac:dyDescent="0.25">
      <c r="A3" s="33" t="s">
        <v>149</v>
      </c>
      <c r="B3" s="34"/>
      <c r="C3" s="274"/>
      <c r="D3" s="274"/>
    </row>
    <row r="4" spans="1:4" s="32" customFormat="1" x14ac:dyDescent="0.25">
      <c r="A4" s="35" t="s">
        <v>153</v>
      </c>
      <c r="B4" s="36"/>
      <c r="C4" s="274"/>
      <c r="D4" s="274"/>
    </row>
    <row r="5" spans="1:4" s="32" customFormat="1" x14ac:dyDescent="0.25">
      <c r="A5" s="35" t="s">
        <v>150</v>
      </c>
      <c r="B5" s="36"/>
      <c r="C5" s="274" t="s">
        <v>224</v>
      </c>
      <c r="D5" s="274"/>
    </row>
    <row r="6" spans="1:4" s="32" customFormat="1" ht="30" customHeight="1" x14ac:dyDescent="0.25">
      <c r="A6" s="37" t="s">
        <v>151</v>
      </c>
      <c r="B6" s="38"/>
      <c r="C6" s="274" t="s">
        <v>152</v>
      </c>
      <c r="D6" s="274"/>
    </row>
    <row r="7" spans="1:4" s="32" customFormat="1" x14ac:dyDescent="0.25"/>
    <row r="8" spans="1:4" s="32" customFormat="1" x14ac:dyDescent="0.25"/>
    <row r="9" spans="1:4" s="32" customFormat="1" ht="28.5" x14ac:dyDescent="0.25">
      <c r="A9" s="39" t="s">
        <v>8</v>
      </c>
      <c r="B9" s="40" t="s">
        <v>162</v>
      </c>
      <c r="C9" s="40" t="s">
        <v>0</v>
      </c>
      <c r="D9" s="41" t="s">
        <v>11</v>
      </c>
    </row>
    <row r="10" spans="1:4" s="32" customFormat="1" ht="71.25" x14ac:dyDescent="0.25">
      <c r="A10" s="42" t="s">
        <v>112</v>
      </c>
      <c r="B10" s="43" t="s">
        <v>9</v>
      </c>
      <c r="C10" s="44" t="s">
        <v>292</v>
      </c>
      <c r="D10" s="45" t="s">
        <v>293</v>
      </c>
    </row>
    <row r="11" spans="1:4" s="32" customFormat="1" ht="42.75" x14ac:dyDescent="0.25">
      <c r="A11" s="42" t="s">
        <v>113</v>
      </c>
      <c r="B11" s="43" t="s">
        <v>10</v>
      </c>
      <c r="C11" s="44" t="s">
        <v>198</v>
      </c>
      <c r="D11" s="45" t="s">
        <v>147</v>
      </c>
    </row>
    <row r="12" spans="1:4" s="32" customFormat="1" ht="42.75" x14ac:dyDescent="0.25">
      <c r="A12" s="42" t="s">
        <v>114</v>
      </c>
      <c r="B12" s="43" t="s">
        <v>199</v>
      </c>
      <c r="C12" s="44" t="s">
        <v>200</v>
      </c>
      <c r="D12" s="45" t="s">
        <v>201</v>
      </c>
    </row>
    <row r="13" spans="1:4" s="32" customFormat="1" ht="28.5" x14ac:dyDescent="0.25">
      <c r="A13" s="42" t="s">
        <v>115</v>
      </c>
      <c r="B13" s="43" t="s">
        <v>10</v>
      </c>
      <c r="C13" s="44" t="s">
        <v>202</v>
      </c>
      <c r="D13" s="45" t="s">
        <v>203</v>
      </c>
    </row>
    <row r="14" spans="1:4" s="32" customFormat="1" ht="42.75" x14ac:dyDescent="0.25">
      <c r="A14" s="42" t="s">
        <v>116</v>
      </c>
      <c r="B14" s="43" t="s">
        <v>199</v>
      </c>
      <c r="C14" s="44" t="s">
        <v>204</v>
      </c>
      <c r="D14" s="45" t="s">
        <v>205</v>
      </c>
    </row>
    <row r="15" spans="1:4" s="32" customFormat="1" ht="28.5" x14ac:dyDescent="0.25">
      <c r="A15" s="42" t="s">
        <v>117</v>
      </c>
      <c r="B15" s="43" t="s">
        <v>10</v>
      </c>
      <c r="C15" s="46" t="s">
        <v>206</v>
      </c>
      <c r="D15" s="45" t="s">
        <v>207</v>
      </c>
    </row>
    <row r="16" spans="1:4" s="32" customFormat="1" ht="28.5" x14ac:dyDescent="0.25">
      <c r="A16" s="42" t="s">
        <v>118</v>
      </c>
      <c r="B16" s="43" t="s">
        <v>10</v>
      </c>
      <c r="C16" s="44" t="s">
        <v>208</v>
      </c>
      <c r="D16" s="47" t="s">
        <v>209</v>
      </c>
    </row>
    <row r="17" spans="1:4" s="32" customFormat="1" ht="28.5" x14ac:dyDescent="0.25">
      <c r="A17" s="42" t="s">
        <v>119</v>
      </c>
      <c r="B17" s="48" t="s">
        <v>199</v>
      </c>
      <c r="C17" s="49" t="s">
        <v>210</v>
      </c>
      <c r="D17" s="47" t="s">
        <v>211</v>
      </c>
    </row>
    <row r="18" spans="1:4" s="32" customFormat="1" ht="28.5" x14ac:dyDescent="0.25">
      <c r="A18" s="42" t="s">
        <v>120</v>
      </c>
      <c r="B18" s="48" t="s">
        <v>10</v>
      </c>
      <c r="C18" s="49" t="s">
        <v>212</v>
      </c>
      <c r="D18" s="47" t="s">
        <v>213</v>
      </c>
    </row>
    <row r="19" spans="1:4" s="32" customFormat="1" ht="28.5" x14ac:dyDescent="0.25">
      <c r="A19" s="42" t="s">
        <v>107</v>
      </c>
      <c r="B19" s="48" t="s">
        <v>10</v>
      </c>
      <c r="C19" s="49" t="s">
        <v>214</v>
      </c>
      <c r="D19" s="47" t="s">
        <v>215</v>
      </c>
    </row>
    <row r="20" spans="1:4" s="32" customFormat="1" ht="28.5" x14ac:dyDescent="0.25">
      <c r="A20" s="42" t="s">
        <v>108</v>
      </c>
      <c r="B20" s="48" t="s">
        <v>10</v>
      </c>
      <c r="C20" s="49" t="s">
        <v>216</v>
      </c>
      <c r="D20" s="47" t="s">
        <v>217</v>
      </c>
    </row>
    <row r="21" spans="1:4" s="32" customFormat="1" ht="28.5" x14ac:dyDescent="0.25">
      <c r="A21" s="42" t="s">
        <v>109</v>
      </c>
      <c r="B21" s="48" t="s">
        <v>10</v>
      </c>
      <c r="C21" s="49" t="s">
        <v>218</v>
      </c>
      <c r="D21" s="47" t="s">
        <v>219</v>
      </c>
    </row>
    <row r="22" spans="1:4" s="32" customFormat="1" x14ac:dyDescent="0.25">
      <c r="A22" s="42" t="s">
        <v>110</v>
      </c>
      <c r="B22" s="48" t="s">
        <v>10</v>
      </c>
      <c r="C22" s="49" t="s">
        <v>220</v>
      </c>
      <c r="D22" s="47" t="s">
        <v>221</v>
      </c>
    </row>
    <row r="23" spans="1:4" s="32" customFormat="1" ht="28.5" x14ac:dyDescent="0.25">
      <c r="A23" s="42" t="s">
        <v>111</v>
      </c>
      <c r="B23" s="50" t="s">
        <v>10</v>
      </c>
      <c r="C23" s="51" t="s">
        <v>222</v>
      </c>
      <c r="D23" s="52" t="s">
        <v>223</v>
      </c>
    </row>
    <row r="37" spans="1:8" x14ac:dyDescent="0.15">
      <c r="A37" s="29" t="s">
        <v>164</v>
      </c>
    </row>
    <row r="38" spans="1:8" ht="34.5" customHeight="1" x14ac:dyDescent="0.15">
      <c r="B38" s="275" t="s">
        <v>165</v>
      </c>
      <c r="C38" s="275"/>
      <c r="D38" s="30"/>
      <c r="E38" s="30"/>
      <c r="F38" s="30"/>
      <c r="G38" s="30"/>
      <c r="H38" s="30"/>
    </row>
    <row r="40" spans="1:8" x14ac:dyDescent="0.25">
      <c r="B40" s="32" t="s">
        <v>163</v>
      </c>
    </row>
  </sheetData>
  <mergeCells count="5">
    <mergeCell ref="C3:D3"/>
    <mergeCell ref="C4:D4"/>
    <mergeCell ref="C5:D5"/>
    <mergeCell ref="C6:D6"/>
    <mergeCell ref="B38:C38"/>
  </mergeCell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 r:id="rId2"/>
  <legacyDrawingHF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8"/>
  <sheetViews>
    <sheetView topLeftCell="A28" zoomScaleNormal="100" workbookViewId="0">
      <selection activeCell="B38" sqref="B38"/>
    </sheetView>
  </sheetViews>
  <sheetFormatPr defaultColWidth="9.140625" defaultRowHeight="15" x14ac:dyDescent="0.25"/>
  <cols>
    <col min="1" max="1" width="31.7109375" style="26" customWidth="1"/>
    <col min="2" max="2" width="58.5703125" style="191" customWidth="1"/>
    <col min="3" max="3" width="20.7109375" style="26" customWidth="1"/>
    <col min="4" max="4" width="42.7109375" style="26" customWidth="1"/>
    <col min="5" max="16384" width="9.140625" style="26"/>
  </cols>
  <sheetData>
    <row r="1" spans="1:4" s="53" customFormat="1" ht="15" customHeight="1" x14ac:dyDescent="0.25">
      <c r="A1" s="31" t="s">
        <v>155</v>
      </c>
      <c r="B1" s="32"/>
    </row>
    <row r="2" spans="1:4" s="53" customFormat="1" ht="15" customHeight="1" x14ac:dyDescent="0.25">
      <c r="A2" s="31"/>
      <c r="B2" s="32"/>
    </row>
    <row r="3" spans="1:4" s="53" customFormat="1" ht="14.25" hidden="1" x14ac:dyDescent="0.25">
      <c r="B3" s="32"/>
    </row>
    <row r="4" spans="1:4" s="53" customFormat="1" ht="14.25" x14ac:dyDescent="0.25">
      <c r="A4" s="54" t="s">
        <v>7</v>
      </c>
      <c r="B4" s="63" t="s">
        <v>14</v>
      </c>
      <c r="C4" s="55" t="s">
        <v>68</v>
      </c>
      <c r="D4" s="55" t="s">
        <v>69</v>
      </c>
    </row>
    <row r="5" spans="1:4" s="53" customFormat="1" ht="28.5" x14ac:dyDescent="0.25">
      <c r="A5" s="56" t="s">
        <v>121</v>
      </c>
      <c r="B5" s="189" t="s">
        <v>228</v>
      </c>
      <c r="C5" s="49" t="s">
        <v>131</v>
      </c>
      <c r="D5" s="49" t="s">
        <v>132</v>
      </c>
    </row>
    <row r="6" spans="1:4" s="53" customFormat="1" ht="42.75" x14ac:dyDescent="0.25">
      <c r="A6" s="58" t="s">
        <v>122</v>
      </c>
      <c r="B6" s="189" t="s">
        <v>229</v>
      </c>
      <c r="C6" s="49" t="s">
        <v>131</v>
      </c>
      <c r="D6" s="49" t="s">
        <v>132</v>
      </c>
    </row>
    <row r="7" spans="1:4" s="53" customFormat="1" ht="28.5" x14ac:dyDescent="0.25">
      <c r="A7" s="58" t="s">
        <v>225</v>
      </c>
      <c r="B7" s="49" t="s">
        <v>230</v>
      </c>
      <c r="C7" s="49" t="s">
        <v>131</v>
      </c>
      <c r="D7" s="49" t="s">
        <v>132</v>
      </c>
    </row>
    <row r="8" spans="1:4" s="53" customFormat="1" ht="28.5" x14ac:dyDescent="0.25">
      <c r="A8" s="58" t="s">
        <v>226</v>
      </c>
      <c r="B8" s="188" t="s">
        <v>231</v>
      </c>
      <c r="C8" s="188" t="s">
        <v>131</v>
      </c>
      <c r="D8" s="49" t="s">
        <v>132</v>
      </c>
    </row>
    <row r="9" spans="1:4" s="53" customFormat="1" ht="14.25" x14ac:dyDescent="0.25">
      <c r="A9" s="58" t="s">
        <v>227</v>
      </c>
      <c r="B9" s="49" t="s">
        <v>294</v>
      </c>
      <c r="C9" s="49" t="s">
        <v>131</v>
      </c>
      <c r="D9" s="49" t="s">
        <v>132</v>
      </c>
    </row>
    <row r="10" spans="1:4" s="53" customFormat="1" ht="14.25" x14ac:dyDescent="0.25">
      <c r="A10" s="60" t="s">
        <v>12</v>
      </c>
      <c r="B10" s="190"/>
      <c r="C10" s="60"/>
      <c r="D10" s="60"/>
    </row>
    <row r="11" spans="1:4" s="53" customFormat="1" ht="14.25" x14ac:dyDescent="0.25">
      <c r="A11" s="61" t="s">
        <v>232</v>
      </c>
      <c r="B11" s="61" t="s">
        <v>237</v>
      </c>
      <c r="C11" s="49" t="s">
        <v>131</v>
      </c>
      <c r="D11" s="49" t="s">
        <v>132</v>
      </c>
    </row>
    <row r="12" spans="1:4" s="53" customFormat="1" ht="28.5" x14ac:dyDescent="0.25">
      <c r="A12" s="61" t="s">
        <v>233</v>
      </c>
      <c r="B12" s="49" t="s">
        <v>238</v>
      </c>
      <c r="C12" s="49" t="s">
        <v>131</v>
      </c>
      <c r="D12" s="49" t="s">
        <v>132</v>
      </c>
    </row>
    <row r="13" spans="1:4" s="53" customFormat="1" ht="28.5" x14ac:dyDescent="0.25">
      <c r="A13" s="61" t="s">
        <v>234</v>
      </c>
      <c r="B13" s="188" t="s">
        <v>239</v>
      </c>
      <c r="C13" s="188" t="s">
        <v>131</v>
      </c>
      <c r="D13" s="49" t="s">
        <v>132</v>
      </c>
    </row>
    <row r="14" spans="1:4" s="53" customFormat="1" ht="14.25" x14ac:dyDescent="0.25">
      <c r="A14" s="61" t="s">
        <v>235</v>
      </c>
      <c r="B14" s="188" t="s">
        <v>240</v>
      </c>
      <c r="C14" s="188" t="s">
        <v>131</v>
      </c>
      <c r="D14" s="49" t="s">
        <v>132</v>
      </c>
    </row>
    <row r="15" spans="1:4" s="53" customFormat="1" ht="42.75" x14ac:dyDescent="0.25">
      <c r="A15" s="61" t="s">
        <v>236</v>
      </c>
      <c r="B15" s="49" t="s">
        <v>241</v>
      </c>
      <c r="C15" s="49" t="s">
        <v>131</v>
      </c>
      <c r="D15" s="49" t="s">
        <v>132</v>
      </c>
    </row>
    <row r="16" spans="1:4" s="53" customFormat="1" ht="28.5" x14ac:dyDescent="0.25">
      <c r="A16" s="61" t="s">
        <v>142</v>
      </c>
      <c r="B16" s="49" t="s">
        <v>242</v>
      </c>
      <c r="C16" s="49" t="s">
        <v>131</v>
      </c>
      <c r="D16" s="49" t="s">
        <v>132</v>
      </c>
    </row>
    <row r="17" spans="1:4" s="53" customFormat="1" ht="14.25" x14ac:dyDescent="0.25">
      <c r="A17" s="60" t="s">
        <v>13</v>
      </c>
      <c r="B17" s="190"/>
      <c r="C17" s="60"/>
      <c r="D17" s="60"/>
    </row>
    <row r="18" spans="1:4" s="53" customFormat="1" ht="28.5" x14ac:dyDescent="0.25">
      <c r="A18" s="61" t="s">
        <v>247</v>
      </c>
      <c r="B18" s="49" t="s">
        <v>243</v>
      </c>
      <c r="C18" s="49" t="s">
        <v>131</v>
      </c>
      <c r="D18" s="49" t="s">
        <v>132</v>
      </c>
    </row>
    <row r="19" spans="1:4" s="53" customFormat="1" ht="14.25" x14ac:dyDescent="0.25">
      <c r="A19" s="61" t="s">
        <v>248</v>
      </c>
      <c r="B19" s="49" t="s">
        <v>244</v>
      </c>
      <c r="C19" s="49" t="s">
        <v>131</v>
      </c>
      <c r="D19" s="49" t="s">
        <v>132</v>
      </c>
    </row>
    <row r="20" spans="1:4" s="53" customFormat="1" ht="14.25" x14ac:dyDescent="0.25">
      <c r="A20" s="61" t="s">
        <v>249</v>
      </c>
      <c r="B20" s="49" t="s">
        <v>245</v>
      </c>
      <c r="C20" s="49" t="s">
        <v>131</v>
      </c>
      <c r="D20" s="49" t="s">
        <v>132</v>
      </c>
    </row>
    <row r="21" spans="1:4" s="53" customFormat="1" ht="14.25" x14ac:dyDescent="0.25">
      <c r="A21" s="61" t="s">
        <v>250</v>
      </c>
      <c r="B21" s="49" t="s">
        <v>246</v>
      </c>
      <c r="C21" s="49" t="s">
        <v>131</v>
      </c>
      <c r="D21" s="49" t="s">
        <v>132</v>
      </c>
    </row>
    <row r="22" spans="1:4" s="53" customFormat="1" ht="14.25" x14ac:dyDescent="0.25">
      <c r="A22" s="60" t="s">
        <v>146</v>
      </c>
      <c r="B22" s="190"/>
      <c r="C22" s="60"/>
      <c r="D22" s="60"/>
    </row>
    <row r="23" spans="1:4" s="53" customFormat="1" ht="14.25" x14ac:dyDescent="0.25">
      <c r="A23" s="61" t="s">
        <v>251</v>
      </c>
      <c r="B23" s="49" t="s">
        <v>252</v>
      </c>
      <c r="C23" s="49" t="s">
        <v>131</v>
      </c>
      <c r="D23" s="59" t="s">
        <v>132</v>
      </c>
    </row>
    <row r="24" spans="1:4" s="53" customFormat="1" ht="14.25" x14ac:dyDescent="0.25">
      <c r="A24" s="61" t="s">
        <v>257</v>
      </c>
      <c r="B24" s="49" t="s">
        <v>253</v>
      </c>
      <c r="C24" s="49" t="s">
        <v>131</v>
      </c>
      <c r="D24" s="59" t="s">
        <v>132</v>
      </c>
    </row>
    <row r="25" spans="1:4" s="53" customFormat="1" ht="28.5" x14ac:dyDescent="0.25">
      <c r="A25" s="61" t="s">
        <v>258</v>
      </c>
      <c r="B25" s="49" t="s">
        <v>254</v>
      </c>
      <c r="C25" s="49" t="s">
        <v>131</v>
      </c>
      <c r="D25" s="59" t="s">
        <v>132</v>
      </c>
    </row>
    <row r="26" spans="1:4" s="53" customFormat="1" ht="14.25" x14ac:dyDescent="0.25">
      <c r="A26" s="61" t="s">
        <v>259</v>
      </c>
      <c r="B26" s="49" t="s">
        <v>255</v>
      </c>
      <c r="C26" s="49" t="s">
        <v>131</v>
      </c>
      <c r="D26" s="59" t="s">
        <v>132</v>
      </c>
    </row>
    <row r="27" spans="1:4" s="53" customFormat="1" ht="14.25" x14ac:dyDescent="0.25">
      <c r="A27" s="60" t="s">
        <v>256</v>
      </c>
      <c r="B27" s="190"/>
      <c r="C27" s="60"/>
      <c r="D27" s="60"/>
    </row>
    <row r="28" spans="1:4" s="53" customFormat="1" ht="28.5" x14ac:dyDescent="0.25">
      <c r="A28" s="61" t="s">
        <v>264</v>
      </c>
      <c r="B28" s="49" t="s">
        <v>260</v>
      </c>
      <c r="C28" s="49" t="s">
        <v>131</v>
      </c>
      <c r="D28" s="59" t="s">
        <v>132</v>
      </c>
    </row>
    <row r="29" spans="1:4" s="53" customFormat="1" ht="28.5" x14ac:dyDescent="0.25">
      <c r="A29" s="61" t="s">
        <v>143</v>
      </c>
      <c r="B29" s="49" t="s">
        <v>261</v>
      </c>
      <c r="C29" s="49" t="s">
        <v>131</v>
      </c>
      <c r="D29" s="59" t="s">
        <v>132</v>
      </c>
    </row>
    <row r="30" spans="1:4" s="53" customFormat="1" ht="14.25" x14ac:dyDescent="0.25">
      <c r="A30" s="61" t="s">
        <v>144</v>
      </c>
      <c r="B30" s="51" t="s">
        <v>262</v>
      </c>
      <c r="C30" s="49" t="s">
        <v>131</v>
      </c>
      <c r="D30" s="59" t="s">
        <v>132</v>
      </c>
    </row>
    <row r="31" spans="1:4" s="53" customFormat="1" ht="14.25" x14ac:dyDescent="0.25">
      <c r="A31" s="241" t="s">
        <v>145</v>
      </c>
      <c r="B31" s="242" t="s">
        <v>263</v>
      </c>
      <c r="C31" s="51" t="s">
        <v>131</v>
      </c>
      <c r="D31" s="243" t="s">
        <v>132</v>
      </c>
    </row>
    <row r="32" spans="1:4" s="53" customFormat="1" ht="14.25" x14ac:dyDescent="0.25">
      <c r="A32" s="60" t="s">
        <v>353</v>
      </c>
      <c r="B32" s="190"/>
      <c r="C32" s="60"/>
      <c r="D32" s="60"/>
    </row>
    <row r="33" spans="1:8" s="53" customFormat="1" ht="14.25" x14ac:dyDescent="0.25">
      <c r="A33" s="256" t="s">
        <v>347</v>
      </c>
      <c r="B33" s="51" t="s">
        <v>343</v>
      </c>
      <c r="C33" s="51" t="s">
        <v>131</v>
      </c>
      <c r="D33" s="243" t="s">
        <v>132</v>
      </c>
    </row>
    <row r="34" spans="1:8" s="53" customFormat="1" ht="28.5" x14ac:dyDescent="0.25">
      <c r="A34" s="256" t="s">
        <v>348</v>
      </c>
      <c r="B34" s="51" t="s">
        <v>344</v>
      </c>
      <c r="C34" s="51" t="s">
        <v>131</v>
      </c>
      <c r="D34" s="243" t="s">
        <v>132</v>
      </c>
    </row>
    <row r="35" spans="1:8" s="53" customFormat="1" ht="14.25" x14ac:dyDescent="0.25">
      <c r="A35" s="236" t="s">
        <v>349</v>
      </c>
      <c r="B35" s="49" t="s">
        <v>345</v>
      </c>
      <c r="C35" s="49" t="s">
        <v>131</v>
      </c>
      <c r="D35" s="59" t="s">
        <v>132</v>
      </c>
    </row>
    <row r="36" spans="1:8" x14ac:dyDescent="0.25">
      <c r="A36" s="236" t="s">
        <v>350</v>
      </c>
      <c r="B36" s="49" t="s">
        <v>379</v>
      </c>
      <c r="C36" s="49" t="s">
        <v>131</v>
      </c>
      <c r="D36" s="59" t="s">
        <v>132</v>
      </c>
    </row>
    <row r="37" spans="1:8" x14ac:dyDescent="0.25">
      <c r="A37" s="236" t="s">
        <v>354</v>
      </c>
      <c r="B37" s="49" t="s">
        <v>380</v>
      </c>
      <c r="C37" s="49" t="s">
        <v>131</v>
      </c>
      <c r="D37" s="59" t="s">
        <v>132</v>
      </c>
    </row>
    <row r="38" spans="1:8" x14ac:dyDescent="0.25">
      <c r="A38" s="236" t="s">
        <v>355</v>
      </c>
      <c r="B38" s="49" t="s">
        <v>346</v>
      </c>
      <c r="C38" s="49" t="s">
        <v>131</v>
      </c>
      <c r="D38" s="59" t="s">
        <v>132</v>
      </c>
    </row>
    <row r="39" spans="1:8" s="53" customFormat="1" ht="14.25" x14ac:dyDescent="0.25">
      <c r="A39" s="257" t="s">
        <v>356</v>
      </c>
      <c r="B39" s="258"/>
      <c r="C39" s="259"/>
      <c r="D39" s="259"/>
    </row>
    <row r="40" spans="1:8" s="53" customFormat="1" ht="14.25" x14ac:dyDescent="0.25">
      <c r="A40" s="236" t="s">
        <v>382</v>
      </c>
      <c r="B40" s="49" t="s">
        <v>357</v>
      </c>
      <c r="C40" s="49" t="s">
        <v>131</v>
      </c>
      <c r="D40" s="59" t="s">
        <v>132</v>
      </c>
    </row>
    <row r="41" spans="1:8" s="53" customFormat="1" ht="28.5" x14ac:dyDescent="0.25">
      <c r="A41" s="236" t="s">
        <v>383</v>
      </c>
      <c r="B41" s="49" t="s">
        <v>384</v>
      </c>
      <c r="C41" s="49" t="s">
        <v>131</v>
      </c>
      <c r="D41" s="59" t="s">
        <v>132</v>
      </c>
    </row>
    <row r="42" spans="1:8" s="53" customFormat="1" ht="14.25" x14ac:dyDescent="0.25">
      <c r="A42" s="257" t="s">
        <v>358</v>
      </c>
      <c r="B42" s="258"/>
      <c r="C42" s="259"/>
      <c r="D42" s="259"/>
    </row>
    <row r="43" spans="1:8" s="53" customFormat="1" ht="28.5" x14ac:dyDescent="0.25">
      <c r="A43" s="236" t="s">
        <v>359</v>
      </c>
      <c r="B43" s="49" t="s">
        <v>360</v>
      </c>
      <c r="C43" s="49" t="s">
        <v>131</v>
      </c>
      <c r="D43" s="59" t="s">
        <v>132</v>
      </c>
    </row>
    <row r="44" spans="1:8" s="53" customFormat="1" ht="14.25" x14ac:dyDescent="0.25">
      <c r="A44" s="236" t="s">
        <v>361</v>
      </c>
      <c r="B44" s="49" t="s">
        <v>362</v>
      </c>
      <c r="C44" s="49" t="s">
        <v>131</v>
      </c>
      <c r="D44" s="59" t="s">
        <v>132</v>
      </c>
    </row>
    <row r="45" spans="1:8" s="53" customFormat="1" ht="28.5" x14ac:dyDescent="0.25">
      <c r="A45" s="256" t="s">
        <v>363</v>
      </c>
      <c r="B45" s="51" t="s">
        <v>364</v>
      </c>
      <c r="C45" s="51" t="s">
        <v>131</v>
      </c>
      <c r="D45" s="243" t="s">
        <v>132</v>
      </c>
    </row>
    <row r="46" spans="1:8" s="53" customFormat="1" ht="14.25" x14ac:dyDescent="0.15">
      <c r="A46" s="29" t="s">
        <v>164</v>
      </c>
      <c r="B46" s="32"/>
    </row>
    <row r="47" spans="1:8" s="53" customFormat="1" ht="47.25" customHeight="1" x14ac:dyDescent="0.15">
      <c r="B47" s="186" t="s">
        <v>165</v>
      </c>
      <c r="C47" s="30"/>
      <c r="D47" s="30"/>
      <c r="E47" s="30"/>
      <c r="F47" s="30"/>
      <c r="G47" s="30"/>
      <c r="H47" s="30"/>
    </row>
    <row r="48" spans="1:8" s="53" customFormat="1" ht="14.25" x14ac:dyDescent="0.25">
      <c r="B48" s="32"/>
    </row>
  </sheetData>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 CVSSv3.0'!$Q$12:$Q$14</xm:f>
          </x14:formula1>
          <xm:sqref>C5:C9 C11:C16 C18:C21 C23:C26 C28:C30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65"/>
  <sheetViews>
    <sheetView topLeftCell="A13" zoomScaleNormal="100" workbookViewId="0">
      <selection activeCell="D17" sqref="D17"/>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7109375" style="26" customWidth="1"/>
    <col min="7" max="16384" width="9.140625" style="26"/>
  </cols>
  <sheetData>
    <row r="1" spans="1:6" s="53" customFormat="1" ht="14.25" x14ac:dyDescent="0.25">
      <c r="A1" s="31" t="s">
        <v>156</v>
      </c>
      <c r="E1" s="62"/>
    </row>
    <row r="2" spans="1:6" s="53" customFormat="1" ht="14.25" x14ac:dyDescent="0.25">
      <c r="E2" s="62"/>
    </row>
    <row r="3" spans="1:6" s="53" customFormat="1" ht="28.5" x14ac:dyDescent="0.25">
      <c r="A3" s="63" t="s">
        <v>21</v>
      </c>
      <c r="B3" s="63" t="s">
        <v>24</v>
      </c>
      <c r="C3" s="63" t="s">
        <v>22</v>
      </c>
      <c r="D3" s="63" t="s">
        <v>16</v>
      </c>
      <c r="E3" s="63" t="s">
        <v>172</v>
      </c>
      <c r="F3" s="64" t="s">
        <v>173</v>
      </c>
    </row>
    <row r="4" spans="1:6" s="72" customFormat="1" ht="114" x14ac:dyDescent="0.25">
      <c r="A4" s="65" t="s">
        <v>126</v>
      </c>
      <c r="B4" s="66" t="s">
        <v>351</v>
      </c>
      <c r="C4" s="67" t="s">
        <v>140</v>
      </c>
      <c r="D4" s="68" t="s">
        <v>157</v>
      </c>
      <c r="E4" s="69" t="s">
        <v>131</v>
      </c>
      <c r="F4" s="71" t="s">
        <v>132</v>
      </c>
    </row>
    <row r="5" spans="1:6" s="53" customFormat="1" ht="71.25" x14ac:dyDescent="0.25">
      <c r="A5" s="65" t="s">
        <v>127</v>
      </c>
      <c r="B5" s="66" t="s">
        <v>352</v>
      </c>
      <c r="C5" s="67" t="s">
        <v>141</v>
      </c>
      <c r="D5" s="68" t="s">
        <v>154</v>
      </c>
      <c r="E5" s="69" t="s">
        <v>131</v>
      </c>
      <c r="F5" s="71" t="s">
        <v>132</v>
      </c>
    </row>
    <row r="6" spans="1:6" s="53" customFormat="1" ht="71.25" x14ac:dyDescent="0.25">
      <c r="A6" s="65" t="s">
        <v>128</v>
      </c>
      <c r="B6" s="66" t="s">
        <v>365</v>
      </c>
      <c r="C6" s="66" t="s">
        <v>272</v>
      </c>
      <c r="D6" s="68" t="s">
        <v>154</v>
      </c>
      <c r="E6" s="69" t="s">
        <v>131</v>
      </c>
      <c r="F6" s="71" t="s">
        <v>132</v>
      </c>
    </row>
    <row r="7" spans="1:6" s="53" customFormat="1" ht="42.75" x14ac:dyDescent="0.25">
      <c r="A7" s="73" t="s">
        <v>129</v>
      </c>
      <c r="B7" s="74" t="s">
        <v>366</v>
      </c>
      <c r="C7" s="74" t="s">
        <v>273</v>
      </c>
      <c r="D7" s="68" t="s">
        <v>154</v>
      </c>
      <c r="E7" s="69" t="s">
        <v>131</v>
      </c>
      <c r="F7" s="71" t="s">
        <v>132</v>
      </c>
    </row>
    <row r="8" spans="1:6" s="53" customFormat="1" ht="57" x14ac:dyDescent="0.25">
      <c r="A8" s="65" t="s">
        <v>130</v>
      </c>
      <c r="B8" s="74" t="s">
        <v>367</v>
      </c>
      <c r="C8" s="74" t="s">
        <v>274</v>
      </c>
      <c r="D8" s="68" t="s">
        <v>154</v>
      </c>
      <c r="E8" s="69" t="s">
        <v>131</v>
      </c>
      <c r="F8" s="71" t="s">
        <v>132</v>
      </c>
    </row>
    <row r="9" spans="1:6" s="53" customFormat="1" ht="28.5" x14ac:dyDescent="0.25">
      <c r="A9" s="65" t="s">
        <v>265</v>
      </c>
      <c r="B9" s="74" t="s">
        <v>368</v>
      </c>
      <c r="C9" s="192" t="s">
        <v>275</v>
      </c>
      <c r="D9" s="193" t="s">
        <v>154</v>
      </c>
      <c r="E9" s="194" t="s">
        <v>131</v>
      </c>
      <c r="F9" s="71" t="s">
        <v>132</v>
      </c>
    </row>
    <row r="10" spans="1:6" s="53" customFormat="1" ht="28.5" x14ac:dyDescent="0.25">
      <c r="A10" s="65" t="s">
        <v>266</v>
      </c>
      <c r="B10" s="74" t="s">
        <v>369</v>
      </c>
      <c r="C10" s="192" t="s">
        <v>276</v>
      </c>
      <c r="D10" s="193" t="s">
        <v>157</v>
      </c>
      <c r="E10" s="194" t="s">
        <v>131</v>
      </c>
      <c r="F10" s="71" t="s">
        <v>132</v>
      </c>
    </row>
    <row r="11" spans="1:6" s="53" customFormat="1" ht="156.75" x14ac:dyDescent="0.25">
      <c r="A11" s="65" t="s">
        <v>267</v>
      </c>
      <c r="B11" s="74" t="s">
        <v>370</v>
      </c>
      <c r="C11" s="192" t="s">
        <v>277</v>
      </c>
      <c r="D11" s="193" t="s">
        <v>154</v>
      </c>
      <c r="E11" s="194" t="s">
        <v>131</v>
      </c>
      <c r="F11" s="71" t="s">
        <v>132</v>
      </c>
    </row>
    <row r="12" spans="1:6" s="53" customFormat="1" ht="28.5" x14ac:dyDescent="0.25">
      <c r="A12" s="65" t="s">
        <v>268</v>
      </c>
      <c r="B12" s="74" t="s">
        <v>371</v>
      </c>
      <c r="C12" s="192" t="s">
        <v>278</v>
      </c>
      <c r="D12" s="193" t="s">
        <v>157</v>
      </c>
      <c r="E12" s="194" t="s">
        <v>131</v>
      </c>
      <c r="F12" s="71" t="s">
        <v>132</v>
      </c>
    </row>
    <row r="13" spans="1:6" s="53" customFormat="1" ht="28.5" x14ac:dyDescent="0.25">
      <c r="A13" s="65" t="s">
        <v>269</v>
      </c>
      <c r="B13" s="74" t="s">
        <v>372</v>
      </c>
      <c r="C13" s="192" t="s">
        <v>279</v>
      </c>
      <c r="D13" s="193" t="s">
        <v>157</v>
      </c>
      <c r="E13" s="194" t="s">
        <v>131</v>
      </c>
      <c r="F13" s="71" t="s">
        <v>132</v>
      </c>
    </row>
    <row r="14" spans="1:6" s="53" customFormat="1" ht="42.75" x14ac:dyDescent="0.25">
      <c r="A14" s="65" t="s">
        <v>270</v>
      </c>
      <c r="B14" s="74" t="s">
        <v>373</v>
      </c>
      <c r="C14" s="192" t="s">
        <v>280</v>
      </c>
      <c r="D14" s="193" t="s">
        <v>154</v>
      </c>
      <c r="E14" s="194" t="s">
        <v>131</v>
      </c>
      <c r="F14" s="71" t="s">
        <v>132</v>
      </c>
    </row>
    <row r="15" spans="1:6" s="53" customFormat="1" ht="28.5" x14ac:dyDescent="0.25">
      <c r="A15" s="65" t="s">
        <v>271</v>
      </c>
      <c r="B15" s="49" t="s">
        <v>374</v>
      </c>
      <c r="C15" s="59" t="s">
        <v>281</v>
      </c>
      <c r="D15" s="69" t="s">
        <v>157</v>
      </c>
      <c r="E15" s="69" t="s">
        <v>131</v>
      </c>
      <c r="F15" s="71" t="s">
        <v>132</v>
      </c>
    </row>
    <row r="16" spans="1:6" s="53" customFormat="1" ht="42.75" x14ac:dyDescent="0.25">
      <c r="A16" s="239" t="s">
        <v>375</v>
      </c>
      <c r="B16" s="51" t="s">
        <v>385</v>
      </c>
      <c r="C16" s="32" t="s">
        <v>381</v>
      </c>
      <c r="D16" s="68" t="s">
        <v>154</v>
      </c>
      <c r="E16" s="237" t="s">
        <v>131</v>
      </c>
      <c r="F16" s="238" t="s">
        <v>132</v>
      </c>
    </row>
    <row r="17" spans="1:7" s="53" customFormat="1" ht="57" x14ac:dyDescent="0.25">
      <c r="A17" s="240" t="s">
        <v>376</v>
      </c>
      <c r="B17" s="49" t="s">
        <v>378</v>
      </c>
      <c r="C17" s="74" t="s">
        <v>377</v>
      </c>
      <c r="D17" s="68" t="s">
        <v>154</v>
      </c>
      <c r="E17" s="237" t="s">
        <v>131</v>
      </c>
      <c r="F17" s="238" t="s">
        <v>132</v>
      </c>
    </row>
    <row r="18" spans="1:7" s="53" customFormat="1" ht="14.25" x14ac:dyDescent="0.15">
      <c r="A18" s="29" t="s">
        <v>164</v>
      </c>
      <c r="E18" s="62"/>
    </row>
    <row r="19" spans="1:7" s="53" customFormat="1" ht="30" customHeight="1" x14ac:dyDescent="0.15">
      <c r="B19" s="275" t="s">
        <v>165</v>
      </c>
      <c r="C19" s="275"/>
      <c r="D19" s="275"/>
      <c r="E19" s="30"/>
      <c r="F19" s="30"/>
      <c r="G19" s="30"/>
    </row>
    <row r="20" spans="1:7" s="53" customFormat="1" ht="14.25" x14ac:dyDescent="0.25">
      <c r="E20" s="62"/>
    </row>
    <row r="21" spans="1:7" s="53" customFormat="1" ht="14.25" x14ac:dyDescent="0.25">
      <c r="E21" s="62"/>
    </row>
    <row r="22" spans="1:7" s="53" customFormat="1" ht="14.25" x14ac:dyDescent="0.25">
      <c r="E22" s="62"/>
    </row>
    <row r="23" spans="1:7" s="53" customFormat="1" ht="14.25" x14ac:dyDescent="0.25">
      <c r="E23" s="62"/>
    </row>
    <row r="24" spans="1:7" s="53" customFormat="1" ht="14.25" x14ac:dyDescent="0.25">
      <c r="E24" s="62"/>
    </row>
    <row r="25" spans="1:7" s="53" customFormat="1" ht="14.25" x14ac:dyDescent="0.25">
      <c r="E25" s="62"/>
    </row>
    <row r="26" spans="1:7" s="53" customFormat="1" ht="14.25" x14ac:dyDescent="0.25">
      <c r="E26" s="62"/>
    </row>
    <row r="27" spans="1:7" s="53" customFormat="1" ht="14.25" x14ac:dyDescent="0.25">
      <c r="E27" s="62"/>
    </row>
    <row r="28" spans="1:7" s="53" customFormat="1" ht="14.25" x14ac:dyDescent="0.25">
      <c r="E28" s="62"/>
    </row>
    <row r="29" spans="1:7" s="53" customFormat="1" ht="14.25" x14ac:dyDescent="0.25">
      <c r="E29" s="62"/>
    </row>
    <row r="30" spans="1:7" s="53" customFormat="1" ht="14.25" x14ac:dyDescent="0.25">
      <c r="E30" s="62"/>
    </row>
    <row r="31" spans="1:7" s="53" customFormat="1" ht="14.25" x14ac:dyDescent="0.25">
      <c r="E31" s="62"/>
    </row>
    <row r="32" spans="1:7" s="53" customFormat="1" ht="14.25" x14ac:dyDescent="0.25">
      <c r="E32" s="62"/>
    </row>
    <row r="33" spans="5:5" s="53" customFormat="1" ht="14.25" x14ac:dyDescent="0.25">
      <c r="E33" s="62"/>
    </row>
    <row r="34" spans="5:5" s="53" customFormat="1" ht="14.25" x14ac:dyDescent="0.25">
      <c r="E34" s="62"/>
    </row>
    <row r="35" spans="5:5" s="53" customFormat="1" ht="14.25" x14ac:dyDescent="0.25">
      <c r="E35" s="62"/>
    </row>
    <row r="36" spans="5:5" s="53" customFormat="1" ht="14.25" x14ac:dyDescent="0.25">
      <c r="E36" s="62"/>
    </row>
    <row r="37" spans="5:5" s="53" customFormat="1" ht="14.25" x14ac:dyDescent="0.25">
      <c r="E37" s="62"/>
    </row>
    <row r="38" spans="5:5" s="53" customFormat="1" ht="14.25" x14ac:dyDescent="0.25">
      <c r="E38" s="62"/>
    </row>
    <row r="39" spans="5:5" s="53" customFormat="1" ht="14.25" x14ac:dyDescent="0.25">
      <c r="E39" s="62"/>
    </row>
    <row r="40" spans="5:5" s="53" customFormat="1" ht="14.25" x14ac:dyDescent="0.25">
      <c r="E40" s="62"/>
    </row>
    <row r="41" spans="5:5" s="53" customFormat="1" ht="14.25" x14ac:dyDescent="0.25">
      <c r="E41" s="62"/>
    </row>
    <row r="42" spans="5:5" s="53" customFormat="1" ht="14.25" x14ac:dyDescent="0.25">
      <c r="E42" s="62"/>
    </row>
    <row r="43" spans="5:5" s="53" customFormat="1" ht="14.25" x14ac:dyDescent="0.25">
      <c r="E43" s="62"/>
    </row>
    <row r="44" spans="5:5" s="53" customFormat="1" ht="14.25" x14ac:dyDescent="0.25">
      <c r="E44" s="62"/>
    </row>
    <row r="45" spans="5:5" s="53" customFormat="1" ht="14.25" x14ac:dyDescent="0.25">
      <c r="E45" s="62"/>
    </row>
    <row r="46" spans="5:5" s="53" customFormat="1" ht="14.25" x14ac:dyDescent="0.25">
      <c r="E46" s="62"/>
    </row>
    <row r="47" spans="5:5" s="53" customFormat="1" ht="14.25" x14ac:dyDescent="0.25">
      <c r="E47" s="62"/>
    </row>
    <row r="48" spans="5:5" s="53" customFormat="1" ht="14.25" x14ac:dyDescent="0.25">
      <c r="E48" s="62"/>
    </row>
    <row r="49" spans="5:5" s="53" customFormat="1" ht="14.25" x14ac:dyDescent="0.25">
      <c r="E49" s="62"/>
    </row>
    <row r="50" spans="5:5" s="53" customFormat="1" ht="14.25" x14ac:dyDescent="0.25">
      <c r="E50" s="62"/>
    </row>
    <row r="51" spans="5:5" s="53" customFormat="1" ht="14.25" x14ac:dyDescent="0.25">
      <c r="E51" s="62"/>
    </row>
    <row r="52" spans="5:5" s="53" customFormat="1" ht="14.25" x14ac:dyDescent="0.25">
      <c r="E52" s="62"/>
    </row>
    <row r="53" spans="5:5" s="53" customFormat="1" ht="14.25" x14ac:dyDescent="0.25">
      <c r="E53" s="62"/>
    </row>
    <row r="54" spans="5:5" s="53" customFormat="1" ht="14.25" x14ac:dyDescent="0.25">
      <c r="E54" s="62"/>
    </row>
    <row r="55" spans="5:5" s="53" customFormat="1" ht="14.25" x14ac:dyDescent="0.25">
      <c r="E55" s="62"/>
    </row>
    <row r="56" spans="5:5" s="53" customFormat="1" ht="14.25" x14ac:dyDescent="0.25">
      <c r="E56" s="62"/>
    </row>
    <row r="57" spans="5:5" s="53" customFormat="1" ht="14.25" x14ac:dyDescent="0.25">
      <c r="E57" s="62"/>
    </row>
    <row r="58" spans="5:5" s="53" customFormat="1" ht="14.25" x14ac:dyDescent="0.25">
      <c r="E58" s="62"/>
    </row>
    <row r="59" spans="5:5" s="53" customFormat="1" ht="14.25" x14ac:dyDescent="0.25">
      <c r="E59" s="62"/>
    </row>
    <row r="60" spans="5:5" s="53" customFormat="1" ht="14.25" x14ac:dyDescent="0.25">
      <c r="E60" s="62"/>
    </row>
    <row r="61" spans="5:5" s="53" customFormat="1" ht="14.25" x14ac:dyDescent="0.25">
      <c r="E61" s="62"/>
    </row>
    <row r="62" spans="5:5" s="53" customFormat="1" ht="14.25" x14ac:dyDescent="0.25">
      <c r="E62" s="62"/>
    </row>
    <row r="63" spans="5:5" s="53" customFormat="1" ht="14.25" x14ac:dyDescent="0.25">
      <c r="E63" s="62"/>
    </row>
    <row r="64" spans="5:5" s="53" customFormat="1" ht="14.25" x14ac:dyDescent="0.25">
      <c r="E64" s="62"/>
    </row>
    <row r="65" spans="5:5" s="53" customFormat="1" ht="14.25" x14ac:dyDescent="0.25">
      <c r="E65" s="62"/>
    </row>
  </sheetData>
  <mergeCells count="1">
    <mergeCell ref="B19:D19"/>
  </mergeCells>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'Reference - CVSSv3.0'!$Q$12:$Q$14</xm:f>
          </x14:formula1>
          <xm:sqref>E4:E17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144"/>
  <sheetViews>
    <sheetView zoomScaleNormal="100" workbookViewId="0">
      <pane xSplit="4545"/>
      <selection activeCell="AA131" sqref="AA131"/>
      <selection pane="topRight" activeCell="H6" sqref="H6"/>
    </sheetView>
  </sheetViews>
  <sheetFormatPr defaultColWidth="9.140625" defaultRowHeight="15" x14ac:dyDescent="0.25"/>
  <cols>
    <col min="2" max="2" width="4.85546875" style="212" customWidth="1"/>
    <col min="3" max="3" width="25.5703125" customWidth="1"/>
    <col min="4" max="4" width="5" style="212" customWidth="1"/>
    <col min="5" max="5" width="29" style="207" customWidth="1"/>
    <col min="6" max="6" width="6.28515625" style="212" customWidth="1"/>
    <col min="7" max="7" width="28.7109375" style="207" customWidth="1"/>
    <col min="8" max="8" width="44.140625" customWidth="1"/>
    <col min="9" max="9" width="25.42578125" customWidth="1"/>
    <col min="10" max="12" width="9.140625" style="212" customWidth="1"/>
    <col min="13" max="17" width="15.85546875" customWidth="1"/>
    <col min="18" max="20" width="15.85546875" hidden="1" customWidth="1"/>
    <col min="21" max="21" width="15.85546875" customWidth="1"/>
    <col min="22" max="22" width="15.28515625" customWidth="1"/>
    <col min="23" max="23" width="17.42578125" hidden="1" customWidth="1"/>
    <col min="24" max="25" width="12.140625" customWidth="1"/>
    <col min="26" max="26" width="35.7109375" style="207" customWidth="1"/>
    <col min="27" max="27" width="32.7109375" customWidth="1"/>
    <col min="28" max="28" width="23.140625" customWidth="1"/>
    <col min="29" max="31" width="9.140625" customWidth="1"/>
    <col min="32" max="36" width="15.85546875" customWidth="1"/>
    <col min="37" max="39" width="15.85546875" hidden="1" customWidth="1"/>
    <col min="40" max="42" width="15.85546875" customWidth="1"/>
    <col min="43" max="43" width="40.7109375" style="2" customWidth="1"/>
    <col min="44" max="44" width="13.28515625" style="2" customWidth="1"/>
    <col min="45" max="45" width="24.85546875" customWidth="1"/>
  </cols>
  <sheetData>
    <row r="1" spans="1:45" s="75" customFormat="1" ht="14.25" x14ac:dyDescent="0.2">
      <c r="A1" s="31" t="s">
        <v>158</v>
      </c>
      <c r="B1" s="100"/>
      <c r="D1" s="100"/>
      <c r="E1" s="79"/>
      <c r="F1" s="100"/>
      <c r="G1" s="79"/>
      <c r="J1" s="100"/>
      <c r="K1" s="100"/>
      <c r="L1" s="100"/>
      <c r="Z1" s="79"/>
    </row>
    <row r="2" spans="1:45" s="75" customFormat="1" ht="14.25" x14ac:dyDescent="0.2">
      <c r="A2" s="75" t="s">
        <v>139</v>
      </c>
      <c r="B2" s="100"/>
      <c r="D2" s="100"/>
      <c r="E2" s="79"/>
      <c r="F2" s="100"/>
      <c r="G2" s="79"/>
      <c r="J2" s="100"/>
      <c r="K2" s="100"/>
      <c r="L2" s="100"/>
      <c r="Z2" s="79"/>
    </row>
    <row r="3" spans="1:45" s="75" customFormat="1" ht="23.25" customHeight="1" x14ac:dyDescent="0.2">
      <c r="A3" s="76"/>
      <c r="B3" s="219"/>
      <c r="C3" s="77"/>
      <c r="D3" s="217"/>
      <c r="E3" s="78"/>
      <c r="F3" s="282" t="s">
        <v>3</v>
      </c>
      <c r="G3" s="282"/>
      <c r="H3" s="282"/>
      <c r="I3" s="282"/>
      <c r="J3" s="283" t="s">
        <v>134</v>
      </c>
      <c r="K3" s="284"/>
      <c r="L3" s="284"/>
      <c r="M3" s="284"/>
      <c r="N3" s="284"/>
      <c r="O3" s="284"/>
      <c r="P3" s="284"/>
      <c r="Q3" s="284"/>
      <c r="R3" s="284"/>
      <c r="S3" s="284"/>
      <c r="T3" s="284"/>
      <c r="U3" s="284"/>
      <c r="V3" s="284"/>
      <c r="W3" s="284"/>
      <c r="X3" s="284"/>
      <c r="Y3" s="285"/>
      <c r="Z3" s="279" t="s">
        <v>5</v>
      </c>
      <c r="AA3" s="280"/>
      <c r="AB3" s="281"/>
      <c r="AC3" s="276" t="s">
        <v>135</v>
      </c>
      <c r="AD3" s="277"/>
      <c r="AE3" s="277"/>
      <c r="AF3" s="277"/>
      <c r="AG3" s="277"/>
      <c r="AH3" s="277"/>
      <c r="AI3" s="277"/>
      <c r="AJ3" s="277"/>
      <c r="AK3" s="277"/>
      <c r="AL3" s="277"/>
      <c r="AM3" s="277"/>
      <c r="AN3" s="277"/>
      <c r="AO3" s="277"/>
      <c r="AP3" s="277"/>
      <c r="AQ3" s="278"/>
      <c r="AR3" s="79"/>
      <c r="AS3" s="79"/>
    </row>
    <row r="4" spans="1:45" s="75" customFormat="1" ht="88.5" customHeight="1" x14ac:dyDescent="0.2">
      <c r="A4" s="80" t="s">
        <v>1</v>
      </c>
      <c r="B4" s="220" t="s">
        <v>124</v>
      </c>
      <c r="C4" s="81" t="s">
        <v>2</v>
      </c>
      <c r="D4" s="218" t="s">
        <v>123</v>
      </c>
      <c r="E4" s="82" t="s">
        <v>15</v>
      </c>
      <c r="F4" s="214" t="s">
        <v>125</v>
      </c>
      <c r="G4" s="83" t="s">
        <v>0</v>
      </c>
      <c r="H4" s="83" t="s">
        <v>6</v>
      </c>
      <c r="I4" s="84" t="s">
        <v>161</v>
      </c>
      <c r="J4" s="163" t="s">
        <v>71</v>
      </c>
      <c r="K4" s="163" t="s">
        <v>72</v>
      </c>
      <c r="L4" s="163" t="s">
        <v>73</v>
      </c>
      <c r="M4" s="159" t="s">
        <v>83</v>
      </c>
      <c r="N4" s="159" t="s">
        <v>84</v>
      </c>
      <c r="O4" s="159" t="s">
        <v>194</v>
      </c>
      <c r="P4" s="159" t="s">
        <v>86</v>
      </c>
      <c r="Q4" s="159" t="s">
        <v>70</v>
      </c>
      <c r="R4" s="159" t="s">
        <v>167</v>
      </c>
      <c r="S4" s="159" t="s">
        <v>168</v>
      </c>
      <c r="T4" s="159" t="s">
        <v>169</v>
      </c>
      <c r="U4" s="159" t="s">
        <v>192</v>
      </c>
      <c r="V4" s="164" t="s">
        <v>136</v>
      </c>
      <c r="W4" s="164" t="s">
        <v>137</v>
      </c>
      <c r="X4" s="165" t="s">
        <v>174</v>
      </c>
      <c r="Y4" s="166" t="s">
        <v>138</v>
      </c>
      <c r="Z4" s="158" t="s">
        <v>189</v>
      </c>
      <c r="AA4" s="158" t="s">
        <v>196</v>
      </c>
      <c r="AB4" s="158" t="s">
        <v>17</v>
      </c>
      <c r="AC4" s="167" t="s">
        <v>175</v>
      </c>
      <c r="AD4" s="167" t="s">
        <v>176</v>
      </c>
      <c r="AE4" s="167" t="s">
        <v>177</v>
      </c>
      <c r="AF4" s="168" t="s">
        <v>178</v>
      </c>
      <c r="AG4" s="168" t="s">
        <v>179</v>
      </c>
      <c r="AH4" s="168" t="s">
        <v>195</v>
      </c>
      <c r="AI4" s="168" t="s">
        <v>180</v>
      </c>
      <c r="AJ4" s="168" t="s">
        <v>181</v>
      </c>
      <c r="AK4" s="168" t="s">
        <v>182</v>
      </c>
      <c r="AL4" s="168" t="s">
        <v>183</v>
      </c>
      <c r="AM4" s="168" t="s">
        <v>184</v>
      </c>
      <c r="AN4" s="168" t="s">
        <v>193</v>
      </c>
      <c r="AO4" s="168" t="s">
        <v>185</v>
      </c>
      <c r="AP4" s="168" t="s">
        <v>186</v>
      </c>
      <c r="AQ4" s="181" t="s">
        <v>4</v>
      </c>
      <c r="AR4" s="79"/>
      <c r="AS4" s="79"/>
    </row>
    <row r="5" spans="1:45" s="53" customFormat="1" ht="71.25" x14ac:dyDescent="0.25">
      <c r="A5" s="70">
        <v>1</v>
      </c>
      <c r="B5" s="182" t="s">
        <v>126</v>
      </c>
      <c r="C5" s="85" t="str">
        <f>IF(VLOOKUP(Table4[[#This Row],[T ID]],Table5[#All],5,FALSE)="No","Not in scope",VLOOKUP(Table4[[#This Row],[T ID]],Table5[#All],2,FALSE))</f>
        <v>Deliver undirected malware
(CAPEC-185)</v>
      </c>
      <c r="D5" s="212" t="s">
        <v>248</v>
      </c>
      <c r="E5" s="85" t="str">
        <f>IF(VLOOKUP(Table4[[#This Row],[V ID]],Vulnerabilities[#All],3,FALSE)="No","Not in scope",VLOOKUP(Table4[[#This Row],[V ID]],Vulnerabilities[#All],2,FALSE))</f>
        <v>Unprotected external USB Port on the tablet/devices.</v>
      </c>
      <c r="F5" s="215" t="s">
        <v>112</v>
      </c>
      <c r="G5" s="86" t="str">
        <f>VLOOKUP(Table4[[#This Row],[A ID]],Assets[#All],3,FALSE)</f>
        <v>Tablet Resources - web cam, microphone, OTG devices, Removable USB, Tablet Application,</v>
      </c>
      <c r="H5" s="49" t="s">
        <v>282</v>
      </c>
      <c r="I5" s="49"/>
      <c r="J5" s="87" t="s">
        <v>57</v>
      </c>
      <c r="K5" s="87" t="s">
        <v>57</v>
      </c>
      <c r="L5" s="87" t="s">
        <v>57</v>
      </c>
      <c r="M5" s="157" t="s">
        <v>76</v>
      </c>
      <c r="N5" s="157" t="s">
        <v>57</v>
      </c>
      <c r="O5" s="157" t="s">
        <v>57</v>
      </c>
      <c r="P5" s="196" t="s">
        <v>77</v>
      </c>
      <c r="Q5" s="196" t="s">
        <v>75</v>
      </c>
      <c r="R5"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5" s="161">
        <f>(1 - ((1 - VLOOKUP(Table4[[#This Row],[Confidentiality]],'Reference - CVSSv3.0'!$B$15:$C$17,2,FALSE)) * (1 - VLOOKUP(Table4[[#This Row],[Integrity]],'Reference - CVSSv3.0'!$B$15:$C$17,2,FALSE)) *  (1 - VLOOKUP(Table4[[#This Row],[Availability]],'Reference - CVSSv3.0'!$B$15:$C$17,2,FALSE))))</f>
        <v>0.52544799999999992</v>
      </c>
      <c r="T5" s="161">
        <f>IF(Table4[[#This Row],[Scope]]="Unchanged",6.42*Table4[[#This Row],[ISC Base]],IF(Table4[[#This Row],[Scope]]="Changed",7.52*(Table4[[#This Row],[ISC Base]] - 0.029) - 3.25 * POWER(Table4[[#This Row],[ISC Base]] - 0.02,15),NA()))</f>
        <v>3.3733761599999994</v>
      </c>
      <c r="U5" s="16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182" t="s">
        <v>57</v>
      </c>
      <c r="W5" s="183">
        <f>VLOOKUP(Table4[[#This Row],[Threat Event Initiation]],NIST_Scale_LOAI[],2,FALSE)</f>
        <v>0.2</v>
      </c>
      <c r="X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49" t="s">
        <v>311</v>
      </c>
      <c r="AA5" s="49"/>
      <c r="AB5" s="88"/>
      <c r="AC5" s="87" t="s">
        <v>57</v>
      </c>
      <c r="AD5" s="87" t="s">
        <v>78</v>
      </c>
      <c r="AE5" s="87" t="s">
        <v>78</v>
      </c>
      <c r="AF5" s="157" t="s">
        <v>79</v>
      </c>
      <c r="AG5" s="157" t="s">
        <v>57</v>
      </c>
      <c r="AH5" s="157" t="s">
        <v>78</v>
      </c>
      <c r="AI5" s="157" t="s">
        <v>78</v>
      </c>
      <c r="AJ5" s="157" t="s">
        <v>100</v>
      </c>
      <c r="AK5" s="161">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3.8870427750000003</v>
      </c>
      <c r="AL5" s="161">
        <f>(1 - ((1 - VLOOKUP(Table4[[#This Row],[ConfidentialityP]],'Reference - CVSSv3.0'!$B$15:$C$17,2,FALSE)) * (1 - VLOOKUP(Table4[[#This Row],[IntegrityP]],'Reference - CVSSv3.0'!$B$15:$C$17,2,FALSE)) *  (1 - VLOOKUP(Table4[[#This Row],[AvailabilityP]],'Reference - CVSSv3.0'!$B$15:$C$17,2,FALSE))))</f>
        <v>0.21999999999999997</v>
      </c>
      <c r="AM5" s="161">
        <f>IF(Table4[[#This Row],[ScopeP]]="Unchanged",6.42*Table4[[#This Row],[ISC BaseP]],IF(Table4[[#This Row],[ScopeP]]="Changed",7.52*(Table4[[#This Row],[ISC BaseP]] - 0.029) - 3.25 * POWER(Table4[[#This Row],[ISC BaseP]] - 0.02,15),NA()))</f>
        <v>1.4363199998935039</v>
      </c>
      <c r="AN5" s="161">
        <f>IF(Table4[[#This Row],[Impact Sub ScoreP]]&lt;=0,0,IF(Table4[[#This Row],[ScopeP]]="Unchanged",ROUNDUP(MIN((Table4[[#This Row],[Impact Sub ScoreP]]+Table4[[#This Row],[Exploitability Sub ScoreP]]),10),1),IF(Table4[[#This Row],[ScopeP]]="Changed",ROUNDUP(MIN((1.08*(Table4[[#This Row],[Impact Sub ScoreP]]+Table4[[#This Row],[Exploitability Sub ScoreP]])),10),1),NA())))</f>
        <v>5.8</v>
      </c>
      <c r="AO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2.4</v>
      </c>
      <c r="AP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5" s="59" t="s">
        <v>139</v>
      </c>
    </row>
    <row r="6" spans="1:45" s="53" customFormat="1" ht="72.75" customHeight="1" x14ac:dyDescent="0.25">
      <c r="A6" s="70">
        <v>2</v>
      </c>
      <c r="B6" s="182" t="s">
        <v>126</v>
      </c>
      <c r="C6" s="195" t="str">
        <f>IF(VLOOKUP(Table4[[#This Row],[T ID]],Table5[#All],5,FALSE)="No","Not in scope",VLOOKUP(Table4[[#This Row],[T ID]],Table5[#All],2,FALSE))</f>
        <v>Deliver undirected malware
(CAPEC-185)</v>
      </c>
      <c r="D6" s="212" t="s">
        <v>248</v>
      </c>
      <c r="E6" s="195" t="str">
        <f>IF(VLOOKUP(Table4[[#This Row],[V ID]],Vulnerabilities[#All],3,FALSE)="No","Not in scope",VLOOKUP(Table4[[#This Row],[V ID]],Vulnerabilities[#All],2,FALSE))</f>
        <v>Unprotected external USB Port on the tablet/devices.</v>
      </c>
      <c r="F6" s="216" t="s">
        <v>114</v>
      </c>
      <c r="G6" s="195" t="str">
        <f>VLOOKUP(Table4[[#This Row],[A ID]],Assets[#All],3,FALSE)</f>
        <v>Smart medic (Stryker device) System Component</v>
      </c>
      <c r="H6" s="49" t="s">
        <v>282</v>
      </c>
      <c r="I6" s="49"/>
      <c r="J6" s="87" t="s">
        <v>57</v>
      </c>
      <c r="K6" s="87" t="s">
        <v>57</v>
      </c>
      <c r="L6" s="87" t="s">
        <v>57</v>
      </c>
      <c r="M6" s="157" t="s">
        <v>76</v>
      </c>
      <c r="N6" s="157" t="s">
        <v>57</v>
      </c>
      <c r="O6" s="157" t="s">
        <v>57</v>
      </c>
      <c r="P6" s="196" t="s">
        <v>77</v>
      </c>
      <c r="Q6" s="196" t="s">
        <v>75</v>
      </c>
      <c r="R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6" s="198">
        <f>(1 - ((1 - VLOOKUP(Table4[[#This Row],[Confidentiality]],'Reference - CVSSv3.0'!$B$15:$C$17,2,FALSE)) * (1 - VLOOKUP(Table4[[#This Row],[Integrity]],'Reference - CVSSv3.0'!$B$15:$C$17,2,FALSE)) *  (1 - VLOOKUP(Table4[[#This Row],[Availability]],'Reference - CVSSv3.0'!$B$15:$C$17,2,FALSE))))</f>
        <v>0.52544799999999992</v>
      </c>
      <c r="T6" s="198">
        <f>IF(Table4[[#This Row],[Scope]]="Unchanged",6.42*Table4[[#This Row],[ISC Base]],IF(Table4[[#This Row],[Scope]]="Changed",7.52*(Table4[[#This Row],[ISC Base]] - 0.029) - 3.25 * POWER(Table4[[#This Row],[ISC Base]] - 0.02,15),NA()))</f>
        <v>3.3733761599999994</v>
      </c>
      <c r="U6"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6" s="182" t="s">
        <v>57</v>
      </c>
      <c r="W6" s="198">
        <f>VLOOKUP(Table4[[#This Row],[Threat Event Initiation]],NIST_Scale_LOAI[],2,FALSE)</f>
        <v>0.2</v>
      </c>
      <c r="X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49" t="s">
        <v>311</v>
      </c>
      <c r="AA6" s="188"/>
      <c r="AB6" s="200"/>
      <c r="AC6" s="187"/>
      <c r="AD6" s="187"/>
      <c r="AE6" s="187"/>
      <c r="AF6" s="196"/>
      <c r="AG6" s="196"/>
      <c r="AH6" s="196"/>
      <c r="AI6" s="196"/>
      <c r="AJ6" s="201"/>
      <c r="AK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 s="198" t="e">
        <f>(1 - ((1 - VLOOKUP(Table4[[#This Row],[ConfidentialityP]],'Reference - CVSSv3.0'!$B$15:$C$17,2,FALSE)) * (1 - VLOOKUP(Table4[[#This Row],[IntegrityP]],'Reference - CVSSv3.0'!$B$15:$C$17,2,FALSE)) *  (1 - VLOOKUP(Table4[[#This Row],[AvailabilityP]],'Reference - CVSSv3.0'!$B$15:$C$17,2,FALSE))))</f>
        <v>#N/A</v>
      </c>
      <c r="AM6" s="198" t="e">
        <f>IF(Table4[[#This Row],[ScopeP]]="Unchanged",6.42*Table4[[#This Row],[ISC BaseP]],IF(Table4[[#This Row],[ScopeP]]="Changed",7.52*(Table4[[#This Row],[ISC BaseP]] - 0.029) - 3.25 * POWER(Table4[[#This Row],[ISC BaseP]] - 0.02,15),NA()))</f>
        <v>#N/A</v>
      </c>
      <c r="AN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187"/>
    </row>
    <row r="7" spans="1:45" s="53" customFormat="1" ht="81.75" customHeight="1" x14ac:dyDescent="0.25">
      <c r="A7" s="70">
        <v>3</v>
      </c>
      <c r="B7" s="182" t="s">
        <v>126</v>
      </c>
      <c r="C7" s="195" t="str">
        <f>IF(VLOOKUP(Table4[[#This Row],[T ID]],Table5[#All],5,FALSE)="No","Not in scope",VLOOKUP(Table4[[#This Row],[T ID]],Table5[#All],2,FALSE))</f>
        <v>Deliver undirected malware
(CAPEC-185)</v>
      </c>
      <c r="D7" s="212" t="s">
        <v>122</v>
      </c>
      <c r="E7" s="195" t="str">
        <f>IF(VLOOKUP(Table4[[#This Row],[V ID]],Vulnerabilities[#All],3,FALSE)="No","Not in scope",VLOOKUP(Table4[[#This Row],[V ID]],Vulnerabilities[#All],2,FALSE))</f>
        <v>External communications and exposure for communciation channels from and to application and devices like tablet and smartmedic device.</v>
      </c>
      <c r="F7" s="216" t="s">
        <v>114</v>
      </c>
      <c r="G7" s="195" t="str">
        <f>VLOOKUP(Table4[[#This Row],[A ID]],Assets[#All],3,FALSE)</f>
        <v>Smart medic (Stryker device) System Component</v>
      </c>
      <c r="H7" s="49" t="s">
        <v>282</v>
      </c>
      <c r="I7" s="49"/>
      <c r="J7" s="87" t="s">
        <v>57</v>
      </c>
      <c r="K7" s="87" t="s">
        <v>57</v>
      </c>
      <c r="L7" s="87" t="s">
        <v>57</v>
      </c>
      <c r="M7" s="196" t="s">
        <v>79</v>
      </c>
      <c r="N7" s="157" t="s">
        <v>57</v>
      </c>
      <c r="O7" s="157" t="s">
        <v>57</v>
      </c>
      <c r="P7" s="196" t="s">
        <v>77</v>
      </c>
      <c r="Q7" s="196" t="s">
        <v>75</v>
      </c>
      <c r="R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7" s="198">
        <f>(1 - ((1 - VLOOKUP(Table4[[#This Row],[Confidentiality]],'Reference - CVSSv3.0'!$B$15:$C$17,2,FALSE)) * (1 - VLOOKUP(Table4[[#This Row],[Integrity]],'Reference - CVSSv3.0'!$B$15:$C$17,2,FALSE)) *  (1 - VLOOKUP(Table4[[#This Row],[Availability]],'Reference - CVSSv3.0'!$B$15:$C$17,2,FALSE))))</f>
        <v>0.52544799999999992</v>
      </c>
      <c r="T7" s="198">
        <f>IF(Table4[[#This Row],[Scope]]="Unchanged",6.42*Table4[[#This Row],[ISC Base]],IF(Table4[[#This Row],[Scope]]="Changed",7.52*(Table4[[#This Row],[ISC Base]] - 0.029) - 3.25 * POWER(Table4[[#This Row],[ISC Base]] - 0.02,15),NA()))</f>
        <v>3.3733761599999994</v>
      </c>
      <c r="U7"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7" s="182" t="s">
        <v>57</v>
      </c>
      <c r="W7" s="198">
        <f>VLOOKUP(Table4[[#This Row],[Threat Event Initiation]],NIST_Scale_LOAI[],2,FALSE)</f>
        <v>0.2</v>
      </c>
      <c r="X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49" t="s">
        <v>311</v>
      </c>
      <c r="AA7" s="188"/>
      <c r="AB7" s="200"/>
      <c r="AC7" s="187"/>
      <c r="AD7" s="187"/>
      <c r="AE7" s="187"/>
      <c r="AF7" s="196"/>
      <c r="AG7" s="196"/>
      <c r="AH7" s="196"/>
      <c r="AI7" s="196"/>
      <c r="AJ7" s="201"/>
      <c r="AK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 s="198" t="e">
        <f>(1 - ((1 - VLOOKUP(Table4[[#This Row],[ConfidentialityP]],'Reference - CVSSv3.0'!$B$15:$C$17,2,FALSE)) * (1 - VLOOKUP(Table4[[#This Row],[IntegrityP]],'Reference - CVSSv3.0'!$B$15:$C$17,2,FALSE)) *  (1 - VLOOKUP(Table4[[#This Row],[AvailabilityP]],'Reference - CVSSv3.0'!$B$15:$C$17,2,FALSE))))</f>
        <v>#N/A</v>
      </c>
      <c r="AM7" s="198" t="e">
        <f>IF(Table4[[#This Row],[ScopeP]]="Unchanged",6.42*Table4[[#This Row],[ISC BaseP]],IF(Table4[[#This Row],[ScopeP]]="Changed",7.52*(Table4[[#This Row],[ISC BaseP]] - 0.029) - 3.25 * POWER(Table4[[#This Row],[ISC BaseP]] - 0.02,15),NA()))</f>
        <v>#N/A</v>
      </c>
      <c r="AN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187"/>
    </row>
    <row r="8" spans="1:45" s="53" customFormat="1" ht="71.25" x14ac:dyDescent="0.25">
      <c r="A8" s="70">
        <v>4</v>
      </c>
      <c r="B8" s="182" t="s">
        <v>126</v>
      </c>
      <c r="C8" s="195" t="str">
        <f>IF(VLOOKUP(Table4[[#This Row],[T ID]],Table5[#All],5,FALSE)="No","Not in scope",VLOOKUP(Table4[[#This Row],[T ID]],Table5[#All],2,FALSE))</f>
        <v>Deliver undirected malware
(CAPEC-185)</v>
      </c>
      <c r="D8" s="212" t="s">
        <v>122</v>
      </c>
      <c r="E8" s="195" t="str">
        <f>IF(VLOOKUP(Table4[[#This Row],[V ID]],Vulnerabilities[#All],3,FALSE)="No","Not in scope",VLOOKUP(Table4[[#This Row],[V ID]],Vulnerabilities[#All],2,FALSE))</f>
        <v>External communications and exposure for communciation channels from and to application and devices like tablet and smartmedic device.</v>
      </c>
      <c r="F8" s="215" t="s">
        <v>112</v>
      </c>
      <c r="G8" s="195" t="str">
        <f>VLOOKUP(Table4[[#This Row],[A ID]],Assets[#All],3,FALSE)</f>
        <v>Tablet Resources - web cam, microphone, OTG devices, Removable USB, Tablet Application,</v>
      </c>
      <c r="H8" s="49" t="s">
        <v>282</v>
      </c>
      <c r="I8" s="49"/>
      <c r="J8" s="87" t="s">
        <v>57</v>
      </c>
      <c r="K8" s="87" t="s">
        <v>57</v>
      </c>
      <c r="L8" s="87" t="s">
        <v>57</v>
      </c>
      <c r="M8" s="196" t="s">
        <v>79</v>
      </c>
      <c r="N8" s="157" t="s">
        <v>57</v>
      </c>
      <c r="O8" s="157" t="s">
        <v>57</v>
      </c>
      <c r="P8" s="196" t="s">
        <v>77</v>
      </c>
      <c r="Q8" s="196" t="s">
        <v>75</v>
      </c>
      <c r="R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8" s="198">
        <f>(1 - ((1 - VLOOKUP(Table4[[#This Row],[Confidentiality]],'Reference - CVSSv3.0'!$B$15:$C$17,2,FALSE)) * (1 - VLOOKUP(Table4[[#This Row],[Integrity]],'Reference - CVSSv3.0'!$B$15:$C$17,2,FALSE)) *  (1 - VLOOKUP(Table4[[#This Row],[Availability]],'Reference - CVSSv3.0'!$B$15:$C$17,2,FALSE))))</f>
        <v>0.52544799999999992</v>
      </c>
      <c r="T8" s="198">
        <f>IF(Table4[[#This Row],[Scope]]="Unchanged",6.42*Table4[[#This Row],[ISC Base]],IF(Table4[[#This Row],[Scope]]="Changed",7.52*(Table4[[#This Row],[ISC Base]] - 0.029) - 3.25 * POWER(Table4[[#This Row],[ISC Base]] - 0.02,15),NA()))</f>
        <v>3.3733761599999994</v>
      </c>
      <c r="U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8" s="182" t="s">
        <v>57</v>
      </c>
      <c r="W8" s="198">
        <f>VLOOKUP(Table4[[#This Row],[Threat Event Initiation]],NIST_Scale_LOAI[],2,FALSE)</f>
        <v>0.2</v>
      </c>
      <c r="X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49" t="s">
        <v>311</v>
      </c>
      <c r="AA8" s="188"/>
      <c r="AB8" s="200"/>
      <c r="AC8" s="187"/>
      <c r="AD8" s="187"/>
      <c r="AE8" s="187"/>
      <c r="AF8" s="196"/>
      <c r="AG8" s="196"/>
      <c r="AH8" s="196"/>
      <c r="AI8" s="196"/>
      <c r="AJ8" s="201"/>
      <c r="AK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 s="198" t="e">
        <f>(1 - ((1 - VLOOKUP(Table4[[#This Row],[ConfidentialityP]],'Reference - CVSSv3.0'!$B$15:$C$17,2,FALSE)) * (1 - VLOOKUP(Table4[[#This Row],[IntegrityP]],'Reference - CVSSv3.0'!$B$15:$C$17,2,FALSE)) *  (1 - VLOOKUP(Table4[[#This Row],[AvailabilityP]],'Reference - CVSSv3.0'!$B$15:$C$17,2,FALSE))))</f>
        <v>#N/A</v>
      </c>
      <c r="AM8" s="198" t="e">
        <f>IF(Table4[[#This Row],[ScopeP]]="Unchanged",6.42*Table4[[#This Row],[ISC BaseP]],IF(Table4[[#This Row],[ScopeP]]="Changed",7.52*(Table4[[#This Row],[ISC BaseP]] - 0.029) - 3.25 * POWER(Table4[[#This Row],[ISC BaseP]] - 0.02,15),NA()))</f>
        <v>#N/A</v>
      </c>
      <c r="AN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187"/>
    </row>
    <row r="9" spans="1:45" s="53" customFormat="1" ht="71.25" x14ac:dyDescent="0.25">
      <c r="A9" s="70">
        <v>5</v>
      </c>
      <c r="B9" s="182" t="s">
        <v>126</v>
      </c>
      <c r="C9" s="195" t="str">
        <f>IF(VLOOKUP(Table4[[#This Row],[T ID]],Table5[#All],5,FALSE)="No","Not in scope",VLOOKUP(Table4[[#This Row],[T ID]],Table5[#All],2,FALSE))</f>
        <v>Deliver undirected malware
(CAPEC-185)</v>
      </c>
      <c r="D9" s="212" t="s">
        <v>144</v>
      </c>
      <c r="E9" s="195" t="str">
        <f>IF(VLOOKUP(Table4[[#This Row],[V ID]],Vulnerabilities[#All],3,FALSE)="No","Not in scope",VLOOKUP(Table4[[#This Row],[V ID]],Vulnerabilities[#All],2,FALSE))</f>
        <v>Legacy system identification if any</v>
      </c>
      <c r="F9" s="216" t="s">
        <v>114</v>
      </c>
      <c r="G9" s="195" t="str">
        <f>VLOOKUP(Table4[[#This Row],[A ID]],Assets[#All],3,FALSE)</f>
        <v>Smart medic (Stryker device) System Component</v>
      </c>
      <c r="H9" s="49" t="s">
        <v>282</v>
      </c>
      <c r="I9" s="49"/>
      <c r="J9" s="87" t="s">
        <v>57</v>
      </c>
      <c r="K9" s="87" t="s">
        <v>57</v>
      </c>
      <c r="L9" s="87" t="s">
        <v>57</v>
      </c>
      <c r="M9" s="196" t="s">
        <v>76</v>
      </c>
      <c r="N9" s="157" t="s">
        <v>57</v>
      </c>
      <c r="O9" s="157" t="s">
        <v>57</v>
      </c>
      <c r="P9" s="196" t="s">
        <v>78</v>
      </c>
      <c r="Q9" s="196" t="s">
        <v>75</v>
      </c>
      <c r="R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9" s="198">
        <f>(1 - ((1 - VLOOKUP(Table4[[#This Row],[Confidentiality]],'Reference - CVSSv3.0'!$B$15:$C$17,2,FALSE)) * (1 - VLOOKUP(Table4[[#This Row],[Integrity]],'Reference - CVSSv3.0'!$B$15:$C$17,2,FALSE)) *  (1 - VLOOKUP(Table4[[#This Row],[Availability]],'Reference - CVSSv3.0'!$B$15:$C$17,2,FALSE))))</f>
        <v>0.52544799999999992</v>
      </c>
      <c r="T9" s="198">
        <f>IF(Table4[[#This Row],[Scope]]="Unchanged",6.42*Table4[[#This Row],[ISC Base]],IF(Table4[[#This Row],[Scope]]="Changed",7.52*(Table4[[#This Row],[ISC Base]] - 0.029) - 3.25 * POWER(Table4[[#This Row],[ISC Base]] - 0.02,15),NA()))</f>
        <v>3.3733761599999994</v>
      </c>
      <c r="U9"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182" t="s">
        <v>57</v>
      </c>
      <c r="W9" s="198">
        <f>VLOOKUP(Table4[[#This Row],[Threat Event Initiation]],NIST_Scale_LOAI[],2,FALSE)</f>
        <v>0.2</v>
      </c>
      <c r="X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49" t="s">
        <v>311</v>
      </c>
      <c r="AA9" s="188"/>
      <c r="AB9" s="200"/>
      <c r="AC9" s="187"/>
      <c r="AD9" s="187"/>
      <c r="AE9" s="187"/>
      <c r="AF9" s="196"/>
      <c r="AG9" s="196"/>
      <c r="AH9" s="196"/>
      <c r="AI9" s="196"/>
      <c r="AJ9" s="201"/>
      <c r="AK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 s="198" t="e">
        <f>(1 - ((1 - VLOOKUP(Table4[[#This Row],[ConfidentialityP]],'Reference - CVSSv3.0'!$B$15:$C$17,2,FALSE)) * (1 - VLOOKUP(Table4[[#This Row],[IntegrityP]],'Reference - CVSSv3.0'!$B$15:$C$17,2,FALSE)) *  (1 - VLOOKUP(Table4[[#This Row],[AvailabilityP]],'Reference - CVSSv3.0'!$B$15:$C$17,2,FALSE))))</f>
        <v>#N/A</v>
      </c>
      <c r="AM9" s="198" t="e">
        <f>IF(Table4[[#This Row],[ScopeP]]="Unchanged",6.42*Table4[[#This Row],[ISC BaseP]],IF(Table4[[#This Row],[ScopeP]]="Changed",7.52*(Table4[[#This Row],[ISC BaseP]] - 0.029) - 3.25 * POWER(Table4[[#This Row],[ISC BaseP]] - 0.02,15),NA()))</f>
        <v>#N/A</v>
      </c>
      <c r="AN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187"/>
    </row>
    <row r="10" spans="1:45" s="53" customFormat="1" ht="77.25" customHeight="1" x14ac:dyDescent="0.25">
      <c r="A10" s="70">
        <v>6</v>
      </c>
      <c r="B10" s="182" t="s">
        <v>126</v>
      </c>
      <c r="C10" s="195" t="str">
        <f>IF(VLOOKUP(Table4[[#This Row],[T ID]],Table5[#All],5,FALSE)="No","Not in scope",VLOOKUP(Table4[[#This Row],[T ID]],Table5[#All],2,FALSE))</f>
        <v>Deliver undirected malware
(CAPEC-185)</v>
      </c>
      <c r="D10" s="212" t="s">
        <v>144</v>
      </c>
      <c r="E10" s="195" t="str">
        <f>IF(VLOOKUP(Table4[[#This Row],[V ID]],Vulnerabilities[#All],3,FALSE)="No","Not in scope",VLOOKUP(Table4[[#This Row],[V ID]],Vulnerabilities[#All],2,FALSE))</f>
        <v>Legacy system identification if any</v>
      </c>
      <c r="F10" s="215" t="s">
        <v>112</v>
      </c>
      <c r="G10" s="195" t="str">
        <f>VLOOKUP(Table4[[#This Row],[A ID]],Assets[#All],3,FALSE)</f>
        <v>Tablet Resources - web cam, microphone, OTG devices, Removable USB, Tablet Application,</v>
      </c>
      <c r="H10" s="49" t="s">
        <v>282</v>
      </c>
      <c r="I10" s="49"/>
      <c r="J10" s="87" t="s">
        <v>57</v>
      </c>
      <c r="K10" s="87" t="s">
        <v>57</v>
      </c>
      <c r="L10" s="87" t="s">
        <v>57</v>
      </c>
      <c r="M10" s="196" t="s">
        <v>76</v>
      </c>
      <c r="N10" s="157" t="s">
        <v>57</v>
      </c>
      <c r="O10" s="157" t="s">
        <v>57</v>
      </c>
      <c r="P10" s="196" t="s">
        <v>78</v>
      </c>
      <c r="Q10" s="196" t="s">
        <v>75</v>
      </c>
      <c r="R1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10" s="198">
        <f>(1 - ((1 - VLOOKUP(Table4[[#This Row],[Confidentiality]],'Reference - CVSSv3.0'!$B$15:$C$17,2,FALSE)) * (1 - VLOOKUP(Table4[[#This Row],[Integrity]],'Reference - CVSSv3.0'!$B$15:$C$17,2,FALSE)) *  (1 - VLOOKUP(Table4[[#This Row],[Availability]],'Reference - CVSSv3.0'!$B$15:$C$17,2,FALSE))))</f>
        <v>0.52544799999999992</v>
      </c>
      <c r="T10" s="198">
        <f>IF(Table4[[#This Row],[Scope]]="Unchanged",6.42*Table4[[#This Row],[ISC Base]],IF(Table4[[#This Row],[Scope]]="Changed",7.52*(Table4[[#This Row],[ISC Base]] - 0.029) - 3.25 * POWER(Table4[[#This Row],[ISC Base]] - 0.02,15),NA()))</f>
        <v>3.3733761599999994</v>
      </c>
      <c r="U1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182" t="s">
        <v>57</v>
      </c>
      <c r="W10" s="198">
        <f>VLOOKUP(Table4[[#This Row],[Threat Event Initiation]],NIST_Scale_LOAI[],2,FALSE)</f>
        <v>0.2</v>
      </c>
      <c r="X1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49" t="s">
        <v>311</v>
      </c>
      <c r="AA10" s="188"/>
      <c r="AB10" s="200"/>
      <c r="AC10" s="187"/>
      <c r="AD10" s="187"/>
      <c r="AE10" s="187"/>
      <c r="AF10" s="196"/>
      <c r="AG10" s="196"/>
      <c r="AH10" s="196"/>
      <c r="AI10" s="196"/>
      <c r="AJ10" s="201"/>
      <c r="AK1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 s="198" t="e">
        <f>(1 - ((1 - VLOOKUP(Table4[[#This Row],[ConfidentialityP]],'Reference - CVSSv3.0'!$B$15:$C$17,2,FALSE)) * (1 - VLOOKUP(Table4[[#This Row],[IntegrityP]],'Reference - CVSSv3.0'!$B$15:$C$17,2,FALSE)) *  (1 - VLOOKUP(Table4[[#This Row],[AvailabilityP]],'Reference - CVSSv3.0'!$B$15:$C$17,2,FALSE))))</f>
        <v>#N/A</v>
      </c>
      <c r="AM10" s="198" t="e">
        <f>IF(Table4[[#This Row],[ScopeP]]="Unchanged",6.42*Table4[[#This Row],[ISC BaseP]],IF(Table4[[#This Row],[ScopeP]]="Changed",7.52*(Table4[[#This Row],[ISC BaseP]] - 0.029) - 3.25 * POWER(Table4[[#This Row],[ISC BaseP]] - 0.02,15),NA()))</f>
        <v>#N/A</v>
      </c>
      <c r="AN1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187"/>
    </row>
    <row r="11" spans="1:45" s="53" customFormat="1" ht="71.25" x14ac:dyDescent="0.25">
      <c r="A11" s="70">
        <v>7</v>
      </c>
      <c r="B11" s="182" t="s">
        <v>126</v>
      </c>
      <c r="C11" s="195" t="str">
        <f>IF(VLOOKUP(Table4[[#This Row],[T ID]],Table5[#All],5,FALSE)="No","Not in scope",VLOOKUP(Table4[[#This Row],[T ID]],Table5[#All],2,FALSE))</f>
        <v>Deliver undirected malware
(CAPEC-185)</v>
      </c>
      <c r="D11" s="212" t="s">
        <v>234</v>
      </c>
      <c r="E11" s="195" t="str">
        <f>IF(VLOOKUP(Table4[[#This Row],[V ID]],Vulnerabilities[#All],3,FALSE)="No","Not in scope",VLOOKUP(Table4[[#This Row],[V ID]],Vulnerabilities[#All],2,FALSE))</f>
        <v>Ineffective patch management of firware, OS and applications thoughout the information system plan</v>
      </c>
      <c r="F11" s="216" t="s">
        <v>116</v>
      </c>
      <c r="G11" s="195" t="str">
        <f>VLOOKUP(Table4[[#This Row],[A ID]],Assets[#All],3,FALSE)</f>
        <v>Device Maintainence tool (Hardware/Software)</v>
      </c>
      <c r="H11" s="49" t="s">
        <v>282</v>
      </c>
      <c r="I11" s="49"/>
      <c r="J11" s="87" t="s">
        <v>57</v>
      </c>
      <c r="K11" s="87" t="s">
        <v>57</v>
      </c>
      <c r="L11" s="87" t="s">
        <v>57</v>
      </c>
      <c r="M11" s="196" t="s">
        <v>80</v>
      </c>
      <c r="N11" s="157" t="s">
        <v>57</v>
      </c>
      <c r="O11" s="157" t="s">
        <v>57</v>
      </c>
      <c r="P11" s="196" t="s">
        <v>78</v>
      </c>
      <c r="Q11" s="196" t="s">
        <v>75</v>
      </c>
      <c r="R1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1" s="198">
        <f>(1 - ((1 - VLOOKUP(Table4[[#This Row],[Confidentiality]],'Reference - CVSSv3.0'!$B$15:$C$17,2,FALSE)) * (1 - VLOOKUP(Table4[[#This Row],[Integrity]],'Reference - CVSSv3.0'!$B$15:$C$17,2,FALSE)) *  (1 - VLOOKUP(Table4[[#This Row],[Availability]],'Reference - CVSSv3.0'!$B$15:$C$17,2,FALSE))))</f>
        <v>0.52544799999999992</v>
      </c>
      <c r="T11" s="198">
        <f>IF(Table4[[#This Row],[Scope]]="Unchanged",6.42*Table4[[#This Row],[ISC Base]],IF(Table4[[#This Row],[Scope]]="Changed",7.52*(Table4[[#This Row],[ISC Base]] - 0.029) - 3.25 * POWER(Table4[[#This Row],[ISC Base]] - 0.02,15),NA()))</f>
        <v>3.3733761599999994</v>
      </c>
      <c r="U11"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182" t="s">
        <v>57</v>
      </c>
      <c r="W11" s="198">
        <f>VLOOKUP(Table4[[#This Row],[Threat Event Initiation]],NIST_Scale_LOAI[],2,FALSE)</f>
        <v>0.2</v>
      </c>
      <c r="X1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49" t="s">
        <v>311</v>
      </c>
      <c r="AA11" s="188"/>
      <c r="AB11" s="200"/>
      <c r="AC11" s="187"/>
      <c r="AD11" s="187"/>
      <c r="AE11" s="187"/>
      <c r="AF11" s="196"/>
      <c r="AG11" s="196"/>
      <c r="AH11" s="196"/>
      <c r="AI11" s="196"/>
      <c r="AJ11" s="201"/>
      <c r="AK1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 s="198" t="e">
        <f>(1 - ((1 - VLOOKUP(Table4[[#This Row],[ConfidentialityP]],'Reference - CVSSv3.0'!$B$15:$C$17,2,FALSE)) * (1 - VLOOKUP(Table4[[#This Row],[IntegrityP]],'Reference - CVSSv3.0'!$B$15:$C$17,2,FALSE)) *  (1 - VLOOKUP(Table4[[#This Row],[AvailabilityP]],'Reference - CVSSv3.0'!$B$15:$C$17,2,FALSE))))</f>
        <v>#N/A</v>
      </c>
      <c r="AM11" s="198" t="e">
        <f>IF(Table4[[#This Row],[ScopeP]]="Unchanged",6.42*Table4[[#This Row],[ISC BaseP]],IF(Table4[[#This Row],[ScopeP]]="Changed",7.52*(Table4[[#This Row],[ISC BaseP]] - 0.029) - 3.25 * POWER(Table4[[#This Row],[ISC BaseP]] - 0.02,15),NA()))</f>
        <v>#N/A</v>
      </c>
      <c r="AN1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187"/>
    </row>
    <row r="12" spans="1:45" s="53" customFormat="1" ht="72.75" customHeight="1" x14ac:dyDescent="0.25">
      <c r="A12" s="70">
        <v>8</v>
      </c>
      <c r="B12" s="182" t="s">
        <v>126</v>
      </c>
      <c r="C12" s="195" t="str">
        <f>IF(VLOOKUP(Table4[[#This Row],[T ID]],Table5[#All],5,FALSE)="No","Not in scope",VLOOKUP(Table4[[#This Row],[T ID]],Table5[#All],2,FALSE))</f>
        <v>Deliver undirected malware
(CAPEC-185)</v>
      </c>
      <c r="D12" s="212" t="s">
        <v>234</v>
      </c>
      <c r="E12" s="195" t="str">
        <f>IF(VLOOKUP(Table4[[#This Row],[V ID]],Vulnerabilities[#All],3,FALSE)="No","Not in scope",VLOOKUP(Table4[[#This Row],[V ID]],Vulnerabilities[#All],2,FALSE))</f>
        <v>Ineffective patch management of firware, OS and applications thoughout the information system plan</v>
      </c>
      <c r="F12" s="215" t="s">
        <v>112</v>
      </c>
      <c r="G12" s="195" t="str">
        <f>VLOOKUP(Table4[[#This Row],[A ID]],Assets[#All],3,FALSE)</f>
        <v>Tablet Resources - web cam, microphone, OTG devices, Removable USB, Tablet Application,</v>
      </c>
      <c r="H12" s="49" t="s">
        <v>282</v>
      </c>
      <c r="I12" s="49"/>
      <c r="J12" s="87" t="s">
        <v>57</v>
      </c>
      <c r="K12" s="87" t="s">
        <v>57</v>
      </c>
      <c r="L12" s="87" t="s">
        <v>57</v>
      </c>
      <c r="M12" s="196" t="s">
        <v>80</v>
      </c>
      <c r="N12" s="157" t="s">
        <v>57</v>
      </c>
      <c r="O12" s="157" t="s">
        <v>57</v>
      </c>
      <c r="P12" s="196" t="s">
        <v>78</v>
      </c>
      <c r="Q12" s="196" t="s">
        <v>75</v>
      </c>
      <c r="R1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2" s="198">
        <f>(1 - ((1 - VLOOKUP(Table4[[#This Row],[Confidentiality]],'Reference - CVSSv3.0'!$B$15:$C$17,2,FALSE)) * (1 - VLOOKUP(Table4[[#This Row],[Integrity]],'Reference - CVSSv3.0'!$B$15:$C$17,2,FALSE)) *  (1 - VLOOKUP(Table4[[#This Row],[Availability]],'Reference - CVSSv3.0'!$B$15:$C$17,2,FALSE))))</f>
        <v>0.52544799999999992</v>
      </c>
      <c r="T12" s="198">
        <f>IF(Table4[[#This Row],[Scope]]="Unchanged",6.42*Table4[[#This Row],[ISC Base]],IF(Table4[[#This Row],[Scope]]="Changed",7.52*(Table4[[#This Row],[ISC Base]] - 0.029) - 3.25 * POWER(Table4[[#This Row],[ISC Base]] - 0.02,15),NA()))</f>
        <v>3.3733761599999994</v>
      </c>
      <c r="U1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182" t="s">
        <v>57</v>
      </c>
      <c r="W12" s="198">
        <f>VLOOKUP(Table4[[#This Row],[Threat Event Initiation]],NIST_Scale_LOAI[],2,FALSE)</f>
        <v>0.2</v>
      </c>
      <c r="X1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49" t="s">
        <v>311</v>
      </c>
      <c r="AA12" s="188"/>
      <c r="AB12" s="200"/>
      <c r="AC12" s="187"/>
      <c r="AD12" s="187"/>
      <c r="AE12" s="187"/>
      <c r="AF12" s="196"/>
      <c r="AG12" s="196"/>
      <c r="AH12" s="196"/>
      <c r="AI12" s="196"/>
      <c r="AJ12" s="201"/>
      <c r="AK1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 s="198" t="e">
        <f>(1 - ((1 - VLOOKUP(Table4[[#This Row],[ConfidentialityP]],'Reference - CVSSv3.0'!$B$15:$C$17,2,FALSE)) * (1 - VLOOKUP(Table4[[#This Row],[IntegrityP]],'Reference - CVSSv3.0'!$B$15:$C$17,2,FALSE)) *  (1 - VLOOKUP(Table4[[#This Row],[AvailabilityP]],'Reference - CVSSv3.0'!$B$15:$C$17,2,FALSE))))</f>
        <v>#N/A</v>
      </c>
      <c r="AM12" s="198" t="e">
        <f>IF(Table4[[#This Row],[ScopeP]]="Unchanged",6.42*Table4[[#This Row],[ISC BaseP]],IF(Table4[[#This Row],[ScopeP]]="Changed",7.52*(Table4[[#This Row],[ISC BaseP]] - 0.029) - 3.25 * POWER(Table4[[#This Row],[ISC BaseP]] - 0.02,15),NA()))</f>
        <v>#N/A</v>
      </c>
      <c r="AN1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187"/>
    </row>
    <row r="13" spans="1:45" s="53" customFormat="1" ht="76.5" customHeight="1" x14ac:dyDescent="0.25">
      <c r="A13" s="70">
        <v>9</v>
      </c>
      <c r="B13" s="182" t="s">
        <v>126</v>
      </c>
      <c r="C13" s="195" t="str">
        <f>IF(VLOOKUP(Table4[[#This Row],[T ID]],Table5[#All],5,FALSE)="No","Not in scope",VLOOKUP(Table4[[#This Row],[T ID]],Table5[#All],2,FALSE))</f>
        <v>Deliver undirected malware
(CAPEC-185)</v>
      </c>
      <c r="D13" s="212" t="s">
        <v>234</v>
      </c>
      <c r="E13" s="195" t="str">
        <f>IF(VLOOKUP(Table4[[#This Row],[V ID]],Vulnerabilities[#All],3,FALSE)="No","Not in scope",VLOOKUP(Table4[[#This Row],[V ID]],Vulnerabilities[#All],2,FALSE))</f>
        <v>Ineffective patch management of firware, OS and applications thoughout the information system plan</v>
      </c>
      <c r="F13" s="216" t="s">
        <v>114</v>
      </c>
      <c r="G13" s="195" t="str">
        <f>VLOOKUP(Table4[[#This Row],[A ID]],Assets[#All],3,FALSE)</f>
        <v>Smart medic (Stryker device) System Component</v>
      </c>
      <c r="H13" s="49" t="s">
        <v>282</v>
      </c>
      <c r="I13" s="49"/>
      <c r="J13" s="87" t="s">
        <v>57</v>
      </c>
      <c r="K13" s="87" t="s">
        <v>57</v>
      </c>
      <c r="L13" s="87" t="s">
        <v>57</v>
      </c>
      <c r="M13" s="196" t="s">
        <v>80</v>
      </c>
      <c r="N13" s="157" t="s">
        <v>57</v>
      </c>
      <c r="O13" s="157" t="s">
        <v>57</v>
      </c>
      <c r="P13" s="196" t="s">
        <v>78</v>
      </c>
      <c r="Q13" s="196" t="s">
        <v>75</v>
      </c>
      <c r="R1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3" s="198">
        <f>(1 - ((1 - VLOOKUP(Table4[[#This Row],[Confidentiality]],'Reference - CVSSv3.0'!$B$15:$C$17,2,FALSE)) * (1 - VLOOKUP(Table4[[#This Row],[Integrity]],'Reference - CVSSv3.0'!$B$15:$C$17,2,FALSE)) *  (1 - VLOOKUP(Table4[[#This Row],[Availability]],'Reference - CVSSv3.0'!$B$15:$C$17,2,FALSE))))</f>
        <v>0.52544799999999992</v>
      </c>
      <c r="T13" s="198">
        <f>IF(Table4[[#This Row],[Scope]]="Unchanged",6.42*Table4[[#This Row],[ISC Base]],IF(Table4[[#This Row],[Scope]]="Changed",7.52*(Table4[[#This Row],[ISC Base]] - 0.029) - 3.25 * POWER(Table4[[#This Row],[ISC Base]] - 0.02,15),NA()))</f>
        <v>3.3733761599999994</v>
      </c>
      <c r="U13"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182" t="s">
        <v>57</v>
      </c>
      <c r="W13" s="198">
        <f>VLOOKUP(Table4[[#This Row],[Threat Event Initiation]],NIST_Scale_LOAI[],2,FALSE)</f>
        <v>0.2</v>
      </c>
      <c r="X1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49" t="s">
        <v>311</v>
      </c>
      <c r="AA13" s="188"/>
      <c r="AB13" s="200"/>
      <c r="AC13" s="187"/>
      <c r="AD13" s="187"/>
      <c r="AE13" s="187"/>
      <c r="AF13" s="196"/>
      <c r="AG13" s="196"/>
      <c r="AH13" s="196"/>
      <c r="AI13" s="196"/>
      <c r="AJ13" s="201"/>
      <c r="AK1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 s="198" t="e">
        <f>(1 - ((1 - VLOOKUP(Table4[[#This Row],[ConfidentialityP]],'Reference - CVSSv3.0'!$B$15:$C$17,2,FALSE)) * (1 - VLOOKUP(Table4[[#This Row],[IntegrityP]],'Reference - CVSSv3.0'!$B$15:$C$17,2,FALSE)) *  (1 - VLOOKUP(Table4[[#This Row],[AvailabilityP]],'Reference - CVSSv3.0'!$B$15:$C$17,2,FALSE))))</f>
        <v>#N/A</v>
      </c>
      <c r="AM13" s="198" t="e">
        <f>IF(Table4[[#This Row],[ScopeP]]="Unchanged",6.42*Table4[[#This Row],[ISC BaseP]],IF(Table4[[#This Row],[ScopeP]]="Changed",7.52*(Table4[[#This Row],[ISC BaseP]] - 0.029) - 3.25 * POWER(Table4[[#This Row],[ISC BaseP]] - 0.02,15),NA()))</f>
        <v>#N/A</v>
      </c>
      <c r="AN1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187"/>
    </row>
    <row r="14" spans="1:45" s="53" customFormat="1" ht="71.25" x14ac:dyDescent="0.25">
      <c r="A14" s="70">
        <v>10</v>
      </c>
      <c r="B14" s="182" t="s">
        <v>126</v>
      </c>
      <c r="C14" s="195" t="str">
        <f>IF(VLOOKUP(Table4[[#This Row],[T ID]],Table5[#All],5,FALSE)="No","Not in scope",VLOOKUP(Table4[[#This Row],[T ID]],Table5[#All],2,FALSE))</f>
        <v>Deliver undirected malware
(CAPEC-185)</v>
      </c>
      <c r="D14" s="212" t="s">
        <v>235</v>
      </c>
      <c r="E14" s="195" t="str">
        <f>IF(VLOOKUP(Table4[[#This Row],[V ID]],Vulnerabilities[#All],3,FALSE)="No","Not in scope",VLOOKUP(Table4[[#This Row],[V ID]],Vulnerabilities[#All],2,FALSE))</f>
        <v xml:space="preserve">Lack of plan for periodic Software Vulnerability Management </v>
      </c>
      <c r="F14" s="216" t="s">
        <v>116</v>
      </c>
      <c r="G14" s="195" t="str">
        <f>VLOOKUP(Table4[[#This Row],[A ID]],Assets[#All],3,FALSE)</f>
        <v>Device Maintainence tool (Hardware/Software)</v>
      </c>
      <c r="H14" s="49" t="s">
        <v>282</v>
      </c>
      <c r="I14" s="49"/>
      <c r="J14" s="87" t="s">
        <v>57</v>
      </c>
      <c r="K14" s="87" t="s">
        <v>57</v>
      </c>
      <c r="L14" s="87" t="s">
        <v>57</v>
      </c>
      <c r="M14" s="196" t="s">
        <v>80</v>
      </c>
      <c r="N14" s="157" t="s">
        <v>57</v>
      </c>
      <c r="O14" s="157" t="s">
        <v>57</v>
      </c>
      <c r="P14" s="196" t="s">
        <v>78</v>
      </c>
      <c r="Q14" s="196" t="s">
        <v>75</v>
      </c>
      <c r="R1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4" s="198">
        <f>(1 - ((1 - VLOOKUP(Table4[[#This Row],[Confidentiality]],'Reference - CVSSv3.0'!$B$15:$C$17,2,FALSE)) * (1 - VLOOKUP(Table4[[#This Row],[Integrity]],'Reference - CVSSv3.0'!$B$15:$C$17,2,FALSE)) *  (1 - VLOOKUP(Table4[[#This Row],[Availability]],'Reference - CVSSv3.0'!$B$15:$C$17,2,FALSE))))</f>
        <v>0.52544799999999992</v>
      </c>
      <c r="T14" s="198">
        <f>IF(Table4[[#This Row],[Scope]]="Unchanged",6.42*Table4[[#This Row],[ISC Base]],IF(Table4[[#This Row],[Scope]]="Changed",7.52*(Table4[[#This Row],[ISC Base]] - 0.029) - 3.25 * POWER(Table4[[#This Row],[ISC Base]] - 0.02,15),NA()))</f>
        <v>3.3733761599999994</v>
      </c>
      <c r="U1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182" t="s">
        <v>57</v>
      </c>
      <c r="W14" s="198">
        <f>VLOOKUP(Table4[[#This Row],[Threat Event Initiation]],NIST_Scale_LOAI[],2,FALSE)</f>
        <v>0.2</v>
      </c>
      <c r="X1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49" t="s">
        <v>311</v>
      </c>
      <c r="AA14" s="188"/>
      <c r="AB14" s="200"/>
      <c r="AC14" s="187"/>
      <c r="AD14" s="187"/>
      <c r="AE14" s="187"/>
      <c r="AF14" s="196"/>
      <c r="AG14" s="196"/>
      <c r="AH14" s="196"/>
      <c r="AI14" s="196"/>
      <c r="AJ14" s="201"/>
      <c r="AK1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4" s="198" t="e">
        <f>(1 - ((1 - VLOOKUP(Table4[[#This Row],[ConfidentialityP]],'Reference - CVSSv3.0'!$B$15:$C$17,2,FALSE)) * (1 - VLOOKUP(Table4[[#This Row],[IntegrityP]],'Reference - CVSSv3.0'!$B$15:$C$17,2,FALSE)) *  (1 - VLOOKUP(Table4[[#This Row],[AvailabilityP]],'Reference - CVSSv3.0'!$B$15:$C$17,2,FALSE))))</f>
        <v>#N/A</v>
      </c>
      <c r="AM14" s="198" t="e">
        <f>IF(Table4[[#This Row],[ScopeP]]="Unchanged",6.42*Table4[[#This Row],[ISC BaseP]],IF(Table4[[#This Row],[ScopeP]]="Changed",7.52*(Table4[[#This Row],[ISC BaseP]] - 0.029) - 3.25 * POWER(Table4[[#This Row],[ISC BaseP]] - 0.02,15),NA()))</f>
        <v>#N/A</v>
      </c>
      <c r="AN1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187"/>
    </row>
    <row r="15" spans="1:45" s="53" customFormat="1" ht="71.25" x14ac:dyDescent="0.25">
      <c r="A15" s="70">
        <v>11</v>
      </c>
      <c r="B15" s="182" t="s">
        <v>126</v>
      </c>
      <c r="C15" s="195" t="str">
        <f>IF(VLOOKUP(Table4[[#This Row],[T ID]],Table5[#All],5,FALSE)="No","Not in scope",VLOOKUP(Table4[[#This Row],[T ID]],Table5[#All],2,FALSE))</f>
        <v>Deliver undirected malware
(CAPEC-185)</v>
      </c>
      <c r="D15" s="212" t="s">
        <v>235</v>
      </c>
      <c r="E15" s="195" t="str">
        <f>IF(VLOOKUP(Table4[[#This Row],[V ID]],Vulnerabilities[#All],3,FALSE)="No","Not in scope",VLOOKUP(Table4[[#This Row],[V ID]],Vulnerabilities[#All],2,FALSE))</f>
        <v xml:space="preserve">Lack of plan for periodic Software Vulnerability Management </v>
      </c>
      <c r="F15" s="215" t="s">
        <v>112</v>
      </c>
      <c r="G15" s="195" t="str">
        <f>VLOOKUP(Table4[[#This Row],[A ID]],Assets[#All],3,FALSE)</f>
        <v>Tablet Resources - web cam, microphone, OTG devices, Removable USB, Tablet Application,</v>
      </c>
      <c r="H15" s="49" t="s">
        <v>282</v>
      </c>
      <c r="I15" s="49"/>
      <c r="J15" s="87" t="s">
        <v>57</v>
      </c>
      <c r="K15" s="87" t="s">
        <v>57</v>
      </c>
      <c r="L15" s="87" t="s">
        <v>57</v>
      </c>
      <c r="M15" s="196" t="s">
        <v>80</v>
      </c>
      <c r="N15" s="157" t="s">
        <v>57</v>
      </c>
      <c r="O15" s="157" t="s">
        <v>57</v>
      </c>
      <c r="P15" s="196" t="s">
        <v>78</v>
      </c>
      <c r="Q15" s="196" t="s">
        <v>75</v>
      </c>
      <c r="R1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5" s="198">
        <f>(1 - ((1 - VLOOKUP(Table4[[#This Row],[Confidentiality]],'Reference - CVSSv3.0'!$B$15:$C$17,2,FALSE)) * (1 - VLOOKUP(Table4[[#This Row],[Integrity]],'Reference - CVSSv3.0'!$B$15:$C$17,2,FALSE)) *  (1 - VLOOKUP(Table4[[#This Row],[Availability]],'Reference - CVSSv3.0'!$B$15:$C$17,2,FALSE))))</f>
        <v>0.52544799999999992</v>
      </c>
      <c r="T15" s="198">
        <f>IF(Table4[[#This Row],[Scope]]="Unchanged",6.42*Table4[[#This Row],[ISC Base]],IF(Table4[[#This Row],[Scope]]="Changed",7.52*(Table4[[#This Row],[ISC Base]] - 0.029) - 3.25 * POWER(Table4[[#This Row],[ISC Base]] - 0.02,15),NA()))</f>
        <v>3.3733761599999994</v>
      </c>
      <c r="U15"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182" t="s">
        <v>57</v>
      </c>
      <c r="W15" s="198">
        <f>VLOOKUP(Table4[[#This Row],[Threat Event Initiation]],NIST_Scale_LOAI[],2,FALSE)</f>
        <v>0.2</v>
      </c>
      <c r="X1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49" t="s">
        <v>311</v>
      </c>
      <c r="AA15" s="188"/>
      <c r="AB15" s="200"/>
      <c r="AC15" s="187"/>
      <c r="AD15" s="187"/>
      <c r="AE15" s="187"/>
      <c r="AF15" s="196"/>
      <c r="AG15" s="196"/>
      <c r="AH15" s="196"/>
      <c r="AI15" s="196"/>
      <c r="AJ15" s="201"/>
      <c r="AK1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5" s="198" t="e">
        <f>(1 - ((1 - VLOOKUP(Table4[[#This Row],[ConfidentialityP]],'Reference - CVSSv3.0'!$B$15:$C$17,2,FALSE)) * (1 - VLOOKUP(Table4[[#This Row],[IntegrityP]],'Reference - CVSSv3.0'!$B$15:$C$17,2,FALSE)) *  (1 - VLOOKUP(Table4[[#This Row],[AvailabilityP]],'Reference - CVSSv3.0'!$B$15:$C$17,2,FALSE))))</f>
        <v>#N/A</v>
      </c>
      <c r="AM15" s="198" t="e">
        <f>IF(Table4[[#This Row],[ScopeP]]="Unchanged",6.42*Table4[[#This Row],[ISC BaseP]],IF(Table4[[#This Row],[ScopeP]]="Changed",7.52*(Table4[[#This Row],[ISC BaseP]] - 0.029) - 3.25 * POWER(Table4[[#This Row],[ISC BaseP]] - 0.02,15),NA()))</f>
        <v>#N/A</v>
      </c>
      <c r="AN1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187"/>
    </row>
    <row r="16" spans="1:45" s="53" customFormat="1" ht="71.25" x14ac:dyDescent="0.25">
      <c r="A16" s="70">
        <v>12</v>
      </c>
      <c r="B16" s="182" t="s">
        <v>126</v>
      </c>
      <c r="C16" s="195" t="str">
        <f>IF(VLOOKUP(Table4[[#This Row],[T ID]],Table5[#All],5,FALSE)="No","Not in scope",VLOOKUP(Table4[[#This Row],[T ID]],Table5[#All],2,FALSE))</f>
        <v>Deliver undirected malware
(CAPEC-185)</v>
      </c>
      <c r="D16" s="212" t="s">
        <v>235</v>
      </c>
      <c r="E16" s="195" t="str">
        <f>IF(VLOOKUP(Table4[[#This Row],[V ID]],Vulnerabilities[#All],3,FALSE)="No","Not in scope",VLOOKUP(Table4[[#This Row],[V ID]],Vulnerabilities[#All],2,FALSE))</f>
        <v xml:space="preserve">Lack of plan for periodic Software Vulnerability Management </v>
      </c>
      <c r="F16" s="216" t="s">
        <v>114</v>
      </c>
      <c r="G16" s="195" t="str">
        <f>VLOOKUP(Table4[[#This Row],[A ID]],Assets[#All],3,FALSE)</f>
        <v>Smart medic (Stryker device) System Component</v>
      </c>
      <c r="H16" s="49" t="s">
        <v>282</v>
      </c>
      <c r="I16" s="49"/>
      <c r="J16" s="87" t="s">
        <v>57</v>
      </c>
      <c r="K16" s="87" t="s">
        <v>57</v>
      </c>
      <c r="L16" s="87" t="s">
        <v>57</v>
      </c>
      <c r="M16" s="196" t="s">
        <v>80</v>
      </c>
      <c r="N16" s="157" t="s">
        <v>57</v>
      </c>
      <c r="O16" s="157" t="s">
        <v>57</v>
      </c>
      <c r="P16" s="196" t="s">
        <v>78</v>
      </c>
      <c r="Q16" s="196" t="s">
        <v>75</v>
      </c>
      <c r="R1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6" s="198">
        <f>(1 - ((1 - VLOOKUP(Table4[[#This Row],[Confidentiality]],'Reference - CVSSv3.0'!$B$15:$C$17,2,FALSE)) * (1 - VLOOKUP(Table4[[#This Row],[Integrity]],'Reference - CVSSv3.0'!$B$15:$C$17,2,FALSE)) *  (1 - VLOOKUP(Table4[[#This Row],[Availability]],'Reference - CVSSv3.0'!$B$15:$C$17,2,FALSE))))</f>
        <v>0.52544799999999992</v>
      </c>
      <c r="T16" s="198">
        <f>IF(Table4[[#This Row],[Scope]]="Unchanged",6.42*Table4[[#This Row],[ISC Base]],IF(Table4[[#This Row],[Scope]]="Changed",7.52*(Table4[[#This Row],[ISC Base]] - 0.029) - 3.25 * POWER(Table4[[#This Row],[ISC Base]] - 0.02,15),NA()))</f>
        <v>3.3733761599999994</v>
      </c>
      <c r="U16"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182" t="s">
        <v>57</v>
      </c>
      <c r="W16" s="198">
        <f>VLOOKUP(Table4[[#This Row],[Threat Event Initiation]],NIST_Scale_LOAI[],2,FALSE)</f>
        <v>0.2</v>
      </c>
      <c r="X1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49" t="s">
        <v>311</v>
      </c>
      <c r="AA16" s="188"/>
      <c r="AB16" s="200"/>
      <c r="AC16" s="187"/>
      <c r="AD16" s="187"/>
      <c r="AE16" s="187"/>
      <c r="AF16" s="196"/>
      <c r="AG16" s="196"/>
      <c r="AH16" s="196"/>
      <c r="AI16" s="196"/>
      <c r="AJ16" s="201"/>
      <c r="AK1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6" s="198" t="e">
        <f>(1 - ((1 - VLOOKUP(Table4[[#This Row],[ConfidentialityP]],'Reference - CVSSv3.0'!$B$15:$C$17,2,FALSE)) * (1 - VLOOKUP(Table4[[#This Row],[IntegrityP]],'Reference - CVSSv3.0'!$B$15:$C$17,2,FALSE)) *  (1 - VLOOKUP(Table4[[#This Row],[AvailabilityP]],'Reference - CVSSv3.0'!$B$15:$C$17,2,FALSE))))</f>
        <v>#N/A</v>
      </c>
      <c r="AM16" s="198" t="e">
        <f>IF(Table4[[#This Row],[ScopeP]]="Unchanged",6.42*Table4[[#This Row],[ISC BaseP]],IF(Table4[[#This Row],[ScopeP]]="Changed",7.52*(Table4[[#This Row],[ISC BaseP]] - 0.029) - 3.25 * POWER(Table4[[#This Row],[ISC BaseP]] - 0.02,15),NA()))</f>
        <v>#N/A</v>
      </c>
      <c r="AN1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187"/>
    </row>
    <row r="17" spans="1:43" s="53" customFormat="1" ht="71.25" x14ac:dyDescent="0.25">
      <c r="A17" s="70">
        <v>13</v>
      </c>
      <c r="B17" s="182" t="s">
        <v>126</v>
      </c>
      <c r="C17" s="195" t="str">
        <f>IF(VLOOKUP(Table4[[#This Row],[T ID]],Table5[#All],5,FALSE)="No","Not in scope",VLOOKUP(Table4[[#This Row],[T ID]],Table5[#All],2,FALSE))</f>
        <v>Deliver undirected malware
(CAPEC-185)</v>
      </c>
      <c r="D17" s="212" t="s">
        <v>247</v>
      </c>
      <c r="E17" s="195" t="str">
        <f>IF(VLOOKUP(Table4[[#This Row],[V ID]],Vulnerabilities[#All],3,FALSE)="No","Not in scope",VLOOKUP(Table4[[#This Row],[V ID]],Vulnerabilities[#All],2,FALSE))</f>
        <v>Unprotected network port(s) on network devices and connection points</v>
      </c>
      <c r="F17" s="216" t="s">
        <v>112</v>
      </c>
      <c r="G17" s="195" t="str">
        <f>VLOOKUP(Table4[[#This Row],[A ID]],Assets[#All],3,FALSE)</f>
        <v>Tablet Resources - web cam, microphone, OTG devices, Removable USB, Tablet Application,</v>
      </c>
      <c r="H17" s="49" t="s">
        <v>282</v>
      </c>
      <c r="I17" s="49"/>
      <c r="J17" s="87" t="s">
        <v>57</v>
      </c>
      <c r="K17" s="87" t="s">
        <v>66</v>
      </c>
      <c r="L17" s="87" t="s">
        <v>57</v>
      </c>
      <c r="M17" s="196" t="s">
        <v>79</v>
      </c>
      <c r="N17" s="157" t="s">
        <v>57</v>
      </c>
      <c r="O17" s="157" t="s">
        <v>57</v>
      </c>
      <c r="P17" s="196" t="s">
        <v>78</v>
      </c>
      <c r="Q17" s="196" t="s">
        <v>75</v>
      </c>
      <c r="R1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17" s="198">
        <f>(1 - ((1 - VLOOKUP(Table4[[#This Row],[Confidentiality]],'Reference - CVSSv3.0'!$B$15:$C$17,2,FALSE)) * (1 - VLOOKUP(Table4[[#This Row],[Integrity]],'Reference - CVSSv3.0'!$B$15:$C$17,2,FALSE)) *  (1 - VLOOKUP(Table4[[#This Row],[Availability]],'Reference - CVSSv3.0'!$B$15:$C$17,2,FALSE))))</f>
        <v>0.73230400000000007</v>
      </c>
      <c r="T17" s="198">
        <f>IF(Table4[[#This Row],[Scope]]="Unchanged",6.42*Table4[[#This Row],[ISC Base]],IF(Table4[[#This Row],[Scope]]="Changed",7.52*(Table4[[#This Row],[ISC Base]] - 0.029) - 3.25 * POWER(Table4[[#This Row],[ISC Base]] - 0.02,15),NA()))</f>
        <v>4.7013916800000004</v>
      </c>
      <c r="U17"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17" s="182" t="s">
        <v>57</v>
      </c>
      <c r="W17" s="198">
        <f>VLOOKUP(Table4[[#This Row],[Threat Event Initiation]],NIST_Scale_LOAI[],2,FALSE)</f>
        <v>0.2</v>
      </c>
      <c r="X1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49" t="s">
        <v>311</v>
      </c>
      <c r="AA17" s="188"/>
      <c r="AB17" s="200"/>
      <c r="AC17" s="187"/>
      <c r="AD17" s="187"/>
      <c r="AE17" s="187"/>
      <c r="AF17" s="196"/>
      <c r="AG17" s="196"/>
      <c r="AH17" s="196"/>
      <c r="AI17" s="196"/>
      <c r="AJ17" s="201"/>
      <c r="AK1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7" s="198" t="e">
        <f>(1 - ((1 - VLOOKUP(Table4[[#This Row],[ConfidentialityP]],'Reference - CVSSv3.0'!$B$15:$C$17,2,FALSE)) * (1 - VLOOKUP(Table4[[#This Row],[IntegrityP]],'Reference - CVSSv3.0'!$B$15:$C$17,2,FALSE)) *  (1 - VLOOKUP(Table4[[#This Row],[AvailabilityP]],'Reference - CVSSv3.0'!$B$15:$C$17,2,FALSE))))</f>
        <v>#N/A</v>
      </c>
      <c r="AM17" s="198" t="e">
        <f>IF(Table4[[#This Row],[ScopeP]]="Unchanged",6.42*Table4[[#This Row],[ISC BaseP]],IF(Table4[[#This Row],[ScopeP]]="Changed",7.52*(Table4[[#This Row],[ISC BaseP]] - 0.029) - 3.25 * POWER(Table4[[#This Row],[ISC BaseP]] - 0.02,15),NA()))</f>
        <v>#N/A</v>
      </c>
      <c r="AN1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187"/>
    </row>
    <row r="18" spans="1:43" s="53" customFormat="1" ht="71.25" x14ac:dyDescent="0.25">
      <c r="A18" s="70">
        <v>14</v>
      </c>
      <c r="B18" s="182" t="s">
        <v>126</v>
      </c>
      <c r="C18" s="195" t="str">
        <f>IF(VLOOKUP(Table4[[#This Row],[T ID]],Table5[#All],5,FALSE)="No","Not in scope",VLOOKUP(Table4[[#This Row],[T ID]],Table5[#All],2,FALSE))</f>
        <v>Deliver undirected malware
(CAPEC-185)</v>
      </c>
      <c r="D18" s="212" t="s">
        <v>247</v>
      </c>
      <c r="E18" s="195" t="str">
        <f>IF(VLOOKUP(Table4[[#This Row],[V ID]],Vulnerabilities[#All],3,FALSE)="No","Not in scope",VLOOKUP(Table4[[#This Row],[V ID]],Vulnerabilities[#All],2,FALSE))</f>
        <v>Unprotected network port(s) on network devices and connection points</v>
      </c>
      <c r="F18" s="216" t="s">
        <v>114</v>
      </c>
      <c r="G18" s="195" t="str">
        <f>VLOOKUP(Table4[[#This Row],[A ID]],Assets[#All],3,FALSE)</f>
        <v>Smart medic (Stryker device) System Component</v>
      </c>
      <c r="H18" s="49" t="s">
        <v>282</v>
      </c>
      <c r="I18" s="49"/>
      <c r="J18" s="87" t="s">
        <v>57</v>
      </c>
      <c r="K18" s="87" t="s">
        <v>57</v>
      </c>
      <c r="L18" s="87" t="s">
        <v>66</v>
      </c>
      <c r="M18" s="196" t="s">
        <v>79</v>
      </c>
      <c r="N18" s="157" t="s">
        <v>57</v>
      </c>
      <c r="O18" s="157" t="s">
        <v>57</v>
      </c>
      <c r="P18" s="196" t="s">
        <v>78</v>
      </c>
      <c r="Q18" s="196" t="s">
        <v>75</v>
      </c>
      <c r="R1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18" s="198">
        <f>(1 - ((1 - VLOOKUP(Table4[[#This Row],[Confidentiality]],'Reference - CVSSv3.0'!$B$15:$C$17,2,FALSE)) * (1 - VLOOKUP(Table4[[#This Row],[Integrity]],'Reference - CVSSv3.0'!$B$15:$C$17,2,FALSE)) *  (1 - VLOOKUP(Table4[[#This Row],[Availability]],'Reference - CVSSv3.0'!$B$15:$C$17,2,FALSE))))</f>
        <v>0.73230400000000007</v>
      </c>
      <c r="T18" s="198">
        <f>IF(Table4[[#This Row],[Scope]]="Unchanged",6.42*Table4[[#This Row],[ISC Base]],IF(Table4[[#This Row],[Scope]]="Changed",7.52*(Table4[[#This Row],[ISC Base]] - 0.029) - 3.25 * POWER(Table4[[#This Row],[ISC Base]] - 0.02,15),NA()))</f>
        <v>4.7013916800000004</v>
      </c>
      <c r="U18"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18" s="182" t="s">
        <v>57</v>
      </c>
      <c r="W18" s="198">
        <f>VLOOKUP(Table4[[#This Row],[Threat Event Initiation]],NIST_Scale_LOAI[],2,FALSE)</f>
        <v>0.2</v>
      </c>
      <c r="X1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49" t="s">
        <v>311</v>
      </c>
      <c r="AA18" s="188"/>
      <c r="AB18" s="200"/>
      <c r="AC18" s="187"/>
      <c r="AD18" s="187"/>
      <c r="AE18" s="187"/>
      <c r="AF18" s="196"/>
      <c r="AG18" s="196"/>
      <c r="AH18" s="196"/>
      <c r="AI18" s="196"/>
      <c r="AJ18" s="201"/>
      <c r="AK1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8" s="198" t="e">
        <f>(1 - ((1 - VLOOKUP(Table4[[#This Row],[ConfidentialityP]],'Reference - CVSSv3.0'!$B$15:$C$17,2,FALSE)) * (1 - VLOOKUP(Table4[[#This Row],[IntegrityP]],'Reference - CVSSv3.0'!$B$15:$C$17,2,FALSE)) *  (1 - VLOOKUP(Table4[[#This Row],[AvailabilityP]],'Reference - CVSSv3.0'!$B$15:$C$17,2,FALSE))))</f>
        <v>#N/A</v>
      </c>
      <c r="AM18" s="198" t="e">
        <f>IF(Table4[[#This Row],[ScopeP]]="Unchanged",6.42*Table4[[#This Row],[ISC BaseP]],IF(Table4[[#This Row],[ScopeP]]="Changed",7.52*(Table4[[#This Row],[ISC BaseP]] - 0.029) - 3.25 * POWER(Table4[[#This Row],[ISC BaseP]] - 0.02,15),NA()))</f>
        <v>#N/A</v>
      </c>
      <c r="AN1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187"/>
    </row>
    <row r="19" spans="1:43" s="53" customFormat="1" ht="71.25" x14ac:dyDescent="0.25">
      <c r="A19" s="70">
        <v>15</v>
      </c>
      <c r="B19" s="182" t="s">
        <v>126</v>
      </c>
      <c r="C19" s="195" t="str">
        <f>IF(VLOOKUP(Table4[[#This Row],[T ID]],Table5[#All],5,FALSE)="No","Not in scope",VLOOKUP(Table4[[#This Row],[T ID]],Table5[#All],2,FALSE))</f>
        <v>Deliver undirected malware
(CAPEC-185)</v>
      </c>
      <c r="D19" s="212" t="s">
        <v>251</v>
      </c>
      <c r="E19" s="195" t="str">
        <f>IF(VLOOKUP(Table4[[#This Row],[V ID]],Vulnerabilities[#All],3,FALSE)="No","Not in scope",VLOOKUP(Table4[[#This Row],[V ID]],Vulnerabilities[#All],2,FALSE))</f>
        <v>Unencrypted data at rest in all possible locations</v>
      </c>
      <c r="F19" s="216" t="s">
        <v>112</v>
      </c>
      <c r="G19" s="195" t="str">
        <f>VLOOKUP(Table4[[#This Row],[A ID]],Assets[#All],3,FALSE)</f>
        <v>Tablet Resources - web cam, microphone, OTG devices, Removable USB, Tablet Application,</v>
      </c>
      <c r="H19" s="49" t="s">
        <v>282</v>
      </c>
      <c r="I19" s="49"/>
      <c r="J19" s="87" t="s">
        <v>57</v>
      </c>
      <c r="K19" s="87" t="s">
        <v>57</v>
      </c>
      <c r="L19" s="87" t="s">
        <v>57</v>
      </c>
      <c r="M19" s="196" t="s">
        <v>80</v>
      </c>
      <c r="N19" s="157" t="s">
        <v>57</v>
      </c>
      <c r="O19" s="157" t="s">
        <v>57</v>
      </c>
      <c r="P19" s="196" t="s">
        <v>78</v>
      </c>
      <c r="Q19" s="196" t="s">
        <v>75</v>
      </c>
      <c r="R1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9" s="198">
        <f>(1 - ((1 - VLOOKUP(Table4[[#This Row],[Confidentiality]],'Reference - CVSSv3.0'!$B$15:$C$17,2,FALSE)) * (1 - VLOOKUP(Table4[[#This Row],[Integrity]],'Reference - CVSSv3.0'!$B$15:$C$17,2,FALSE)) *  (1 - VLOOKUP(Table4[[#This Row],[Availability]],'Reference - CVSSv3.0'!$B$15:$C$17,2,FALSE))))</f>
        <v>0.52544799999999992</v>
      </c>
      <c r="T19" s="198">
        <f>IF(Table4[[#This Row],[Scope]]="Unchanged",6.42*Table4[[#This Row],[ISC Base]],IF(Table4[[#This Row],[Scope]]="Changed",7.52*(Table4[[#This Row],[ISC Base]] - 0.029) - 3.25 * POWER(Table4[[#This Row],[ISC Base]] - 0.02,15),NA()))</f>
        <v>3.3733761599999994</v>
      </c>
      <c r="U19"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182" t="s">
        <v>57</v>
      </c>
      <c r="W19" s="198">
        <f>VLOOKUP(Table4[[#This Row],[Threat Event Initiation]],NIST_Scale_LOAI[],2,FALSE)</f>
        <v>0.2</v>
      </c>
      <c r="X1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49" t="s">
        <v>311</v>
      </c>
      <c r="AA19" s="188"/>
      <c r="AB19" s="200"/>
      <c r="AC19" s="187"/>
      <c r="AD19" s="187"/>
      <c r="AE19" s="187"/>
      <c r="AF19" s="196"/>
      <c r="AG19" s="196"/>
      <c r="AH19" s="196"/>
      <c r="AI19" s="196"/>
      <c r="AJ19" s="201"/>
      <c r="AK1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9" s="198" t="e">
        <f>(1 - ((1 - VLOOKUP(Table4[[#This Row],[ConfidentialityP]],'Reference - CVSSv3.0'!$B$15:$C$17,2,FALSE)) * (1 - VLOOKUP(Table4[[#This Row],[IntegrityP]],'Reference - CVSSv3.0'!$B$15:$C$17,2,FALSE)) *  (1 - VLOOKUP(Table4[[#This Row],[AvailabilityP]],'Reference - CVSSv3.0'!$B$15:$C$17,2,FALSE))))</f>
        <v>#N/A</v>
      </c>
      <c r="AM19" s="198" t="e">
        <f>IF(Table4[[#This Row],[ScopeP]]="Unchanged",6.42*Table4[[#This Row],[ISC BaseP]],IF(Table4[[#This Row],[ScopeP]]="Changed",7.52*(Table4[[#This Row],[ISC BaseP]] - 0.029) - 3.25 * POWER(Table4[[#This Row],[ISC BaseP]] - 0.02,15),NA()))</f>
        <v>#N/A</v>
      </c>
      <c r="AN1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187"/>
    </row>
    <row r="20" spans="1:43" s="53" customFormat="1" ht="71.25" x14ac:dyDescent="0.25">
      <c r="A20" s="70">
        <v>16</v>
      </c>
      <c r="B20" s="182" t="s">
        <v>126</v>
      </c>
      <c r="C20" s="195" t="str">
        <f>IF(VLOOKUP(Table4[[#This Row],[T ID]],Table5[#All],5,FALSE)="No","Not in scope",VLOOKUP(Table4[[#This Row],[T ID]],Table5[#All],2,FALSE))</f>
        <v>Deliver undirected malware
(CAPEC-185)</v>
      </c>
      <c r="D20" s="212" t="s">
        <v>257</v>
      </c>
      <c r="E20" s="195" t="str">
        <f>IF(VLOOKUP(Table4[[#This Row],[V ID]],Vulnerabilities[#All],3,FALSE)="No","Not in scope",VLOOKUP(Table4[[#This Row],[V ID]],Vulnerabilities[#All],2,FALSE))</f>
        <v>Unencrypted data in flight in all flowchannels</v>
      </c>
      <c r="F20" s="216" t="s">
        <v>114</v>
      </c>
      <c r="G20" s="195" t="str">
        <f>VLOOKUP(Table4[[#This Row],[A ID]],Assets[#All],3,FALSE)</f>
        <v>Smart medic (Stryker device) System Component</v>
      </c>
      <c r="H20" s="49" t="s">
        <v>282</v>
      </c>
      <c r="I20" s="49"/>
      <c r="J20" s="87" t="s">
        <v>66</v>
      </c>
      <c r="K20" s="87" t="s">
        <v>57</v>
      </c>
      <c r="L20" s="87" t="s">
        <v>57</v>
      </c>
      <c r="M20" s="196" t="s">
        <v>79</v>
      </c>
      <c r="N20" s="157" t="s">
        <v>57</v>
      </c>
      <c r="O20" s="157" t="s">
        <v>57</v>
      </c>
      <c r="P20" s="196" t="s">
        <v>78</v>
      </c>
      <c r="Q20" s="196" t="s">
        <v>75</v>
      </c>
      <c r="R2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20" s="198">
        <f>(1 - ((1 - VLOOKUP(Table4[[#This Row],[Confidentiality]],'Reference - CVSSv3.0'!$B$15:$C$17,2,FALSE)) * (1 - VLOOKUP(Table4[[#This Row],[Integrity]],'Reference - CVSSv3.0'!$B$15:$C$17,2,FALSE)) *  (1 - VLOOKUP(Table4[[#This Row],[Availability]],'Reference - CVSSv3.0'!$B$15:$C$17,2,FALSE))))</f>
        <v>0.73230400000000007</v>
      </c>
      <c r="T20" s="198">
        <f>IF(Table4[[#This Row],[Scope]]="Unchanged",6.42*Table4[[#This Row],[ISC Base]],IF(Table4[[#This Row],[Scope]]="Changed",7.52*(Table4[[#This Row],[ISC Base]] - 0.029) - 3.25 * POWER(Table4[[#This Row],[ISC Base]] - 0.02,15),NA()))</f>
        <v>4.7013916800000004</v>
      </c>
      <c r="U20"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20" s="182" t="s">
        <v>57</v>
      </c>
      <c r="W20" s="198">
        <f>VLOOKUP(Table4[[#This Row],[Threat Event Initiation]],NIST_Scale_LOAI[],2,FALSE)</f>
        <v>0.2</v>
      </c>
      <c r="X2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2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49" t="s">
        <v>311</v>
      </c>
      <c r="AA20" s="188"/>
      <c r="AB20" s="200"/>
      <c r="AC20" s="187"/>
      <c r="AD20" s="187"/>
      <c r="AE20" s="187"/>
      <c r="AF20" s="196"/>
      <c r="AG20" s="196"/>
      <c r="AH20" s="196"/>
      <c r="AI20" s="196"/>
      <c r="AJ20" s="201"/>
      <c r="AK2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0" s="198" t="e">
        <f>(1 - ((1 - VLOOKUP(Table4[[#This Row],[ConfidentialityP]],'Reference - CVSSv3.0'!$B$15:$C$17,2,FALSE)) * (1 - VLOOKUP(Table4[[#This Row],[IntegrityP]],'Reference - CVSSv3.0'!$B$15:$C$17,2,FALSE)) *  (1 - VLOOKUP(Table4[[#This Row],[AvailabilityP]],'Reference - CVSSv3.0'!$B$15:$C$17,2,FALSE))))</f>
        <v>#N/A</v>
      </c>
      <c r="AM20" s="198" t="e">
        <f>IF(Table4[[#This Row],[ScopeP]]="Unchanged",6.42*Table4[[#This Row],[ISC BaseP]],IF(Table4[[#This Row],[ScopeP]]="Changed",7.52*(Table4[[#This Row],[ISC BaseP]] - 0.029) - 3.25 * POWER(Table4[[#This Row],[ISC BaseP]] - 0.02,15),NA()))</f>
        <v>#N/A</v>
      </c>
      <c r="AN2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187"/>
    </row>
    <row r="21" spans="1:43" s="53" customFormat="1" ht="107.25" customHeight="1" x14ac:dyDescent="0.25">
      <c r="A21" s="70">
        <v>17</v>
      </c>
      <c r="B21" s="182" t="s">
        <v>126</v>
      </c>
      <c r="C21" s="195" t="str">
        <f>IF(VLOOKUP(Table4[[#This Row],[T ID]],Table5[#All],5,FALSE)="No","Not in scope",VLOOKUP(Table4[[#This Row],[T ID]],Table5[#All],2,FALSE))</f>
        <v>Deliver undirected malware
(CAPEC-185)</v>
      </c>
      <c r="D21" s="212" t="s">
        <v>257</v>
      </c>
      <c r="E21" s="195" t="str">
        <f>IF(VLOOKUP(Table4[[#This Row],[V ID]],Vulnerabilities[#All],3,FALSE)="No","Not in scope",VLOOKUP(Table4[[#This Row],[V ID]],Vulnerabilities[#All],2,FALSE))</f>
        <v>Unencrypted data in flight in all flowchannels</v>
      </c>
      <c r="F21" s="216" t="s">
        <v>112</v>
      </c>
      <c r="G21" s="195" t="str">
        <f>VLOOKUP(Table4[[#This Row],[A ID]],Assets[#All],3,FALSE)</f>
        <v>Tablet Resources - web cam, microphone, OTG devices, Removable USB, Tablet Application,</v>
      </c>
      <c r="H21" s="49" t="s">
        <v>282</v>
      </c>
      <c r="I21" s="49"/>
      <c r="J21" s="87" t="s">
        <v>66</v>
      </c>
      <c r="K21" s="87" t="s">
        <v>57</v>
      </c>
      <c r="L21" s="87" t="s">
        <v>57</v>
      </c>
      <c r="M21" s="196" t="s">
        <v>79</v>
      </c>
      <c r="N21" s="157" t="s">
        <v>57</v>
      </c>
      <c r="O21" s="157" t="s">
        <v>57</v>
      </c>
      <c r="P21" s="196" t="s">
        <v>78</v>
      </c>
      <c r="Q21" s="196" t="s">
        <v>75</v>
      </c>
      <c r="R2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21" s="198">
        <f>(1 - ((1 - VLOOKUP(Table4[[#This Row],[Confidentiality]],'Reference - CVSSv3.0'!$B$15:$C$17,2,FALSE)) * (1 - VLOOKUP(Table4[[#This Row],[Integrity]],'Reference - CVSSv3.0'!$B$15:$C$17,2,FALSE)) *  (1 - VLOOKUP(Table4[[#This Row],[Availability]],'Reference - CVSSv3.0'!$B$15:$C$17,2,FALSE))))</f>
        <v>0.73230400000000007</v>
      </c>
      <c r="T21" s="198">
        <f>IF(Table4[[#This Row],[Scope]]="Unchanged",6.42*Table4[[#This Row],[ISC Base]],IF(Table4[[#This Row],[Scope]]="Changed",7.52*(Table4[[#This Row],[ISC Base]] - 0.029) - 3.25 * POWER(Table4[[#This Row],[ISC Base]] - 0.02,15),NA()))</f>
        <v>4.7013916800000004</v>
      </c>
      <c r="U21"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21" s="182" t="s">
        <v>57</v>
      </c>
      <c r="W21" s="198">
        <f>VLOOKUP(Table4[[#This Row],[Threat Event Initiation]],NIST_Scale_LOAI[],2,FALSE)</f>
        <v>0.2</v>
      </c>
      <c r="X2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2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49" t="s">
        <v>311</v>
      </c>
      <c r="AA21" s="188"/>
      <c r="AB21" s="200"/>
      <c r="AC21" s="187"/>
      <c r="AD21" s="187"/>
      <c r="AE21" s="187"/>
      <c r="AF21" s="196"/>
      <c r="AG21" s="196"/>
      <c r="AH21" s="196"/>
      <c r="AI21" s="196"/>
      <c r="AJ21" s="201"/>
      <c r="AK2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1" s="198" t="e">
        <f>(1 - ((1 - VLOOKUP(Table4[[#This Row],[ConfidentialityP]],'Reference - CVSSv3.0'!$B$15:$C$17,2,FALSE)) * (1 - VLOOKUP(Table4[[#This Row],[IntegrityP]],'Reference - CVSSv3.0'!$B$15:$C$17,2,FALSE)) *  (1 - VLOOKUP(Table4[[#This Row],[AvailabilityP]],'Reference - CVSSv3.0'!$B$15:$C$17,2,FALSE))))</f>
        <v>#N/A</v>
      </c>
      <c r="AM21" s="198" t="e">
        <f>IF(Table4[[#This Row],[ScopeP]]="Unchanged",6.42*Table4[[#This Row],[ISC BaseP]],IF(Table4[[#This Row],[ScopeP]]="Changed",7.52*(Table4[[#This Row],[ISC BaseP]] - 0.029) - 3.25 * POWER(Table4[[#This Row],[ISC BaseP]] - 0.02,15),NA()))</f>
        <v>#N/A</v>
      </c>
      <c r="AN2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187"/>
    </row>
    <row r="22" spans="1:43" s="53" customFormat="1" ht="80.25" customHeight="1" x14ac:dyDescent="0.25">
      <c r="A22" s="70">
        <v>18</v>
      </c>
      <c r="B22" s="182" t="s">
        <v>126</v>
      </c>
      <c r="C22" s="195" t="str">
        <f>IF(VLOOKUP(Table4[[#This Row],[T ID]],Table5[#All],5,FALSE)="No","Not in scope",VLOOKUP(Table4[[#This Row],[T ID]],Table5[#All],2,FALSE))</f>
        <v>Deliver undirected malware
(CAPEC-185)</v>
      </c>
      <c r="D22" s="212" t="s">
        <v>145</v>
      </c>
      <c r="E22" s="195" t="str">
        <f>IF(VLOOKUP(Table4[[#This Row],[V ID]],Vulnerabilities[#All],3,FALSE)="No","Not in scope",VLOOKUP(Table4[[#This Row],[V ID]],Vulnerabilities[#All],2,FALSE))</f>
        <v>Outdated  - Software/Hardware</v>
      </c>
      <c r="F22" s="216" t="s">
        <v>116</v>
      </c>
      <c r="G22" s="195" t="str">
        <f>VLOOKUP(Table4[[#This Row],[A ID]],Assets[#All],3,FALSE)</f>
        <v>Device Maintainence tool (Hardware/Software)</v>
      </c>
      <c r="H22" s="49" t="s">
        <v>282</v>
      </c>
      <c r="I22" s="49"/>
      <c r="J22" s="87" t="s">
        <v>57</v>
      </c>
      <c r="K22" s="87" t="s">
        <v>57</v>
      </c>
      <c r="L22" s="87" t="s">
        <v>57</v>
      </c>
      <c r="M22" s="196" t="s">
        <v>76</v>
      </c>
      <c r="N22" s="157" t="s">
        <v>57</v>
      </c>
      <c r="O22" s="157" t="s">
        <v>57</v>
      </c>
      <c r="P22" s="196" t="s">
        <v>78</v>
      </c>
      <c r="Q22" s="196" t="s">
        <v>75</v>
      </c>
      <c r="R2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22" s="198">
        <f>(1 - ((1 - VLOOKUP(Table4[[#This Row],[Confidentiality]],'Reference - CVSSv3.0'!$B$15:$C$17,2,FALSE)) * (1 - VLOOKUP(Table4[[#This Row],[Integrity]],'Reference - CVSSv3.0'!$B$15:$C$17,2,FALSE)) *  (1 - VLOOKUP(Table4[[#This Row],[Availability]],'Reference - CVSSv3.0'!$B$15:$C$17,2,FALSE))))</f>
        <v>0.52544799999999992</v>
      </c>
      <c r="T22" s="198">
        <f>IF(Table4[[#This Row],[Scope]]="Unchanged",6.42*Table4[[#This Row],[ISC Base]],IF(Table4[[#This Row],[Scope]]="Changed",7.52*(Table4[[#This Row],[ISC Base]] - 0.029) - 3.25 * POWER(Table4[[#This Row],[ISC Base]] - 0.02,15),NA()))</f>
        <v>3.3733761599999994</v>
      </c>
      <c r="U22"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182" t="s">
        <v>56</v>
      </c>
      <c r="W22" s="198">
        <f>VLOOKUP(Table4[[#This Row],[Threat Event Initiation]],NIST_Scale_LOAI[],2,FALSE)</f>
        <v>0.5</v>
      </c>
      <c r="X2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49" t="s">
        <v>311</v>
      </c>
      <c r="AA22" s="188"/>
      <c r="AB22" s="200"/>
      <c r="AC22" s="187"/>
      <c r="AD22" s="187"/>
      <c r="AE22" s="187"/>
      <c r="AF22" s="196"/>
      <c r="AG22" s="196"/>
      <c r="AH22" s="196"/>
      <c r="AI22" s="196"/>
      <c r="AJ22" s="201"/>
      <c r="AK2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2" s="198" t="e">
        <f>(1 - ((1 - VLOOKUP(Table4[[#This Row],[ConfidentialityP]],'Reference - CVSSv3.0'!$B$15:$C$17,2,FALSE)) * (1 - VLOOKUP(Table4[[#This Row],[IntegrityP]],'Reference - CVSSv3.0'!$B$15:$C$17,2,FALSE)) *  (1 - VLOOKUP(Table4[[#This Row],[AvailabilityP]],'Reference - CVSSv3.0'!$B$15:$C$17,2,FALSE))))</f>
        <v>#N/A</v>
      </c>
      <c r="AM22" s="198" t="e">
        <f>IF(Table4[[#This Row],[ScopeP]]="Unchanged",6.42*Table4[[#This Row],[ISC BaseP]],IF(Table4[[#This Row],[ScopeP]]="Changed",7.52*(Table4[[#This Row],[ISC BaseP]] - 0.029) - 3.25 * POWER(Table4[[#This Row],[ISC BaseP]] - 0.02,15),NA()))</f>
        <v>#N/A</v>
      </c>
      <c r="AN2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187"/>
    </row>
    <row r="23" spans="1:43" s="53" customFormat="1" ht="76.5" customHeight="1" x14ac:dyDescent="0.25">
      <c r="A23" s="70">
        <v>19</v>
      </c>
      <c r="B23" s="182" t="s">
        <v>126</v>
      </c>
      <c r="C23" s="195" t="str">
        <f>IF(VLOOKUP(Table4[[#This Row],[T ID]],Table5[#All],5,FALSE)="No","Not in scope",VLOOKUP(Table4[[#This Row],[T ID]],Table5[#All],2,FALSE))</f>
        <v>Deliver undirected malware
(CAPEC-185)</v>
      </c>
      <c r="D23" s="212" t="s">
        <v>145</v>
      </c>
      <c r="E23" s="195" t="str">
        <f>IF(VLOOKUP(Table4[[#This Row],[V ID]],Vulnerabilities[#All],3,FALSE)="No","Not in scope",VLOOKUP(Table4[[#This Row],[V ID]],Vulnerabilities[#All],2,FALSE))</f>
        <v>Outdated  - Software/Hardware</v>
      </c>
      <c r="F23" s="216" t="s">
        <v>114</v>
      </c>
      <c r="G23" s="195" t="str">
        <f>VLOOKUP(Table4[[#This Row],[A ID]],Assets[#All],3,FALSE)</f>
        <v>Smart medic (Stryker device) System Component</v>
      </c>
      <c r="H23" s="49" t="s">
        <v>282</v>
      </c>
      <c r="I23" s="49"/>
      <c r="J23" s="87" t="s">
        <v>57</v>
      </c>
      <c r="K23" s="87" t="s">
        <v>57</v>
      </c>
      <c r="L23" s="87" t="s">
        <v>57</v>
      </c>
      <c r="M23" s="196" t="s">
        <v>76</v>
      </c>
      <c r="N23" s="157" t="s">
        <v>57</v>
      </c>
      <c r="O23" s="157" t="s">
        <v>57</v>
      </c>
      <c r="P23" s="196" t="s">
        <v>78</v>
      </c>
      <c r="Q23" s="196" t="s">
        <v>75</v>
      </c>
      <c r="R2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23" s="198">
        <f>(1 - ((1 - VLOOKUP(Table4[[#This Row],[Confidentiality]],'Reference - CVSSv3.0'!$B$15:$C$17,2,FALSE)) * (1 - VLOOKUP(Table4[[#This Row],[Integrity]],'Reference - CVSSv3.0'!$B$15:$C$17,2,FALSE)) *  (1 - VLOOKUP(Table4[[#This Row],[Availability]],'Reference - CVSSv3.0'!$B$15:$C$17,2,FALSE))))</f>
        <v>0.52544799999999992</v>
      </c>
      <c r="T23" s="198">
        <f>IF(Table4[[#This Row],[Scope]]="Unchanged",6.42*Table4[[#This Row],[ISC Base]],IF(Table4[[#This Row],[Scope]]="Changed",7.52*(Table4[[#This Row],[ISC Base]] - 0.029) - 3.25 * POWER(Table4[[#This Row],[ISC Base]] - 0.02,15),NA()))</f>
        <v>3.3733761599999994</v>
      </c>
      <c r="U23"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182" t="s">
        <v>56</v>
      </c>
      <c r="W23" s="198">
        <f>VLOOKUP(Table4[[#This Row],[Threat Event Initiation]],NIST_Scale_LOAI[],2,FALSE)</f>
        <v>0.5</v>
      </c>
      <c r="X2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49" t="s">
        <v>311</v>
      </c>
      <c r="AA23" s="188"/>
      <c r="AB23" s="200"/>
      <c r="AC23" s="187"/>
      <c r="AD23" s="187"/>
      <c r="AE23" s="187"/>
      <c r="AF23" s="196"/>
      <c r="AG23" s="196"/>
      <c r="AH23" s="196"/>
      <c r="AI23" s="196"/>
      <c r="AJ23" s="201"/>
      <c r="AK2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3" s="198" t="e">
        <f>(1 - ((1 - VLOOKUP(Table4[[#This Row],[ConfidentialityP]],'Reference - CVSSv3.0'!$B$15:$C$17,2,FALSE)) * (1 - VLOOKUP(Table4[[#This Row],[IntegrityP]],'Reference - CVSSv3.0'!$B$15:$C$17,2,FALSE)) *  (1 - VLOOKUP(Table4[[#This Row],[AvailabilityP]],'Reference - CVSSv3.0'!$B$15:$C$17,2,FALSE))))</f>
        <v>#N/A</v>
      </c>
      <c r="AM23" s="198" t="e">
        <f>IF(Table4[[#This Row],[ScopeP]]="Unchanged",6.42*Table4[[#This Row],[ISC BaseP]],IF(Table4[[#This Row],[ScopeP]]="Changed",7.52*(Table4[[#This Row],[ISC BaseP]] - 0.029) - 3.25 * POWER(Table4[[#This Row],[ISC BaseP]] - 0.02,15),NA()))</f>
        <v>#N/A</v>
      </c>
      <c r="AN2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187"/>
    </row>
    <row r="24" spans="1:43" s="53" customFormat="1" ht="80.25" customHeight="1" x14ac:dyDescent="0.25">
      <c r="A24" s="70">
        <v>20</v>
      </c>
      <c r="B24" s="182" t="s">
        <v>126</v>
      </c>
      <c r="C24" s="195" t="str">
        <f>IF(VLOOKUP(Table4[[#This Row],[T ID]],Table5[#All],5,FALSE)="No","Not in scope",VLOOKUP(Table4[[#This Row],[T ID]],Table5[#All],2,FALSE))</f>
        <v>Deliver undirected malware
(CAPEC-185)</v>
      </c>
      <c r="D24" s="212" t="s">
        <v>145</v>
      </c>
      <c r="E24" s="195" t="str">
        <f>IF(VLOOKUP(Table4[[#This Row],[V ID]],Vulnerabilities[#All],3,FALSE)="No","Not in scope",VLOOKUP(Table4[[#This Row],[V ID]],Vulnerabilities[#All],2,FALSE))</f>
        <v>Outdated  - Software/Hardware</v>
      </c>
      <c r="F24" s="216" t="s">
        <v>112</v>
      </c>
      <c r="G24" s="195" t="str">
        <f>VLOOKUP(Table4[[#This Row],[A ID]],Assets[#All],3,FALSE)</f>
        <v>Tablet Resources - web cam, microphone, OTG devices, Removable USB, Tablet Application,</v>
      </c>
      <c r="H24" s="49" t="s">
        <v>282</v>
      </c>
      <c r="I24" s="49"/>
      <c r="J24" s="87" t="s">
        <v>57</v>
      </c>
      <c r="K24" s="87" t="s">
        <v>57</v>
      </c>
      <c r="L24" s="87" t="s">
        <v>57</v>
      </c>
      <c r="M24" s="196" t="s">
        <v>76</v>
      </c>
      <c r="N24" s="157" t="s">
        <v>57</v>
      </c>
      <c r="O24" s="157" t="s">
        <v>57</v>
      </c>
      <c r="P24" s="196" t="s">
        <v>78</v>
      </c>
      <c r="Q24" s="196" t="s">
        <v>75</v>
      </c>
      <c r="R2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24" s="198">
        <f>(1 - ((1 - VLOOKUP(Table4[[#This Row],[Confidentiality]],'Reference - CVSSv3.0'!$B$15:$C$17,2,FALSE)) * (1 - VLOOKUP(Table4[[#This Row],[Integrity]],'Reference - CVSSv3.0'!$B$15:$C$17,2,FALSE)) *  (1 - VLOOKUP(Table4[[#This Row],[Availability]],'Reference - CVSSv3.0'!$B$15:$C$17,2,FALSE))))</f>
        <v>0.52544799999999992</v>
      </c>
      <c r="T24" s="198">
        <f>IF(Table4[[#This Row],[Scope]]="Unchanged",6.42*Table4[[#This Row],[ISC Base]],IF(Table4[[#This Row],[Scope]]="Changed",7.52*(Table4[[#This Row],[ISC Base]] - 0.029) - 3.25 * POWER(Table4[[#This Row],[ISC Base]] - 0.02,15),NA()))</f>
        <v>3.3733761599999994</v>
      </c>
      <c r="U2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182" t="s">
        <v>57</v>
      </c>
      <c r="W24" s="198">
        <f>VLOOKUP(Table4[[#This Row],[Threat Event Initiation]],NIST_Scale_LOAI[],2,FALSE)</f>
        <v>0.2</v>
      </c>
      <c r="X2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49" t="s">
        <v>311</v>
      </c>
      <c r="AA24" s="188"/>
      <c r="AB24" s="200"/>
      <c r="AC24" s="187"/>
      <c r="AD24" s="187"/>
      <c r="AE24" s="187"/>
      <c r="AF24" s="196"/>
      <c r="AG24" s="196"/>
      <c r="AH24" s="196"/>
      <c r="AI24" s="196"/>
      <c r="AJ24" s="201"/>
      <c r="AK2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4" s="198" t="e">
        <f>(1 - ((1 - VLOOKUP(Table4[[#This Row],[ConfidentialityP]],'Reference - CVSSv3.0'!$B$15:$C$17,2,FALSE)) * (1 - VLOOKUP(Table4[[#This Row],[IntegrityP]],'Reference - CVSSv3.0'!$B$15:$C$17,2,FALSE)) *  (1 - VLOOKUP(Table4[[#This Row],[AvailabilityP]],'Reference - CVSSv3.0'!$B$15:$C$17,2,FALSE))))</f>
        <v>#N/A</v>
      </c>
      <c r="AM24" s="198" t="e">
        <f>IF(Table4[[#This Row],[ScopeP]]="Unchanged",6.42*Table4[[#This Row],[ISC BaseP]],IF(Table4[[#This Row],[ScopeP]]="Changed",7.52*(Table4[[#This Row],[ISC BaseP]] - 0.029) - 3.25 * POWER(Table4[[#This Row],[ISC BaseP]] - 0.02,15),NA()))</f>
        <v>#N/A</v>
      </c>
      <c r="AN2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187"/>
    </row>
    <row r="25" spans="1:43" s="53" customFormat="1" ht="86.25" customHeight="1" x14ac:dyDescent="0.25">
      <c r="A25" s="70">
        <v>21</v>
      </c>
      <c r="B25" s="182" t="s">
        <v>127</v>
      </c>
      <c r="C25" s="85" t="str">
        <f>IF(VLOOKUP(Table4[[#This Row],[T ID]],Table5[#All],5,FALSE)="No","Not in scope",VLOOKUP(Table4[[#This Row],[T ID]],Table5[#All],2,FALSE))</f>
        <v>Deliver directed malware
(CAPEC-185)</v>
      </c>
      <c r="D25" s="212" t="s">
        <v>143</v>
      </c>
      <c r="E25" s="85" t="str">
        <f>IF(VLOOKUP(Table4[[#This Row],[V ID]],Vulnerabilities[#All],3,FALSE)="No","Not in scope",VLOOKUP(Table4[[#This Row],[V ID]],Vulnerabilities[#All],2,FALSE))</f>
        <v>InSecure Configuration for Software/OS on Mobile Devices, Laptops, Workstations, and Servers</v>
      </c>
      <c r="F25" s="216" t="s">
        <v>116</v>
      </c>
      <c r="G25" s="86" t="str">
        <f>VLOOKUP(Table4[[#This Row],[A ID]],Assets[#All],3,FALSE)</f>
        <v>Device Maintainence tool (Hardware/Software)</v>
      </c>
      <c r="H25" s="49" t="s">
        <v>282</v>
      </c>
      <c r="I25" s="49"/>
      <c r="J25" s="87" t="s">
        <v>57</v>
      </c>
      <c r="K25" s="87" t="s">
        <v>57</v>
      </c>
      <c r="L25" s="87" t="s">
        <v>57</v>
      </c>
      <c r="M25" s="196" t="s">
        <v>80</v>
      </c>
      <c r="N25" s="157" t="s">
        <v>57</v>
      </c>
      <c r="O25" s="157" t="s">
        <v>57</v>
      </c>
      <c r="P25" s="196" t="s">
        <v>77</v>
      </c>
      <c r="Q25" s="196" t="s">
        <v>75</v>
      </c>
      <c r="R25"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25" s="161">
        <f>(1 - ((1 - VLOOKUP(Table4[[#This Row],[Confidentiality]],'Reference - CVSSv3.0'!$B$15:$C$17,2,FALSE)) * (1 - VLOOKUP(Table4[[#This Row],[Integrity]],'Reference - CVSSv3.0'!$B$15:$C$17,2,FALSE)) *  (1 - VLOOKUP(Table4[[#This Row],[Availability]],'Reference - CVSSv3.0'!$B$15:$C$17,2,FALSE))))</f>
        <v>0.52544799999999992</v>
      </c>
      <c r="T25" s="161">
        <f>IF(Table4[[#This Row],[Scope]]="Unchanged",6.42*Table4[[#This Row],[ISC Base]],IF(Table4[[#This Row],[Scope]]="Changed",7.52*(Table4[[#This Row],[ISC Base]] - 0.029) - 3.25 * POWER(Table4[[#This Row],[ISC Base]] - 0.02,15),NA()))</f>
        <v>3.3733761599999994</v>
      </c>
      <c r="U25" s="161">
        <f>IF(Table4[[#This Row],[Impact Sub Score]]&lt;=0,0,IF(Table4[[#This Row],[Scope]]="Unchanged",ROUNDUP(MIN((Table4[[#This Row],[Impact Sub Score]]+Table4[[#This Row],[Exploitability Sub Score]]),10),1),IF(Table4[[#This Row],[Scope]]="Changed",ROUNDUP(MIN((1.08*(Table4[[#This Row],[Impact Sub Score]]+Table4[[#This Row],[Exploitability Sub Score]])),10),1),NA())))</f>
        <v>4.8</v>
      </c>
      <c r="V25" s="182" t="s">
        <v>66</v>
      </c>
      <c r="W25" s="183">
        <f>VLOOKUP(Table4[[#This Row],[Threat Event Initiation]],NIST_Scale_LOAI[],2,FALSE)</f>
        <v>0.8</v>
      </c>
      <c r="X2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2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49" t="s">
        <v>311</v>
      </c>
      <c r="AA25" s="49"/>
      <c r="AB25" s="88"/>
      <c r="AC25" s="87" t="s">
        <v>66</v>
      </c>
      <c r="AD25" s="87" t="s">
        <v>66</v>
      </c>
      <c r="AE25" s="87" t="s">
        <v>57</v>
      </c>
      <c r="AF25" s="157" t="s">
        <v>76</v>
      </c>
      <c r="AG25" s="157" t="s">
        <v>66</v>
      </c>
      <c r="AH25" s="157" t="s">
        <v>66</v>
      </c>
      <c r="AI25" s="157" t="s">
        <v>77</v>
      </c>
      <c r="AJ25" s="157" t="s">
        <v>75</v>
      </c>
      <c r="AK25" s="161">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0.12109046400000002</v>
      </c>
      <c r="AL25" s="161">
        <f>(1 - ((1 - VLOOKUP(Table4[[#This Row],[ConfidentialityP]],'Reference - CVSSv3.0'!$B$15:$C$17,2,FALSE)) * (1 - VLOOKUP(Table4[[#This Row],[IntegrityP]],'Reference - CVSSv3.0'!$B$15:$C$17,2,FALSE)) *  (1 - VLOOKUP(Table4[[#This Row],[AvailabilityP]],'Reference - CVSSv3.0'!$B$15:$C$17,2,FALSE))))</f>
        <v>0.84899199999999997</v>
      </c>
      <c r="AM25" s="161">
        <f>IF(Table4[[#This Row],[ScopeP]]="Unchanged",6.42*Table4[[#This Row],[ISC BaseP]],IF(Table4[[#This Row],[ScopeP]]="Changed",7.52*(Table4[[#This Row],[ISC BaseP]] - 0.029) - 3.25 * POWER(Table4[[#This Row],[ISC BaseP]] - 0.02,15),NA()))</f>
        <v>5.4505286399999999</v>
      </c>
      <c r="AN25" s="161">
        <f>IF(Table4[[#This Row],[Impact Sub ScoreP]]&lt;=0,0,IF(Table4[[#This Row],[ScopeP]]="Unchanged",ROUNDUP(MIN((Table4[[#This Row],[Impact Sub ScoreP]]+Table4[[#This Row],[Exploitability Sub ScoreP]]),10),1),IF(Table4[[#This Row],[ScopeP]]="Changed",ROUNDUP(MIN((1.08*(Table4[[#This Row],[Impact Sub ScoreP]]+Table4[[#This Row],[Exploitability Sub ScoreP]])),10),1),NA())))</f>
        <v>5.6</v>
      </c>
      <c r="AO2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5.6</v>
      </c>
      <c r="AP2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MEDIUM</v>
      </c>
      <c r="AQ25" s="59" t="s">
        <v>197</v>
      </c>
    </row>
    <row r="26" spans="1:43" s="53" customFormat="1" ht="71.25" x14ac:dyDescent="0.25">
      <c r="A26" s="70">
        <v>22</v>
      </c>
      <c r="B26" s="182" t="s">
        <v>127</v>
      </c>
      <c r="C26" s="195" t="str">
        <f>IF(VLOOKUP(Table4[[#This Row],[T ID]],Table5[#All],5,FALSE)="No","Not in scope",VLOOKUP(Table4[[#This Row],[T ID]],Table5[#All],2,FALSE))</f>
        <v>Deliver directed malware
(CAPEC-185)</v>
      </c>
      <c r="D26" s="212" t="s">
        <v>143</v>
      </c>
      <c r="E26" s="195" t="str">
        <f>IF(VLOOKUP(Table4[[#This Row],[V ID]],Vulnerabilities[#All],3,FALSE)="No","Not in scope",VLOOKUP(Table4[[#This Row],[V ID]],Vulnerabilities[#All],2,FALSE))</f>
        <v>InSecure Configuration for Software/OS on Mobile Devices, Laptops, Workstations, and Servers</v>
      </c>
      <c r="F26" s="216" t="s">
        <v>114</v>
      </c>
      <c r="G26" s="195" t="str">
        <f>VLOOKUP(Table4[[#This Row],[A ID]],Assets[#All],3,FALSE)</f>
        <v>Smart medic (Stryker device) System Component</v>
      </c>
      <c r="H26" s="49" t="s">
        <v>282</v>
      </c>
      <c r="I26" s="49"/>
      <c r="J26" s="87" t="s">
        <v>66</v>
      </c>
      <c r="K26" s="87" t="s">
        <v>66</v>
      </c>
      <c r="L26" s="87" t="s">
        <v>57</v>
      </c>
      <c r="M26" s="196" t="s">
        <v>80</v>
      </c>
      <c r="N26" s="157" t="s">
        <v>57</v>
      </c>
      <c r="O26" s="157" t="s">
        <v>57</v>
      </c>
      <c r="P26" s="196" t="s">
        <v>77</v>
      </c>
      <c r="Q26" s="196" t="s">
        <v>75</v>
      </c>
      <c r="R2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26" s="198">
        <f>(1 - ((1 - VLOOKUP(Table4[[#This Row],[Confidentiality]],'Reference - CVSSv3.0'!$B$15:$C$17,2,FALSE)) * (1 - VLOOKUP(Table4[[#This Row],[Integrity]],'Reference - CVSSv3.0'!$B$15:$C$17,2,FALSE)) *  (1 - VLOOKUP(Table4[[#This Row],[Availability]],'Reference - CVSSv3.0'!$B$15:$C$17,2,FALSE))))</f>
        <v>0.84899199999999997</v>
      </c>
      <c r="T26" s="198">
        <f>IF(Table4[[#This Row],[Scope]]="Unchanged",6.42*Table4[[#This Row],[ISC Base]],IF(Table4[[#This Row],[Scope]]="Changed",7.52*(Table4[[#This Row],[ISC Base]] - 0.029) - 3.25 * POWER(Table4[[#This Row],[ISC Base]] - 0.02,15),NA()))</f>
        <v>5.4505286399999999</v>
      </c>
      <c r="U26" s="198">
        <f>IF(Table4[[#This Row],[Impact Sub Score]]&lt;=0,0,IF(Table4[[#This Row],[Scope]]="Unchanged",ROUNDUP(MIN((Table4[[#This Row],[Impact Sub Score]]+Table4[[#This Row],[Exploitability Sub Score]]),10),1),IF(Table4[[#This Row],[Scope]]="Changed",ROUNDUP(MIN((1.08*(Table4[[#This Row],[Impact Sub Score]]+Table4[[#This Row],[Exploitability Sub Score]])),10),1),NA())))</f>
        <v>6.8</v>
      </c>
      <c r="V26" s="182" t="s">
        <v>66</v>
      </c>
      <c r="W26" s="198">
        <f>VLOOKUP(Table4[[#This Row],[Threat Event Initiation]],NIST_Scale_LOAI[],2,FALSE)</f>
        <v>0.8</v>
      </c>
      <c r="X2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6.6</v>
      </c>
      <c r="Y2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49" t="s">
        <v>311</v>
      </c>
      <c r="AA26" s="188"/>
      <c r="AB26" s="200"/>
      <c r="AC26" s="187"/>
      <c r="AD26" s="187"/>
      <c r="AE26" s="187"/>
      <c r="AF26" s="196"/>
      <c r="AG26" s="196"/>
      <c r="AH26" s="196"/>
      <c r="AI26" s="196"/>
      <c r="AJ26" s="201"/>
      <c r="AK2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6" s="198" t="e">
        <f>(1 - ((1 - VLOOKUP(Table4[[#This Row],[ConfidentialityP]],'Reference - CVSSv3.0'!$B$15:$C$17,2,FALSE)) * (1 - VLOOKUP(Table4[[#This Row],[IntegrityP]],'Reference - CVSSv3.0'!$B$15:$C$17,2,FALSE)) *  (1 - VLOOKUP(Table4[[#This Row],[AvailabilityP]],'Reference - CVSSv3.0'!$B$15:$C$17,2,FALSE))))</f>
        <v>#N/A</v>
      </c>
      <c r="AM26" s="198" t="e">
        <f>IF(Table4[[#This Row],[ScopeP]]="Unchanged",6.42*Table4[[#This Row],[ISC BaseP]],IF(Table4[[#This Row],[ScopeP]]="Changed",7.52*(Table4[[#This Row],[ISC BaseP]] - 0.029) - 3.25 * POWER(Table4[[#This Row],[ISC BaseP]] - 0.02,15),NA()))</f>
        <v>#N/A</v>
      </c>
      <c r="AN2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187"/>
    </row>
    <row r="27" spans="1:43" s="53" customFormat="1" ht="71.25" x14ac:dyDescent="0.25">
      <c r="A27" s="70">
        <v>23</v>
      </c>
      <c r="B27" s="182" t="s">
        <v>127</v>
      </c>
      <c r="C27" s="195" t="str">
        <f>IF(VLOOKUP(Table4[[#This Row],[T ID]],Table5[#All],5,FALSE)="No","Not in scope",VLOOKUP(Table4[[#This Row],[T ID]],Table5[#All],2,FALSE))</f>
        <v>Deliver directed malware
(CAPEC-185)</v>
      </c>
      <c r="D27" s="212" t="s">
        <v>143</v>
      </c>
      <c r="E27" s="195" t="str">
        <f>IF(VLOOKUP(Table4[[#This Row],[V ID]],Vulnerabilities[#All],3,FALSE)="No","Not in scope",VLOOKUP(Table4[[#This Row],[V ID]],Vulnerabilities[#All],2,FALSE))</f>
        <v>InSecure Configuration for Software/OS on Mobile Devices, Laptops, Workstations, and Servers</v>
      </c>
      <c r="F27" s="216" t="s">
        <v>112</v>
      </c>
      <c r="G27" s="195" t="str">
        <f>VLOOKUP(Table4[[#This Row],[A ID]],Assets[#All],3,FALSE)</f>
        <v>Tablet Resources - web cam, microphone, OTG devices, Removable USB, Tablet Application,</v>
      </c>
      <c r="H27" s="49" t="s">
        <v>282</v>
      </c>
      <c r="I27" s="49"/>
      <c r="J27" s="87" t="s">
        <v>57</v>
      </c>
      <c r="K27" s="87" t="s">
        <v>57</v>
      </c>
      <c r="L27" s="87" t="s">
        <v>57</v>
      </c>
      <c r="M27" s="196" t="s">
        <v>80</v>
      </c>
      <c r="N27" s="157" t="s">
        <v>57</v>
      </c>
      <c r="O27" s="157" t="s">
        <v>57</v>
      </c>
      <c r="P27" s="196" t="s">
        <v>77</v>
      </c>
      <c r="Q27" s="196" t="s">
        <v>75</v>
      </c>
      <c r="R2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27" s="198">
        <f>(1 - ((1 - VLOOKUP(Table4[[#This Row],[Confidentiality]],'Reference - CVSSv3.0'!$B$15:$C$17,2,FALSE)) * (1 - VLOOKUP(Table4[[#This Row],[Integrity]],'Reference - CVSSv3.0'!$B$15:$C$17,2,FALSE)) *  (1 - VLOOKUP(Table4[[#This Row],[Availability]],'Reference - CVSSv3.0'!$B$15:$C$17,2,FALSE))))</f>
        <v>0.52544799999999992</v>
      </c>
      <c r="T27" s="198">
        <f>IF(Table4[[#This Row],[Scope]]="Unchanged",6.42*Table4[[#This Row],[ISC Base]],IF(Table4[[#This Row],[Scope]]="Changed",7.52*(Table4[[#This Row],[ISC Base]] - 0.029) - 3.25 * POWER(Table4[[#This Row],[ISC Base]] - 0.02,15),NA()))</f>
        <v>3.3733761599999994</v>
      </c>
      <c r="U27"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182" t="s">
        <v>57</v>
      </c>
      <c r="W27" s="198">
        <f>VLOOKUP(Table4[[#This Row],[Threat Event Initiation]],NIST_Scale_LOAI[],2,FALSE)</f>
        <v>0.2</v>
      </c>
      <c r="X2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49" t="s">
        <v>311</v>
      </c>
      <c r="AA27" s="188"/>
      <c r="AB27" s="200"/>
      <c r="AC27" s="187"/>
      <c r="AD27" s="187"/>
      <c r="AE27" s="187"/>
      <c r="AF27" s="196"/>
      <c r="AG27" s="196"/>
      <c r="AH27" s="196"/>
      <c r="AI27" s="196"/>
      <c r="AJ27" s="201"/>
      <c r="AK2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7" s="198" t="e">
        <f>(1 - ((1 - VLOOKUP(Table4[[#This Row],[ConfidentialityP]],'Reference - CVSSv3.0'!$B$15:$C$17,2,FALSE)) * (1 - VLOOKUP(Table4[[#This Row],[IntegrityP]],'Reference - CVSSv3.0'!$B$15:$C$17,2,FALSE)) *  (1 - VLOOKUP(Table4[[#This Row],[AvailabilityP]],'Reference - CVSSv3.0'!$B$15:$C$17,2,FALSE))))</f>
        <v>#N/A</v>
      </c>
      <c r="AM27" s="198" t="e">
        <f>IF(Table4[[#This Row],[ScopeP]]="Unchanged",6.42*Table4[[#This Row],[ISC BaseP]],IF(Table4[[#This Row],[ScopeP]]="Changed",7.52*(Table4[[#This Row],[ISC BaseP]] - 0.029) - 3.25 * POWER(Table4[[#This Row],[ISC BaseP]] - 0.02,15),NA()))</f>
        <v>#N/A</v>
      </c>
      <c r="AN2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187"/>
    </row>
    <row r="28" spans="1:43" s="53" customFormat="1" ht="71.25" x14ac:dyDescent="0.25">
      <c r="A28" s="70">
        <v>24</v>
      </c>
      <c r="B28" s="182" t="s">
        <v>127</v>
      </c>
      <c r="C28" s="195" t="str">
        <f>IF(VLOOKUP(Table4[[#This Row],[T ID]],Table5[#All],5,FALSE)="No","Not in scope",VLOOKUP(Table4[[#This Row],[T ID]],Table5[#All],2,FALSE))</f>
        <v>Deliver directed malware
(CAPEC-185)</v>
      </c>
      <c r="D28" s="212" t="s">
        <v>248</v>
      </c>
      <c r="E28" s="195" t="str">
        <f>IF(VLOOKUP(Table4[[#This Row],[V ID]],Vulnerabilities[#All],3,FALSE)="No","Not in scope",VLOOKUP(Table4[[#This Row],[V ID]],Vulnerabilities[#All],2,FALSE))</f>
        <v>Unprotected external USB Port on the tablet/devices.</v>
      </c>
      <c r="F28" s="216" t="s">
        <v>119</v>
      </c>
      <c r="G28" s="195" t="str">
        <f>VLOOKUP(Table4[[#This Row],[A ID]],Assets[#All],3,FALSE)</f>
        <v>Wireless Network device</v>
      </c>
      <c r="H28" s="49" t="s">
        <v>282</v>
      </c>
      <c r="I28" s="49"/>
      <c r="J28" s="87" t="s">
        <v>57</v>
      </c>
      <c r="K28" s="87" t="s">
        <v>57</v>
      </c>
      <c r="L28" s="87" t="s">
        <v>57</v>
      </c>
      <c r="M28" s="157" t="s">
        <v>76</v>
      </c>
      <c r="N28" s="157" t="s">
        <v>57</v>
      </c>
      <c r="O28" s="157" t="s">
        <v>57</v>
      </c>
      <c r="P28" s="196" t="s">
        <v>77</v>
      </c>
      <c r="Q28" s="196" t="s">
        <v>75</v>
      </c>
      <c r="R2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28" s="198">
        <f>(1 - ((1 - VLOOKUP(Table4[[#This Row],[Confidentiality]],'Reference - CVSSv3.0'!$B$15:$C$17,2,FALSE)) * (1 - VLOOKUP(Table4[[#This Row],[Integrity]],'Reference - CVSSv3.0'!$B$15:$C$17,2,FALSE)) *  (1 - VLOOKUP(Table4[[#This Row],[Availability]],'Reference - CVSSv3.0'!$B$15:$C$17,2,FALSE))))</f>
        <v>0.52544799999999992</v>
      </c>
      <c r="T28" s="198">
        <f>IF(Table4[[#This Row],[Scope]]="Unchanged",6.42*Table4[[#This Row],[ISC Base]],IF(Table4[[#This Row],[Scope]]="Changed",7.52*(Table4[[#This Row],[ISC Base]] - 0.029) - 3.25 * POWER(Table4[[#This Row],[ISC Base]] - 0.02,15),NA()))</f>
        <v>3.3733761599999994</v>
      </c>
      <c r="U28"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182" t="s">
        <v>56</v>
      </c>
      <c r="W28" s="198">
        <f>VLOOKUP(Table4[[#This Row],[Threat Event Initiation]],NIST_Scale_LOAI[],2,FALSE)</f>
        <v>0.5</v>
      </c>
      <c r="X2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49" t="s">
        <v>297</v>
      </c>
      <c r="AA28" s="188"/>
      <c r="AB28" s="200"/>
      <c r="AC28" s="187"/>
      <c r="AD28" s="187"/>
      <c r="AE28" s="187"/>
      <c r="AF28" s="196"/>
      <c r="AG28" s="196"/>
      <c r="AH28" s="196"/>
      <c r="AI28" s="196"/>
      <c r="AJ28" s="201"/>
      <c r="AK2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8" s="198" t="e">
        <f>(1 - ((1 - VLOOKUP(Table4[[#This Row],[ConfidentialityP]],'Reference - CVSSv3.0'!$B$15:$C$17,2,FALSE)) * (1 - VLOOKUP(Table4[[#This Row],[IntegrityP]],'Reference - CVSSv3.0'!$B$15:$C$17,2,FALSE)) *  (1 - VLOOKUP(Table4[[#This Row],[AvailabilityP]],'Reference - CVSSv3.0'!$B$15:$C$17,2,FALSE))))</f>
        <v>#N/A</v>
      </c>
      <c r="AM28" s="198" t="e">
        <f>IF(Table4[[#This Row],[ScopeP]]="Unchanged",6.42*Table4[[#This Row],[ISC BaseP]],IF(Table4[[#This Row],[ScopeP]]="Changed",7.52*(Table4[[#This Row],[ISC BaseP]] - 0.029) - 3.25 * POWER(Table4[[#This Row],[ISC BaseP]] - 0.02,15),NA()))</f>
        <v>#N/A</v>
      </c>
      <c r="AN2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187"/>
    </row>
    <row r="29" spans="1:43" s="53" customFormat="1" ht="74.25" customHeight="1" x14ac:dyDescent="0.25">
      <c r="A29" s="70">
        <v>25</v>
      </c>
      <c r="B29" s="182" t="s">
        <v>127</v>
      </c>
      <c r="C29" s="195" t="str">
        <f>IF(VLOOKUP(Table4[[#This Row],[T ID]],Table5[#All],5,FALSE)="No","Not in scope",VLOOKUP(Table4[[#This Row],[T ID]],Table5[#All],2,FALSE))</f>
        <v>Deliver directed malware
(CAPEC-185)</v>
      </c>
      <c r="D29" s="212" t="s">
        <v>248</v>
      </c>
      <c r="E29" s="195" t="str">
        <f>IF(VLOOKUP(Table4[[#This Row],[V ID]],Vulnerabilities[#All],3,FALSE)="No","Not in scope",VLOOKUP(Table4[[#This Row],[V ID]],Vulnerabilities[#All],2,FALSE))</f>
        <v>Unprotected external USB Port on the tablet/devices.</v>
      </c>
      <c r="F29" s="216" t="s">
        <v>112</v>
      </c>
      <c r="G29" s="195" t="str">
        <f>VLOOKUP(Table4[[#This Row],[A ID]],Assets[#All],3,FALSE)</f>
        <v>Tablet Resources - web cam, microphone, OTG devices, Removable USB, Tablet Application,</v>
      </c>
      <c r="H29" s="49" t="s">
        <v>282</v>
      </c>
      <c r="I29" s="49"/>
      <c r="J29" s="87" t="s">
        <v>57</v>
      </c>
      <c r="K29" s="87" t="s">
        <v>57</v>
      </c>
      <c r="L29" s="87" t="s">
        <v>57</v>
      </c>
      <c r="M29" s="157" t="s">
        <v>76</v>
      </c>
      <c r="N29" s="157" t="s">
        <v>57</v>
      </c>
      <c r="O29" s="157" t="s">
        <v>57</v>
      </c>
      <c r="P29" s="196" t="s">
        <v>77</v>
      </c>
      <c r="Q29" s="196" t="s">
        <v>75</v>
      </c>
      <c r="R2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29" s="198">
        <f>(1 - ((1 - VLOOKUP(Table4[[#This Row],[Confidentiality]],'Reference - CVSSv3.0'!$B$15:$C$17,2,FALSE)) * (1 - VLOOKUP(Table4[[#This Row],[Integrity]],'Reference - CVSSv3.0'!$B$15:$C$17,2,FALSE)) *  (1 - VLOOKUP(Table4[[#This Row],[Availability]],'Reference - CVSSv3.0'!$B$15:$C$17,2,FALSE))))</f>
        <v>0.52544799999999992</v>
      </c>
      <c r="T29" s="198">
        <f>IF(Table4[[#This Row],[Scope]]="Unchanged",6.42*Table4[[#This Row],[ISC Base]],IF(Table4[[#This Row],[Scope]]="Changed",7.52*(Table4[[#This Row],[ISC Base]] - 0.029) - 3.25 * POWER(Table4[[#This Row],[ISC Base]] - 0.02,15),NA()))</f>
        <v>3.3733761599999994</v>
      </c>
      <c r="U29"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182" t="s">
        <v>66</v>
      </c>
      <c r="W29" s="198">
        <f>VLOOKUP(Table4[[#This Row],[Threat Event Initiation]],NIST_Scale_LOAI[],2,FALSE)</f>
        <v>0.8</v>
      </c>
      <c r="X2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49" t="s">
        <v>311</v>
      </c>
      <c r="AA29" s="188"/>
      <c r="AB29" s="200"/>
      <c r="AC29" s="187"/>
      <c r="AD29" s="187"/>
      <c r="AE29" s="187"/>
      <c r="AF29" s="196"/>
      <c r="AG29" s="196"/>
      <c r="AH29" s="196"/>
      <c r="AI29" s="196"/>
      <c r="AJ29" s="201"/>
      <c r="AK2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29" s="198" t="e">
        <f>(1 - ((1 - VLOOKUP(Table4[[#This Row],[ConfidentialityP]],'Reference - CVSSv3.0'!$B$15:$C$17,2,FALSE)) * (1 - VLOOKUP(Table4[[#This Row],[IntegrityP]],'Reference - CVSSv3.0'!$B$15:$C$17,2,FALSE)) *  (1 - VLOOKUP(Table4[[#This Row],[AvailabilityP]],'Reference - CVSSv3.0'!$B$15:$C$17,2,FALSE))))</f>
        <v>#N/A</v>
      </c>
      <c r="AM29" s="198" t="e">
        <f>IF(Table4[[#This Row],[ScopeP]]="Unchanged",6.42*Table4[[#This Row],[ISC BaseP]],IF(Table4[[#This Row],[ScopeP]]="Changed",7.52*(Table4[[#This Row],[ISC BaseP]] - 0.029) - 3.25 * POWER(Table4[[#This Row],[ISC BaseP]] - 0.02,15),NA()))</f>
        <v>#N/A</v>
      </c>
      <c r="AN2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187"/>
    </row>
    <row r="30" spans="1:43" s="53" customFormat="1" ht="71.25" x14ac:dyDescent="0.25">
      <c r="A30" s="70">
        <v>26</v>
      </c>
      <c r="B30" s="182" t="s">
        <v>127</v>
      </c>
      <c r="C30" s="195" t="str">
        <f>IF(VLOOKUP(Table4[[#This Row],[T ID]],Table5[#All],5,FALSE)="No","Not in scope",VLOOKUP(Table4[[#This Row],[T ID]],Table5[#All],2,FALSE))</f>
        <v>Deliver directed malware
(CAPEC-185)</v>
      </c>
      <c r="D30" s="212" t="s">
        <v>248</v>
      </c>
      <c r="E30" s="195" t="str">
        <f>IF(VLOOKUP(Table4[[#This Row],[V ID]],Vulnerabilities[#All],3,FALSE)="No","Not in scope",VLOOKUP(Table4[[#This Row],[V ID]],Vulnerabilities[#All],2,FALSE))</f>
        <v>Unprotected external USB Port on the tablet/devices.</v>
      </c>
      <c r="F30" s="216" t="s">
        <v>108</v>
      </c>
      <c r="G30" s="195" t="str">
        <f>VLOOKUP(Table4[[#This Row],[A ID]],Assets[#All],3,FALSE)</f>
        <v>Smart medic app (Stryker Azure Cloud Web Application)</v>
      </c>
      <c r="H30" s="49" t="s">
        <v>282</v>
      </c>
      <c r="I30" s="49"/>
      <c r="J30" s="87" t="s">
        <v>57</v>
      </c>
      <c r="K30" s="87" t="s">
        <v>57</v>
      </c>
      <c r="L30" s="87" t="s">
        <v>57</v>
      </c>
      <c r="M30" s="157" t="s">
        <v>76</v>
      </c>
      <c r="N30" s="157" t="s">
        <v>57</v>
      </c>
      <c r="O30" s="157" t="s">
        <v>57</v>
      </c>
      <c r="P30" s="196" t="s">
        <v>77</v>
      </c>
      <c r="Q30" s="196" t="s">
        <v>75</v>
      </c>
      <c r="R3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30" s="198">
        <f>(1 - ((1 - VLOOKUP(Table4[[#This Row],[Confidentiality]],'Reference - CVSSv3.0'!$B$15:$C$17,2,FALSE)) * (1 - VLOOKUP(Table4[[#This Row],[Integrity]],'Reference - CVSSv3.0'!$B$15:$C$17,2,FALSE)) *  (1 - VLOOKUP(Table4[[#This Row],[Availability]],'Reference - CVSSv3.0'!$B$15:$C$17,2,FALSE))))</f>
        <v>0.52544799999999992</v>
      </c>
      <c r="T30" s="198">
        <f>IF(Table4[[#This Row],[Scope]]="Unchanged",6.42*Table4[[#This Row],[ISC Base]],IF(Table4[[#This Row],[Scope]]="Changed",7.52*(Table4[[#This Row],[ISC Base]] - 0.029) - 3.25 * POWER(Table4[[#This Row],[ISC Base]] - 0.02,15),NA()))</f>
        <v>3.3733761599999994</v>
      </c>
      <c r="U30"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182" t="s">
        <v>57</v>
      </c>
      <c r="W30" s="198">
        <f>VLOOKUP(Table4[[#This Row],[Threat Event Initiation]],NIST_Scale_LOAI[],2,FALSE)</f>
        <v>0.2</v>
      </c>
      <c r="X3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49" t="s">
        <v>298</v>
      </c>
      <c r="AA30" s="188"/>
      <c r="AB30" s="200"/>
      <c r="AC30" s="187"/>
      <c r="AD30" s="187"/>
      <c r="AE30" s="187"/>
      <c r="AF30" s="196"/>
      <c r="AG30" s="196"/>
      <c r="AH30" s="196"/>
      <c r="AI30" s="196"/>
      <c r="AJ30" s="201"/>
      <c r="AK3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0" s="198" t="e">
        <f>(1 - ((1 - VLOOKUP(Table4[[#This Row],[ConfidentialityP]],'Reference - CVSSv3.0'!$B$15:$C$17,2,FALSE)) * (1 - VLOOKUP(Table4[[#This Row],[IntegrityP]],'Reference - CVSSv3.0'!$B$15:$C$17,2,FALSE)) *  (1 - VLOOKUP(Table4[[#This Row],[AvailabilityP]],'Reference - CVSSv3.0'!$B$15:$C$17,2,FALSE))))</f>
        <v>#N/A</v>
      </c>
      <c r="AM30" s="198" t="e">
        <f>IF(Table4[[#This Row],[ScopeP]]="Unchanged",6.42*Table4[[#This Row],[ISC BaseP]],IF(Table4[[#This Row],[ScopeP]]="Changed",7.52*(Table4[[#This Row],[ISC BaseP]] - 0.029) - 3.25 * POWER(Table4[[#This Row],[ISC BaseP]] - 0.02,15),NA()))</f>
        <v>#N/A</v>
      </c>
      <c r="AN3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187"/>
    </row>
    <row r="31" spans="1:43" s="53" customFormat="1" ht="71.25" x14ac:dyDescent="0.25">
      <c r="A31" s="70">
        <v>27</v>
      </c>
      <c r="B31" s="182" t="s">
        <v>127</v>
      </c>
      <c r="C31" s="195" t="str">
        <f>IF(VLOOKUP(Table4[[#This Row],[T ID]],Table5[#All],5,FALSE)="No","Not in scope",VLOOKUP(Table4[[#This Row],[T ID]],Table5[#All],2,FALSE))</f>
        <v>Deliver directed malware
(CAPEC-185)</v>
      </c>
      <c r="D31" s="212" t="s">
        <v>122</v>
      </c>
      <c r="E31" s="195" t="str">
        <f>IF(VLOOKUP(Table4[[#This Row],[V ID]],Vulnerabilities[#All],3,FALSE)="No","Not in scope",VLOOKUP(Table4[[#This Row],[V ID]],Vulnerabilities[#All],2,FALSE))</f>
        <v>External communications and exposure for communciation channels from and to application and devices like tablet and smartmedic device.</v>
      </c>
      <c r="F31" s="216" t="s">
        <v>112</v>
      </c>
      <c r="G31" s="195" t="str">
        <f>VLOOKUP(Table4[[#This Row],[A ID]],Assets[#All],3,FALSE)</f>
        <v>Tablet Resources - web cam, microphone, OTG devices, Removable USB, Tablet Application,</v>
      </c>
      <c r="H31" s="49" t="s">
        <v>282</v>
      </c>
      <c r="I31" s="49"/>
      <c r="J31" s="87" t="s">
        <v>57</v>
      </c>
      <c r="K31" s="87" t="s">
        <v>57</v>
      </c>
      <c r="L31" s="87" t="s">
        <v>57</v>
      </c>
      <c r="M31" s="196" t="s">
        <v>79</v>
      </c>
      <c r="N31" s="157" t="s">
        <v>57</v>
      </c>
      <c r="O31" s="157" t="s">
        <v>57</v>
      </c>
      <c r="P31" s="196" t="s">
        <v>77</v>
      </c>
      <c r="Q31" s="196" t="s">
        <v>75</v>
      </c>
      <c r="R3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31" s="198">
        <f>(1 - ((1 - VLOOKUP(Table4[[#This Row],[Confidentiality]],'Reference - CVSSv3.0'!$B$15:$C$17,2,FALSE)) * (1 - VLOOKUP(Table4[[#This Row],[Integrity]],'Reference - CVSSv3.0'!$B$15:$C$17,2,FALSE)) *  (1 - VLOOKUP(Table4[[#This Row],[Availability]],'Reference - CVSSv3.0'!$B$15:$C$17,2,FALSE))))</f>
        <v>0.52544799999999992</v>
      </c>
      <c r="T31" s="198">
        <f>IF(Table4[[#This Row],[Scope]]="Unchanged",6.42*Table4[[#This Row],[ISC Base]],IF(Table4[[#This Row],[Scope]]="Changed",7.52*(Table4[[#This Row],[ISC Base]] - 0.029) - 3.25 * POWER(Table4[[#This Row],[ISC Base]] - 0.02,15),NA()))</f>
        <v>3.3733761599999994</v>
      </c>
      <c r="U31"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31" s="182" t="s">
        <v>66</v>
      </c>
      <c r="W31" s="198">
        <f>VLOOKUP(Table4[[#This Row],[Threat Event Initiation]],NIST_Scale_LOAI[],2,FALSE)</f>
        <v>0.8</v>
      </c>
      <c r="X3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49" t="s">
        <v>311</v>
      </c>
      <c r="AA31" s="188"/>
      <c r="AB31" s="200"/>
      <c r="AC31" s="187"/>
      <c r="AD31" s="187"/>
      <c r="AE31" s="187"/>
      <c r="AF31" s="196"/>
      <c r="AG31" s="196"/>
      <c r="AH31" s="196"/>
      <c r="AI31" s="196"/>
      <c r="AJ31" s="201"/>
      <c r="AK3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1" s="198" t="e">
        <f>(1 - ((1 - VLOOKUP(Table4[[#This Row],[ConfidentialityP]],'Reference - CVSSv3.0'!$B$15:$C$17,2,FALSE)) * (1 - VLOOKUP(Table4[[#This Row],[IntegrityP]],'Reference - CVSSv3.0'!$B$15:$C$17,2,FALSE)) *  (1 - VLOOKUP(Table4[[#This Row],[AvailabilityP]],'Reference - CVSSv3.0'!$B$15:$C$17,2,FALSE))))</f>
        <v>#N/A</v>
      </c>
      <c r="AM31" s="198" t="e">
        <f>IF(Table4[[#This Row],[ScopeP]]="Unchanged",6.42*Table4[[#This Row],[ISC BaseP]],IF(Table4[[#This Row],[ScopeP]]="Changed",7.52*(Table4[[#This Row],[ISC BaseP]] - 0.029) - 3.25 * POWER(Table4[[#This Row],[ISC BaseP]] - 0.02,15),NA()))</f>
        <v>#N/A</v>
      </c>
      <c r="AN3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187"/>
    </row>
    <row r="32" spans="1:43" s="53" customFormat="1" ht="73.5" customHeight="1" x14ac:dyDescent="0.25">
      <c r="A32" s="70">
        <v>28</v>
      </c>
      <c r="B32" s="182" t="s">
        <v>127</v>
      </c>
      <c r="C32" s="195" t="str">
        <f>IF(VLOOKUP(Table4[[#This Row],[T ID]],Table5[#All],5,FALSE)="No","Not in scope",VLOOKUP(Table4[[#This Row],[T ID]],Table5[#All],2,FALSE))</f>
        <v>Deliver directed malware
(CAPEC-185)</v>
      </c>
      <c r="D32" s="212" t="s">
        <v>234</v>
      </c>
      <c r="E32" s="195" t="str">
        <f>IF(VLOOKUP(Table4[[#This Row],[V ID]],Vulnerabilities[#All],3,FALSE)="No","Not in scope",VLOOKUP(Table4[[#This Row],[V ID]],Vulnerabilities[#All],2,FALSE))</f>
        <v>Ineffective patch management of firware, OS and applications thoughout the information system plan</v>
      </c>
      <c r="F32" s="216" t="s">
        <v>116</v>
      </c>
      <c r="G32" s="195" t="str">
        <f>VLOOKUP(Table4[[#This Row],[A ID]],Assets[#All],3,FALSE)</f>
        <v>Device Maintainence tool (Hardware/Software)</v>
      </c>
      <c r="H32" s="49" t="s">
        <v>282</v>
      </c>
      <c r="I32" s="49"/>
      <c r="J32" s="87" t="s">
        <v>57</v>
      </c>
      <c r="K32" s="87" t="s">
        <v>57</v>
      </c>
      <c r="L32" s="87" t="s">
        <v>57</v>
      </c>
      <c r="M32" s="196" t="s">
        <v>80</v>
      </c>
      <c r="N32" s="157" t="s">
        <v>57</v>
      </c>
      <c r="O32" s="157" t="s">
        <v>57</v>
      </c>
      <c r="P32" s="196" t="s">
        <v>78</v>
      </c>
      <c r="Q32" s="196" t="s">
        <v>75</v>
      </c>
      <c r="R3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32" s="198">
        <f>(1 - ((1 - VLOOKUP(Table4[[#This Row],[Confidentiality]],'Reference - CVSSv3.0'!$B$15:$C$17,2,FALSE)) * (1 - VLOOKUP(Table4[[#This Row],[Integrity]],'Reference - CVSSv3.0'!$B$15:$C$17,2,FALSE)) *  (1 - VLOOKUP(Table4[[#This Row],[Availability]],'Reference - CVSSv3.0'!$B$15:$C$17,2,FALSE))))</f>
        <v>0.52544799999999992</v>
      </c>
      <c r="T32" s="198">
        <f>IF(Table4[[#This Row],[Scope]]="Unchanged",6.42*Table4[[#This Row],[ISC Base]],IF(Table4[[#This Row],[Scope]]="Changed",7.52*(Table4[[#This Row],[ISC Base]] - 0.029) - 3.25 * POWER(Table4[[#This Row],[ISC Base]] - 0.02,15),NA()))</f>
        <v>3.3733761599999994</v>
      </c>
      <c r="U3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182" t="s">
        <v>57</v>
      </c>
      <c r="W32" s="198">
        <f>VLOOKUP(Table4[[#This Row],[Threat Event Initiation]],NIST_Scale_LOAI[],2,FALSE)</f>
        <v>0.2</v>
      </c>
      <c r="X3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49" t="s">
        <v>311</v>
      </c>
      <c r="AA32" s="188"/>
      <c r="AB32" s="200"/>
      <c r="AC32" s="187"/>
      <c r="AD32" s="187"/>
      <c r="AE32" s="187"/>
      <c r="AF32" s="196"/>
      <c r="AG32" s="196"/>
      <c r="AH32" s="196"/>
      <c r="AI32" s="196"/>
      <c r="AJ32" s="201"/>
      <c r="AK3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2" s="198" t="e">
        <f>(1 - ((1 - VLOOKUP(Table4[[#This Row],[ConfidentialityP]],'Reference - CVSSv3.0'!$B$15:$C$17,2,FALSE)) * (1 - VLOOKUP(Table4[[#This Row],[IntegrityP]],'Reference - CVSSv3.0'!$B$15:$C$17,2,FALSE)) *  (1 - VLOOKUP(Table4[[#This Row],[AvailabilityP]],'Reference - CVSSv3.0'!$B$15:$C$17,2,FALSE))))</f>
        <v>#N/A</v>
      </c>
      <c r="AM32" s="198" t="e">
        <f>IF(Table4[[#This Row],[ScopeP]]="Unchanged",6.42*Table4[[#This Row],[ISC BaseP]],IF(Table4[[#This Row],[ScopeP]]="Changed",7.52*(Table4[[#This Row],[ISC BaseP]] - 0.029) - 3.25 * POWER(Table4[[#This Row],[ISC BaseP]] - 0.02,15),NA()))</f>
        <v>#N/A</v>
      </c>
      <c r="AN3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187"/>
    </row>
    <row r="33" spans="1:43" s="53" customFormat="1" ht="88.5" customHeight="1" x14ac:dyDescent="0.25">
      <c r="A33" s="70">
        <v>29</v>
      </c>
      <c r="B33" s="182" t="s">
        <v>127</v>
      </c>
      <c r="C33" s="195" t="str">
        <f>IF(VLOOKUP(Table4[[#This Row],[T ID]],Table5[#All],5,FALSE)="No","Not in scope",VLOOKUP(Table4[[#This Row],[T ID]],Table5[#All],2,FALSE))</f>
        <v>Deliver directed malware
(CAPEC-185)</v>
      </c>
      <c r="D33" s="212" t="s">
        <v>234</v>
      </c>
      <c r="E33" s="195" t="str">
        <f>IF(VLOOKUP(Table4[[#This Row],[V ID]],Vulnerabilities[#All],3,FALSE)="No","Not in scope",VLOOKUP(Table4[[#This Row],[V ID]],Vulnerabilities[#All],2,FALSE))</f>
        <v>Ineffective patch management of firware, OS and applications thoughout the information system plan</v>
      </c>
      <c r="F33" s="216" t="s">
        <v>114</v>
      </c>
      <c r="G33" s="195" t="str">
        <f>VLOOKUP(Table4[[#This Row],[A ID]],Assets[#All],3,FALSE)</f>
        <v>Smart medic (Stryker device) System Component</v>
      </c>
      <c r="H33" s="49" t="s">
        <v>282</v>
      </c>
      <c r="I33" s="49"/>
      <c r="J33" s="87" t="s">
        <v>57</v>
      </c>
      <c r="K33" s="87" t="s">
        <v>57</v>
      </c>
      <c r="L33" s="87" t="s">
        <v>57</v>
      </c>
      <c r="M33" s="196" t="s">
        <v>80</v>
      </c>
      <c r="N33" s="157" t="s">
        <v>57</v>
      </c>
      <c r="O33" s="157" t="s">
        <v>57</v>
      </c>
      <c r="P33" s="196" t="s">
        <v>78</v>
      </c>
      <c r="Q33" s="196" t="s">
        <v>75</v>
      </c>
      <c r="R3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33" s="198">
        <f>(1 - ((1 - VLOOKUP(Table4[[#This Row],[Confidentiality]],'Reference - CVSSv3.0'!$B$15:$C$17,2,FALSE)) * (1 - VLOOKUP(Table4[[#This Row],[Integrity]],'Reference - CVSSv3.0'!$B$15:$C$17,2,FALSE)) *  (1 - VLOOKUP(Table4[[#This Row],[Availability]],'Reference - CVSSv3.0'!$B$15:$C$17,2,FALSE))))</f>
        <v>0.52544799999999992</v>
      </c>
      <c r="T33" s="198">
        <f>IF(Table4[[#This Row],[Scope]]="Unchanged",6.42*Table4[[#This Row],[ISC Base]],IF(Table4[[#This Row],[Scope]]="Changed",7.52*(Table4[[#This Row],[ISC Base]] - 0.029) - 3.25 * POWER(Table4[[#This Row],[ISC Base]] - 0.02,15),NA()))</f>
        <v>3.3733761599999994</v>
      </c>
      <c r="U33"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182" t="s">
        <v>57</v>
      </c>
      <c r="W33" s="198">
        <f>VLOOKUP(Table4[[#This Row],[Threat Event Initiation]],NIST_Scale_LOAI[],2,FALSE)</f>
        <v>0.2</v>
      </c>
      <c r="X3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49" t="s">
        <v>311</v>
      </c>
      <c r="AA33" s="188"/>
      <c r="AB33" s="200"/>
      <c r="AC33" s="187"/>
      <c r="AD33" s="187"/>
      <c r="AE33" s="187"/>
      <c r="AF33" s="196"/>
      <c r="AG33" s="196"/>
      <c r="AH33" s="196"/>
      <c r="AI33" s="196"/>
      <c r="AJ33" s="201"/>
      <c r="AK3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3" s="198" t="e">
        <f>(1 - ((1 - VLOOKUP(Table4[[#This Row],[ConfidentialityP]],'Reference - CVSSv3.0'!$B$15:$C$17,2,FALSE)) * (1 - VLOOKUP(Table4[[#This Row],[IntegrityP]],'Reference - CVSSv3.0'!$B$15:$C$17,2,FALSE)) *  (1 - VLOOKUP(Table4[[#This Row],[AvailabilityP]],'Reference - CVSSv3.0'!$B$15:$C$17,2,FALSE))))</f>
        <v>#N/A</v>
      </c>
      <c r="AM33" s="198" t="e">
        <f>IF(Table4[[#This Row],[ScopeP]]="Unchanged",6.42*Table4[[#This Row],[ISC BaseP]],IF(Table4[[#This Row],[ScopeP]]="Changed",7.52*(Table4[[#This Row],[ISC BaseP]] - 0.029) - 3.25 * POWER(Table4[[#This Row],[ISC BaseP]] - 0.02,15),NA()))</f>
        <v>#N/A</v>
      </c>
      <c r="AN3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187"/>
    </row>
    <row r="34" spans="1:43" s="53" customFormat="1" ht="90.75" customHeight="1" x14ac:dyDescent="0.25">
      <c r="A34" s="70">
        <v>30</v>
      </c>
      <c r="B34" s="182" t="s">
        <v>127</v>
      </c>
      <c r="C34" s="195" t="str">
        <f>IF(VLOOKUP(Table4[[#This Row],[T ID]],Table5[#All],5,FALSE)="No","Not in scope",VLOOKUP(Table4[[#This Row],[T ID]],Table5[#All],2,FALSE))</f>
        <v>Deliver directed malware
(CAPEC-185)</v>
      </c>
      <c r="D34" s="212" t="s">
        <v>234</v>
      </c>
      <c r="E34" s="195" t="str">
        <f>IF(VLOOKUP(Table4[[#This Row],[V ID]],Vulnerabilities[#All],3,FALSE)="No","Not in scope",VLOOKUP(Table4[[#This Row],[V ID]],Vulnerabilities[#All],2,FALSE))</f>
        <v>Ineffective patch management of firware, OS and applications thoughout the information system plan</v>
      </c>
      <c r="F34" s="216" t="s">
        <v>112</v>
      </c>
      <c r="G34" s="195" t="str">
        <f>VLOOKUP(Table4[[#This Row],[A ID]],Assets[#All],3,FALSE)</f>
        <v>Tablet Resources - web cam, microphone, OTG devices, Removable USB, Tablet Application,</v>
      </c>
      <c r="H34" s="49" t="s">
        <v>282</v>
      </c>
      <c r="I34" s="49"/>
      <c r="J34" s="87" t="s">
        <v>57</v>
      </c>
      <c r="K34" s="87" t="s">
        <v>57</v>
      </c>
      <c r="L34" s="87" t="s">
        <v>57</v>
      </c>
      <c r="M34" s="196" t="s">
        <v>80</v>
      </c>
      <c r="N34" s="157" t="s">
        <v>57</v>
      </c>
      <c r="O34" s="157" t="s">
        <v>57</v>
      </c>
      <c r="P34" s="196" t="s">
        <v>78</v>
      </c>
      <c r="Q34" s="196" t="s">
        <v>75</v>
      </c>
      <c r="R3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34" s="198">
        <f>(1 - ((1 - VLOOKUP(Table4[[#This Row],[Confidentiality]],'Reference - CVSSv3.0'!$B$15:$C$17,2,FALSE)) * (1 - VLOOKUP(Table4[[#This Row],[Integrity]],'Reference - CVSSv3.0'!$B$15:$C$17,2,FALSE)) *  (1 - VLOOKUP(Table4[[#This Row],[Availability]],'Reference - CVSSv3.0'!$B$15:$C$17,2,FALSE))))</f>
        <v>0.52544799999999992</v>
      </c>
      <c r="T34" s="198">
        <f>IF(Table4[[#This Row],[Scope]]="Unchanged",6.42*Table4[[#This Row],[ISC Base]],IF(Table4[[#This Row],[Scope]]="Changed",7.52*(Table4[[#This Row],[ISC Base]] - 0.029) - 3.25 * POWER(Table4[[#This Row],[ISC Base]] - 0.02,15),NA()))</f>
        <v>3.3733761599999994</v>
      </c>
      <c r="U3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182" t="s">
        <v>57</v>
      </c>
      <c r="W34" s="198">
        <f>VLOOKUP(Table4[[#This Row],[Threat Event Initiation]],NIST_Scale_LOAI[],2,FALSE)</f>
        <v>0.2</v>
      </c>
      <c r="X3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49" t="s">
        <v>311</v>
      </c>
      <c r="AA34" s="188"/>
      <c r="AB34" s="200"/>
      <c r="AC34" s="187"/>
      <c r="AD34" s="187"/>
      <c r="AE34" s="187"/>
      <c r="AF34" s="196"/>
      <c r="AG34" s="196"/>
      <c r="AH34" s="196"/>
      <c r="AI34" s="196"/>
      <c r="AJ34" s="201"/>
      <c r="AK3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4" s="198" t="e">
        <f>(1 - ((1 - VLOOKUP(Table4[[#This Row],[ConfidentialityP]],'Reference - CVSSv3.0'!$B$15:$C$17,2,FALSE)) * (1 - VLOOKUP(Table4[[#This Row],[IntegrityP]],'Reference - CVSSv3.0'!$B$15:$C$17,2,FALSE)) *  (1 - VLOOKUP(Table4[[#This Row],[AvailabilityP]],'Reference - CVSSv3.0'!$B$15:$C$17,2,FALSE))))</f>
        <v>#N/A</v>
      </c>
      <c r="AM34" s="198" t="e">
        <f>IF(Table4[[#This Row],[ScopeP]]="Unchanged",6.42*Table4[[#This Row],[ISC BaseP]],IF(Table4[[#This Row],[ScopeP]]="Changed",7.52*(Table4[[#This Row],[ISC BaseP]] - 0.029) - 3.25 * POWER(Table4[[#This Row],[ISC BaseP]] - 0.02,15),NA()))</f>
        <v>#N/A</v>
      </c>
      <c r="AN3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187"/>
    </row>
    <row r="35" spans="1:43" s="53" customFormat="1" ht="75" customHeight="1" x14ac:dyDescent="0.25">
      <c r="A35" s="70">
        <v>31</v>
      </c>
      <c r="B35" s="182" t="s">
        <v>127</v>
      </c>
      <c r="C35" s="195" t="str">
        <f>IF(VLOOKUP(Table4[[#This Row],[T ID]],Table5[#All],5,FALSE)="No","Not in scope",VLOOKUP(Table4[[#This Row],[T ID]],Table5[#All],2,FALSE))</f>
        <v>Deliver directed malware
(CAPEC-185)</v>
      </c>
      <c r="D35" s="212" t="s">
        <v>247</v>
      </c>
      <c r="E35" s="195" t="str">
        <f>IF(VLOOKUP(Table4[[#This Row],[V ID]],Vulnerabilities[#All],3,FALSE)="No","Not in scope",VLOOKUP(Table4[[#This Row],[V ID]],Vulnerabilities[#All],2,FALSE))</f>
        <v>Unprotected network port(s) on network devices and connection points</v>
      </c>
      <c r="F35" s="216" t="s">
        <v>114</v>
      </c>
      <c r="G35" s="195" t="str">
        <f>VLOOKUP(Table4[[#This Row],[A ID]],Assets[#All],3,FALSE)</f>
        <v>Smart medic (Stryker device) System Component</v>
      </c>
      <c r="H35" s="49" t="s">
        <v>283</v>
      </c>
      <c r="I35" s="49"/>
      <c r="J35" s="87" t="s">
        <v>66</v>
      </c>
      <c r="K35" s="87" t="s">
        <v>66</v>
      </c>
      <c r="L35" s="87" t="s">
        <v>57</v>
      </c>
      <c r="M35" s="196" t="s">
        <v>79</v>
      </c>
      <c r="N35" s="157" t="s">
        <v>57</v>
      </c>
      <c r="O35" s="157" t="s">
        <v>57</v>
      </c>
      <c r="P35" s="196" t="s">
        <v>78</v>
      </c>
      <c r="Q35" s="196" t="s">
        <v>75</v>
      </c>
      <c r="R3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35" s="198">
        <f>(1 - ((1 - VLOOKUP(Table4[[#This Row],[Confidentiality]],'Reference - CVSSv3.0'!$B$15:$C$17,2,FALSE)) * (1 - VLOOKUP(Table4[[#This Row],[Integrity]],'Reference - CVSSv3.0'!$B$15:$C$17,2,FALSE)) *  (1 - VLOOKUP(Table4[[#This Row],[Availability]],'Reference - CVSSv3.0'!$B$15:$C$17,2,FALSE))))</f>
        <v>0.84899199999999997</v>
      </c>
      <c r="T35" s="198">
        <f>IF(Table4[[#This Row],[Scope]]="Unchanged",6.42*Table4[[#This Row],[ISC Base]],IF(Table4[[#This Row],[Scope]]="Changed",7.52*(Table4[[#This Row],[ISC Base]] - 0.029) - 3.25 * POWER(Table4[[#This Row],[ISC Base]] - 0.02,15),NA()))</f>
        <v>5.4505286399999999</v>
      </c>
      <c r="U35" s="198">
        <f>IF(Table4[[#This Row],[Impact Sub Score]]&lt;=0,0,IF(Table4[[#This Row],[Scope]]="Unchanged",ROUNDUP(MIN((Table4[[#This Row],[Impact Sub Score]]+Table4[[#This Row],[Exploitability Sub Score]]),10),1),IF(Table4[[#This Row],[Scope]]="Changed",ROUNDUP(MIN((1.08*(Table4[[#This Row],[Impact Sub Score]]+Table4[[#This Row],[Exploitability Sub Score]])),10),1),NA())))</f>
        <v>8.2999999999999989</v>
      </c>
      <c r="V35" s="182" t="s">
        <v>56</v>
      </c>
      <c r="W35" s="198">
        <f>VLOOKUP(Table4[[#This Row],[Threat Event Initiation]],NIST_Scale_LOAI[],2,FALSE)</f>
        <v>0.5</v>
      </c>
      <c r="X3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6.8999999999999995</v>
      </c>
      <c r="Y3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49" t="s">
        <v>311</v>
      </c>
      <c r="AA35" s="188"/>
      <c r="AB35" s="200"/>
      <c r="AC35" s="187"/>
      <c r="AD35" s="187"/>
      <c r="AE35" s="187"/>
      <c r="AF35" s="196"/>
      <c r="AG35" s="196"/>
      <c r="AH35" s="196"/>
      <c r="AI35" s="196"/>
      <c r="AJ35" s="201"/>
      <c r="AK3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5" s="198" t="e">
        <f>(1 - ((1 - VLOOKUP(Table4[[#This Row],[ConfidentialityP]],'Reference - CVSSv3.0'!$B$15:$C$17,2,FALSE)) * (1 - VLOOKUP(Table4[[#This Row],[IntegrityP]],'Reference - CVSSv3.0'!$B$15:$C$17,2,FALSE)) *  (1 - VLOOKUP(Table4[[#This Row],[AvailabilityP]],'Reference - CVSSv3.0'!$B$15:$C$17,2,FALSE))))</f>
        <v>#N/A</v>
      </c>
      <c r="AM35" s="198" t="e">
        <f>IF(Table4[[#This Row],[ScopeP]]="Unchanged",6.42*Table4[[#This Row],[ISC BaseP]],IF(Table4[[#This Row],[ScopeP]]="Changed",7.52*(Table4[[#This Row],[ISC BaseP]] - 0.029) - 3.25 * POWER(Table4[[#This Row],[ISC BaseP]] - 0.02,15),NA()))</f>
        <v>#N/A</v>
      </c>
      <c r="AN3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187"/>
    </row>
    <row r="36" spans="1:43" s="53" customFormat="1" ht="71.25" x14ac:dyDescent="0.25">
      <c r="A36" s="70">
        <v>32</v>
      </c>
      <c r="B36" s="182" t="s">
        <v>127</v>
      </c>
      <c r="C36" s="195" t="str">
        <f>IF(VLOOKUP(Table4[[#This Row],[T ID]],Table5[#All],5,FALSE)="No","Not in scope",VLOOKUP(Table4[[#This Row],[T ID]],Table5[#All],2,FALSE))</f>
        <v>Deliver directed malware
(CAPEC-185)</v>
      </c>
      <c r="D36" s="212" t="s">
        <v>247</v>
      </c>
      <c r="E36" s="195" t="str">
        <f>IF(VLOOKUP(Table4[[#This Row],[V ID]],Vulnerabilities[#All],3,FALSE)="No","Not in scope",VLOOKUP(Table4[[#This Row],[V ID]],Vulnerabilities[#All],2,FALSE))</f>
        <v>Unprotected network port(s) on network devices and connection points</v>
      </c>
      <c r="F36" s="216" t="s">
        <v>112</v>
      </c>
      <c r="G36" s="195" t="str">
        <f>VLOOKUP(Table4[[#This Row],[A ID]],Assets[#All],3,FALSE)</f>
        <v>Tablet Resources - web cam, microphone, OTG devices, Removable USB, Tablet Application,</v>
      </c>
      <c r="H36" s="49" t="s">
        <v>283</v>
      </c>
      <c r="I36" s="49"/>
      <c r="J36" s="87" t="s">
        <v>66</v>
      </c>
      <c r="K36" s="87" t="s">
        <v>66</v>
      </c>
      <c r="L36" s="87" t="s">
        <v>57</v>
      </c>
      <c r="M36" s="196" t="s">
        <v>79</v>
      </c>
      <c r="N36" s="157" t="s">
        <v>57</v>
      </c>
      <c r="O36" s="157" t="s">
        <v>57</v>
      </c>
      <c r="P36" s="196" t="s">
        <v>78</v>
      </c>
      <c r="Q36" s="196" t="s">
        <v>75</v>
      </c>
      <c r="R3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36" s="198">
        <f>(1 - ((1 - VLOOKUP(Table4[[#This Row],[Confidentiality]],'Reference - CVSSv3.0'!$B$15:$C$17,2,FALSE)) * (1 - VLOOKUP(Table4[[#This Row],[Integrity]],'Reference - CVSSv3.0'!$B$15:$C$17,2,FALSE)) *  (1 - VLOOKUP(Table4[[#This Row],[Availability]],'Reference - CVSSv3.0'!$B$15:$C$17,2,FALSE))))</f>
        <v>0.84899199999999997</v>
      </c>
      <c r="T36" s="198">
        <f>IF(Table4[[#This Row],[Scope]]="Unchanged",6.42*Table4[[#This Row],[ISC Base]],IF(Table4[[#This Row],[Scope]]="Changed",7.52*(Table4[[#This Row],[ISC Base]] - 0.029) - 3.25 * POWER(Table4[[#This Row],[ISC Base]] - 0.02,15),NA()))</f>
        <v>5.4505286399999999</v>
      </c>
      <c r="U36" s="198">
        <f>IF(Table4[[#This Row],[Impact Sub Score]]&lt;=0,0,IF(Table4[[#This Row],[Scope]]="Unchanged",ROUNDUP(MIN((Table4[[#This Row],[Impact Sub Score]]+Table4[[#This Row],[Exploitability Sub Score]]),10),1),IF(Table4[[#This Row],[Scope]]="Changed",ROUNDUP(MIN((1.08*(Table4[[#This Row],[Impact Sub Score]]+Table4[[#This Row],[Exploitability Sub Score]])),10),1),NA())))</f>
        <v>8.2999999999999989</v>
      </c>
      <c r="V36" s="182" t="s">
        <v>57</v>
      </c>
      <c r="W36" s="198">
        <f>VLOOKUP(Table4[[#This Row],[Threat Event Initiation]],NIST_Scale_LOAI[],2,FALSE)</f>
        <v>0.2</v>
      </c>
      <c r="X3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3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49" t="s">
        <v>311</v>
      </c>
      <c r="AA36" s="188"/>
      <c r="AB36" s="200"/>
      <c r="AC36" s="187"/>
      <c r="AD36" s="187"/>
      <c r="AE36" s="187"/>
      <c r="AF36" s="196"/>
      <c r="AG36" s="196"/>
      <c r="AH36" s="196"/>
      <c r="AI36" s="196"/>
      <c r="AJ36" s="201"/>
      <c r="AK3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6" s="198" t="e">
        <f>(1 - ((1 - VLOOKUP(Table4[[#This Row],[ConfidentialityP]],'Reference - CVSSv3.0'!$B$15:$C$17,2,FALSE)) * (1 - VLOOKUP(Table4[[#This Row],[IntegrityP]],'Reference - CVSSv3.0'!$B$15:$C$17,2,FALSE)) *  (1 - VLOOKUP(Table4[[#This Row],[AvailabilityP]],'Reference - CVSSv3.0'!$B$15:$C$17,2,FALSE))))</f>
        <v>#N/A</v>
      </c>
      <c r="AM36" s="198" t="e">
        <f>IF(Table4[[#This Row],[ScopeP]]="Unchanged",6.42*Table4[[#This Row],[ISC BaseP]],IF(Table4[[#This Row],[ScopeP]]="Changed",7.52*(Table4[[#This Row],[ISC BaseP]] - 0.029) - 3.25 * POWER(Table4[[#This Row],[ISC BaseP]] - 0.02,15),NA()))</f>
        <v>#N/A</v>
      </c>
      <c r="AN3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187"/>
    </row>
    <row r="37" spans="1:43" s="53" customFormat="1" ht="71.25" x14ac:dyDescent="0.25">
      <c r="A37" s="70">
        <v>33</v>
      </c>
      <c r="B37" s="182" t="s">
        <v>127</v>
      </c>
      <c r="C37" s="195" t="str">
        <f>IF(VLOOKUP(Table4[[#This Row],[T ID]],Table5[#All],5,FALSE)="No","Not in scope",VLOOKUP(Table4[[#This Row],[T ID]],Table5[#All],2,FALSE))</f>
        <v>Deliver directed malware
(CAPEC-185)</v>
      </c>
      <c r="D37" s="212" t="s">
        <v>247</v>
      </c>
      <c r="E37" s="195" t="str">
        <f>IF(VLOOKUP(Table4[[#This Row],[V ID]],Vulnerabilities[#All],3,FALSE)="No","Not in scope",VLOOKUP(Table4[[#This Row],[V ID]],Vulnerabilities[#All],2,FALSE))</f>
        <v>Unprotected network port(s) on network devices and connection points</v>
      </c>
      <c r="F37" s="216" t="s">
        <v>119</v>
      </c>
      <c r="G37" s="195" t="str">
        <f>VLOOKUP(Table4[[#This Row],[A ID]],Assets[#All],3,FALSE)</f>
        <v>Wireless Network device</v>
      </c>
      <c r="H37" s="49" t="s">
        <v>283</v>
      </c>
      <c r="I37" s="49"/>
      <c r="J37" s="87" t="s">
        <v>66</v>
      </c>
      <c r="K37" s="87" t="s">
        <v>66</v>
      </c>
      <c r="L37" s="87" t="s">
        <v>57</v>
      </c>
      <c r="M37" s="196" t="s">
        <v>79</v>
      </c>
      <c r="N37" s="157" t="s">
        <v>57</v>
      </c>
      <c r="O37" s="157" t="s">
        <v>57</v>
      </c>
      <c r="P37" s="196" t="s">
        <v>78</v>
      </c>
      <c r="Q37" s="196" t="s">
        <v>75</v>
      </c>
      <c r="R3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37" s="198">
        <f>(1 - ((1 - VLOOKUP(Table4[[#This Row],[Confidentiality]],'Reference - CVSSv3.0'!$B$15:$C$17,2,FALSE)) * (1 - VLOOKUP(Table4[[#This Row],[Integrity]],'Reference - CVSSv3.0'!$B$15:$C$17,2,FALSE)) *  (1 - VLOOKUP(Table4[[#This Row],[Availability]],'Reference - CVSSv3.0'!$B$15:$C$17,2,FALSE))))</f>
        <v>0.84899199999999997</v>
      </c>
      <c r="T37" s="198">
        <f>IF(Table4[[#This Row],[Scope]]="Unchanged",6.42*Table4[[#This Row],[ISC Base]],IF(Table4[[#This Row],[Scope]]="Changed",7.52*(Table4[[#This Row],[ISC Base]] - 0.029) - 3.25 * POWER(Table4[[#This Row],[ISC Base]] - 0.02,15),NA()))</f>
        <v>5.4505286399999999</v>
      </c>
      <c r="U37" s="198">
        <f>IF(Table4[[#This Row],[Impact Sub Score]]&lt;=0,0,IF(Table4[[#This Row],[Scope]]="Unchanged",ROUNDUP(MIN((Table4[[#This Row],[Impact Sub Score]]+Table4[[#This Row],[Exploitability Sub Score]]),10),1),IF(Table4[[#This Row],[Scope]]="Changed",ROUNDUP(MIN((1.08*(Table4[[#This Row],[Impact Sub Score]]+Table4[[#This Row],[Exploitability Sub Score]])),10),1),NA())))</f>
        <v>8.2999999999999989</v>
      </c>
      <c r="V37" s="182" t="s">
        <v>57</v>
      </c>
      <c r="W37" s="198">
        <f>VLOOKUP(Table4[[#This Row],[Threat Event Initiation]],NIST_Scale_LOAI[],2,FALSE)</f>
        <v>0.2</v>
      </c>
      <c r="X3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3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49" t="s">
        <v>299</v>
      </c>
      <c r="AA37" s="188"/>
      <c r="AB37" s="200"/>
      <c r="AC37" s="187"/>
      <c r="AD37" s="187"/>
      <c r="AE37" s="187"/>
      <c r="AF37" s="196"/>
      <c r="AG37" s="196"/>
      <c r="AH37" s="196"/>
      <c r="AI37" s="196"/>
      <c r="AJ37" s="201"/>
      <c r="AK3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7" s="198" t="e">
        <f>(1 - ((1 - VLOOKUP(Table4[[#This Row],[ConfidentialityP]],'Reference - CVSSv3.0'!$B$15:$C$17,2,FALSE)) * (1 - VLOOKUP(Table4[[#This Row],[IntegrityP]],'Reference - CVSSv3.0'!$B$15:$C$17,2,FALSE)) *  (1 - VLOOKUP(Table4[[#This Row],[AvailabilityP]],'Reference - CVSSv3.0'!$B$15:$C$17,2,FALSE))))</f>
        <v>#N/A</v>
      </c>
      <c r="AM37" s="198" t="e">
        <f>IF(Table4[[#This Row],[ScopeP]]="Unchanged",6.42*Table4[[#This Row],[ISC BaseP]],IF(Table4[[#This Row],[ScopeP]]="Changed",7.52*(Table4[[#This Row],[ISC BaseP]] - 0.029) - 3.25 * POWER(Table4[[#This Row],[ISC BaseP]] - 0.02,15),NA()))</f>
        <v>#N/A</v>
      </c>
      <c r="AN3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187"/>
    </row>
    <row r="38" spans="1:43" s="53" customFormat="1" ht="71.25" x14ac:dyDescent="0.25">
      <c r="A38" s="70">
        <v>34</v>
      </c>
      <c r="B38" s="182" t="s">
        <v>127</v>
      </c>
      <c r="C38" s="195" t="str">
        <f>IF(VLOOKUP(Table4[[#This Row],[T ID]],Table5[#All],5,FALSE)="No","Not in scope",VLOOKUP(Table4[[#This Row],[T ID]],Table5[#All],2,FALSE))</f>
        <v>Deliver directed malware
(CAPEC-185)</v>
      </c>
      <c r="D38" s="212" t="s">
        <v>143</v>
      </c>
      <c r="E38" s="195" t="str">
        <f>IF(VLOOKUP(Table4[[#This Row],[V ID]],Vulnerabilities[#All],3,FALSE)="No","Not in scope",VLOOKUP(Table4[[#This Row],[V ID]],Vulnerabilities[#All],2,FALSE))</f>
        <v>InSecure Configuration for Software/OS on Mobile Devices, Laptops, Workstations, and Servers</v>
      </c>
      <c r="F38" s="216" t="s">
        <v>108</v>
      </c>
      <c r="G38" s="195" t="str">
        <f>VLOOKUP(Table4[[#This Row],[A ID]],Assets[#All],3,FALSE)</f>
        <v>Smart medic app (Stryker Azure Cloud Web Application)</v>
      </c>
      <c r="H38" s="49" t="s">
        <v>283</v>
      </c>
      <c r="I38" s="49"/>
      <c r="J38" s="87" t="s">
        <v>66</v>
      </c>
      <c r="K38" s="87" t="s">
        <v>57</v>
      </c>
      <c r="L38" s="87" t="s">
        <v>57</v>
      </c>
      <c r="M38" s="196" t="s">
        <v>80</v>
      </c>
      <c r="N38" s="157" t="s">
        <v>66</v>
      </c>
      <c r="O38" s="157" t="s">
        <v>57</v>
      </c>
      <c r="P38" s="196" t="s">
        <v>77</v>
      </c>
      <c r="Q38" s="196" t="s">
        <v>75</v>
      </c>
      <c r="R3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0.76466385600000009</v>
      </c>
      <c r="S38" s="198">
        <f>(1 - ((1 - VLOOKUP(Table4[[#This Row],[Confidentiality]],'Reference - CVSSv3.0'!$B$15:$C$17,2,FALSE)) * (1 - VLOOKUP(Table4[[#This Row],[Integrity]],'Reference - CVSSv3.0'!$B$15:$C$17,2,FALSE)) *  (1 - VLOOKUP(Table4[[#This Row],[Availability]],'Reference - CVSSv3.0'!$B$15:$C$17,2,FALSE))))</f>
        <v>0.73230400000000007</v>
      </c>
      <c r="T38" s="198">
        <f>IF(Table4[[#This Row],[Scope]]="Unchanged",6.42*Table4[[#This Row],[ISC Base]],IF(Table4[[#This Row],[Scope]]="Changed",7.52*(Table4[[#This Row],[ISC Base]] - 0.029) - 3.25 * POWER(Table4[[#This Row],[ISC Base]] - 0.02,15),NA()))</f>
        <v>4.7013916800000004</v>
      </c>
      <c r="U3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38" s="182" t="s">
        <v>66</v>
      </c>
      <c r="W38" s="198">
        <f>VLOOKUP(Table4[[#This Row],[Threat Event Initiation]],NIST_Scale_LOAI[],2,FALSE)</f>
        <v>0.8</v>
      </c>
      <c r="X3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3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49" t="s">
        <v>312</v>
      </c>
      <c r="AA38" s="188"/>
      <c r="AB38" s="200"/>
      <c r="AC38" s="187"/>
      <c r="AD38" s="187"/>
      <c r="AE38" s="187"/>
      <c r="AF38" s="196"/>
      <c r="AG38" s="196"/>
      <c r="AH38" s="196"/>
      <c r="AI38" s="196"/>
      <c r="AJ38" s="201"/>
      <c r="AK3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8" s="198" t="e">
        <f>(1 - ((1 - VLOOKUP(Table4[[#This Row],[ConfidentialityP]],'Reference - CVSSv3.0'!$B$15:$C$17,2,FALSE)) * (1 - VLOOKUP(Table4[[#This Row],[IntegrityP]],'Reference - CVSSv3.0'!$B$15:$C$17,2,FALSE)) *  (1 - VLOOKUP(Table4[[#This Row],[AvailabilityP]],'Reference - CVSSv3.0'!$B$15:$C$17,2,FALSE))))</f>
        <v>#N/A</v>
      </c>
      <c r="AM38" s="198" t="e">
        <f>IF(Table4[[#This Row],[ScopeP]]="Unchanged",6.42*Table4[[#This Row],[ISC BaseP]],IF(Table4[[#This Row],[ScopeP]]="Changed",7.52*(Table4[[#This Row],[ISC BaseP]] - 0.029) - 3.25 * POWER(Table4[[#This Row],[ISC BaseP]] - 0.02,15),NA()))</f>
        <v>#N/A</v>
      </c>
      <c r="AN3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187"/>
    </row>
    <row r="39" spans="1:43" s="53" customFormat="1" ht="71.25" x14ac:dyDescent="0.25">
      <c r="A39" s="70">
        <v>35</v>
      </c>
      <c r="B39" s="182" t="s">
        <v>127</v>
      </c>
      <c r="C39" s="195" t="str">
        <f>IF(VLOOKUP(Table4[[#This Row],[T ID]],Table5[#All],5,FALSE)="No","Not in scope",VLOOKUP(Table4[[#This Row],[T ID]],Table5[#All],2,FALSE))</f>
        <v>Deliver directed malware
(CAPEC-185)</v>
      </c>
      <c r="D39" s="212" t="s">
        <v>143</v>
      </c>
      <c r="E39" s="195" t="str">
        <f>IF(VLOOKUP(Table4[[#This Row],[V ID]],Vulnerabilities[#All],3,FALSE)="No","Not in scope",VLOOKUP(Table4[[#This Row],[V ID]],Vulnerabilities[#All],2,FALSE))</f>
        <v>InSecure Configuration for Software/OS on Mobile Devices, Laptops, Workstations, and Servers</v>
      </c>
      <c r="F39" s="216" t="s">
        <v>112</v>
      </c>
      <c r="G39" s="195" t="str">
        <f>VLOOKUP(Table4[[#This Row],[A ID]],Assets[#All],3,FALSE)</f>
        <v>Tablet Resources - web cam, microphone, OTG devices, Removable USB, Tablet Application,</v>
      </c>
      <c r="H39" s="49" t="s">
        <v>283</v>
      </c>
      <c r="I39" s="49"/>
      <c r="J39" s="87" t="s">
        <v>57</v>
      </c>
      <c r="K39" s="87" t="s">
        <v>57</v>
      </c>
      <c r="L39" s="87" t="s">
        <v>57</v>
      </c>
      <c r="M39" s="196" t="s">
        <v>80</v>
      </c>
      <c r="N39" s="157" t="s">
        <v>57</v>
      </c>
      <c r="O39" s="157" t="s">
        <v>57</v>
      </c>
      <c r="P39" s="196" t="s">
        <v>77</v>
      </c>
      <c r="Q39" s="196" t="s">
        <v>75</v>
      </c>
      <c r="R3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39" s="198">
        <f>(1 - ((1 - VLOOKUP(Table4[[#This Row],[Confidentiality]],'Reference - CVSSv3.0'!$B$15:$C$17,2,FALSE)) * (1 - VLOOKUP(Table4[[#This Row],[Integrity]],'Reference - CVSSv3.0'!$B$15:$C$17,2,FALSE)) *  (1 - VLOOKUP(Table4[[#This Row],[Availability]],'Reference - CVSSv3.0'!$B$15:$C$17,2,FALSE))))</f>
        <v>0.52544799999999992</v>
      </c>
      <c r="T39" s="198">
        <f>IF(Table4[[#This Row],[Scope]]="Unchanged",6.42*Table4[[#This Row],[ISC Base]],IF(Table4[[#This Row],[Scope]]="Changed",7.52*(Table4[[#This Row],[ISC Base]] - 0.029) - 3.25 * POWER(Table4[[#This Row],[ISC Base]] - 0.02,15),NA()))</f>
        <v>3.3733761599999994</v>
      </c>
      <c r="U39"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39" s="182" t="s">
        <v>57</v>
      </c>
      <c r="W39" s="198">
        <f>VLOOKUP(Table4[[#This Row],[Threat Event Initiation]],NIST_Scale_LOAI[],2,FALSE)</f>
        <v>0.2</v>
      </c>
      <c r="X3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49" t="s">
        <v>311</v>
      </c>
      <c r="AA39" s="188"/>
      <c r="AB39" s="200"/>
      <c r="AC39" s="187"/>
      <c r="AD39" s="187"/>
      <c r="AE39" s="187"/>
      <c r="AF39" s="196"/>
      <c r="AG39" s="196"/>
      <c r="AH39" s="196"/>
      <c r="AI39" s="196"/>
      <c r="AJ39" s="201"/>
      <c r="AK3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39" s="198" t="e">
        <f>(1 - ((1 - VLOOKUP(Table4[[#This Row],[ConfidentialityP]],'Reference - CVSSv3.0'!$B$15:$C$17,2,FALSE)) * (1 - VLOOKUP(Table4[[#This Row],[IntegrityP]],'Reference - CVSSv3.0'!$B$15:$C$17,2,FALSE)) *  (1 - VLOOKUP(Table4[[#This Row],[AvailabilityP]],'Reference - CVSSv3.0'!$B$15:$C$17,2,FALSE))))</f>
        <v>#N/A</v>
      </c>
      <c r="AM39" s="198" t="e">
        <f>IF(Table4[[#This Row],[ScopeP]]="Unchanged",6.42*Table4[[#This Row],[ISC BaseP]],IF(Table4[[#This Row],[ScopeP]]="Changed",7.52*(Table4[[#This Row],[ISC BaseP]] - 0.029) - 3.25 * POWER(Table4[[#This Row],[ISC BaseP]] - 0.02,15),NA()))</f>
        <v>#N/A</v>
      </c>
      <c r="AN3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187"/>
    </row>
    <row r="40" spans="1:43" s="53" customFormat="1" ht="79.5" customHeight="1" x14ac:dyDescent="0.25">
      <c r="A40" s="70">
        <v>36</v>
      </c>
      <c r="B40" s="182" t="s">
        <v>127</v>
      </c>
      <c r="C40" s="85" t="str">
        <f>IF(VLOOKUP(Table4[[#This Row],[T ID]],Table5[#All],5,FALSE)="No","Not in scope",VLOOKUP(Table4[[#This Row],[T ID]],Table5[#All],2,FALSE))</f>
        <v>Deliver directed malware
(CAPEC-185)</v>
      </c>
      <c r="D40" s="212" t="s">
        <v>251</v>
      </c>
      <c r="E40" s="85" t="str">
        <f>IF(VLOOKUP(Table4[[#This Row],[V ID]],Vulnerabilities[#All],3,FALSE)="No","Not in scope",VLOOKUP(Table4[[#This Row],[V ID]],Vulnerabilities[#All],2,FALSE))</f>
        <v>Unencrypted data at rest in all possible locations</v>
      </c>
      <c r="F40" s="215" t="s">
        <v>112</v>
      </c>
      <c r="G40" s="86" t="str">
        <f>VLOOKUP(Table4[[#This Row],[A ID]],Assets[#All],3,FALSE)</f>
        <v>Tablet Resources - web cam, microphone, OTG devices, Removable USB, Tablet Application,</v>
      </c>
      <c r="H40" s="49" t="s">
        <v>283</v>
      </c>
      <c r="I40" s="49"/>
      <c r="J40" s="87" t="s">
        <v>57</v>
      </c>
      <c r="K40" s="87" t="s">
        <v>57</v>
      </c>
      <c r="L40" s="87" t="s">
        <v>57</v>
      </c>
      <c r="M40" s="196" t="s">
        <v>80</v>
      </c>
      <c r="N40" s="157" t="s">
        <v>57</v>
      </c>
      <c r="O40" s="157" t="s">
        <v>57</v>
      </c>
      <c r="P40" s="196" t="s">
        <v>78</v>
      </c>
      <c r="Q40" s="196" t="s">
        <v>75</v>
      </c>
      <c r="R40"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40" s="161">
        <f>(1 - ((1 - VLOOKUP(Table4[[#This Row],[Confidentiality]],'Reference - CVSSv3.0'!$B$15:$C$17,2,FALSE)) * (1 - VLOOKUP(Table4[[#This Row],[Integrity]],'Reference - CVSSv3.0'!$B$15:$C$17,2,FALSE)) *  (1 - VLOOKUP(Table4[[#This Row],[Availability]],'Reference - CVSSv3.0'!$B$15:$C$17,2,FALSE))))</f>
        <v>0.52544799999999992</v>
      </c>
      <c r="T40" s="161">
        <f>IF(Table4[[#This Row],[Scope]]="Unchanged",6.42*Table4[[#This Row],[ISC Base]],IF(Table4[[#This Row],[Scope]]="Changed",7.52*(Table4[[#This Row],[ISC Base]] - 0.029) - 3.25 * POWER(Table4[[#This Row],[ISC Base]] - 0.02,15),NA()))</f>
        <v>3.3733761599999994</v>
      </c>
      <c r="U40" s="16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182" t="s">
        <v>57</v>
      </c>
      <c r="W40" s="183">
        <f>VLOOKUP(Table4[[#This Row],[Threat Event Initiation]],NIST_Scale_LOAI[],2,FALSE)</f>
        <v>0.2</v>
      </c>
      <c r="X40"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49" t="s">
        <v>311</v>
      </c>
      <c r="AA40" s="49"/>
      <c r="AB40" s="88"/>
      <c r="AC40" s="87" t="s">
        <v>57</v>
      </c>
      <c r="AD40" s="87" t="s">
        <v>78</v>
      </c>
      <c r="AE40" s="87" t="s">
        <v>57</v>
      </c>
      <c r="AF40" s="157" t="s">
        <v>76</v>
      </c>
      <c r="AG40" s="157" t="s">
        <v>57</v>
      </c>
      <c r="AH40" s="157" t="s">
        <v>57</v>
      </c>
      <c r="AI40" s="157" t="s">
        <v>78</v>
      </c>
      <c r="AJ40" s="157" t="s">
        <v>75</v>
      </c>
      <c r="AK40" s="161">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0.66711876000000003</v>
      </c>
      <c r="AL40" s="161">
        <f>(1 - ((1 - VLOOKUP(Table4[[#This Row],[ConfidentialityP]],'Reference - CVSSv3.0'!$B$15:$C$17,2,FALSE)) * (1 - VLOOKUP(Table4[[#This Row],[IntegrityP]],'Reference - CVSSv3.0'!$B$15:$C$17,2,FALSE)) *  (1 - VLOOKUP(Table4[[#This Row],[AvailabilityP]],'Reference - CVSSv3.0'!$B$15:$C$17,2,FALSE))))</f>
        <v>0.39159999999999995</v>
      </c>
      <c r="AM40" s="161">
        <f>IF(Table4[[#This Row],[ScopeP]]="Unchanged",6.42*Table4[[#This Row],[ISC BaseP]],IF(Table4[[#This Row],[ScopeP]]="Changed",7.52*(Table4[[#This Row],[ISC BaseP]] - 0.029) - 3.25 * POWER(Table4[[#This Row],[ISC BaseP]] - 0.02,15),NA()))</f>
        <v>2.5140719999999996</v>
      </c>
      <c r="AN40" s="161">
        <f>IF(Table4[[#This Row],[Impact Sub ScoreP]]&lt;=0,0,IF(Table4[[#This Row],[ScopeP]]="Unchanged",ROUNDUP(MIN((Table4[[#This Row],[Impact Sub ScoreP]]+Table4[[#This Row],[Exploitability Sub ScoreP]]),10),1),IF(Table4[[#This Row],[ScopeP]]="Changed",ROUNDUP(MIN((1.08*(Table4[[#This Row],[Impact Sub ScoreP]]+Table4[[#This Row],[Exploitability Sub ScoreP]])),10),1),NA())))</f>
        <v>3.2</v>
      </c>
      <c r="AO40"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2.7</v>
      </c>
      <c r="AP40"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0" s="59"/>
    </row>
    <row r="41" spans="1:43" s="53" customFormat="1" ht="71.25" x14ac:dyDescent="0.25">
      <c r="A41" s="70">
        <v>37</v>
      </c>
      <c r="B41" s="182" t="s">
        <v>127</v>
      </c>
      <c r="C41" s="195" t="str">
        <f>IF(VLOOKUP(Table4[[#This Row],[T ID]],Table5[#All],5,FALSE)="No","Not in scope",VLOOKUP(Table4[[#This Row],[T ID]],Table5[#All],2,FALSE))</f>
        <v>Deliver directed malware
(CAPEC-185)</v>
      </c>
      <c r="D41" s="212" t="s">
        <v>251</v>
      </c>
      <c r="E41" s="195" t="str">
        <f>IF(VLOOKUP(Table4[[#This Row],[V ID]],Vulnerabilities[#All],3,FALSE)="No","Not in scope",VLOOKUP(Table4[[#This Row],[V ID]],Vulnerabilities[#All],2,FALSE))</f>
        <v>Unencrypted data at rest in all possible locations</v>
      </c>
      <c r="F41" s="213" t="s">
        <v>113</v>
      </c>
      <c r="G41" s="195" t="str">
        <f>VLOOKUP(Table4[[#This Row],[A ID]],Assets[#All],3,FALSE)</f>
        <v>Tablet OS/network details &amp; Tablet Application</v>
      </c>
      <c r="H41" s="49" t="s">
        <v>283</v>
      </c>
      <c r="I41" s="49"/>
      <c r="J41" s="87" t="s">
        <v>57</v>
      </c>
      <c r="K41" s="87" t="s">
        <v>57</v>
      </c>
      <c r="L41" s="87" t="s">
        <v>57</v>
      </c>
      <c r="M41" s="196" t="s">
        <v>80</v>
      </c>
      <c r="N41" s="157" t="s">
        <v>57</v>
      </c>
      <c r="O41" s="157" t="s">
        <v>57</v>
      </c>
      <c r="P41" s="196" t="s">
        <v>78</v>
      </c>
      <c r="Q41" s="196" t="s">
        <v>75</v>
      </c>
      <c r="R4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41" s="198">
        <f>(1 - ((1 - VLOOKUP(Table4[[#This Row],[Confidentiality]],'Reference - CVSSv3.0'!$B$15:$C$17,2,FALSE)) * (1 - VLOOKUP(Table4[[#This Row],[Integrity]],'Reference - CVSSv3.0'!$B$15:$C$17,2,FALSE)) *  (1 - VLOOKUP(Table4[[#This Row],[Availability]],'Reference - CVSSv3.0'!$B$15:$C$17,2,FALSE))))</f>
        <v>0.52544799999999992</v>
      </c>
      <c r="T41" s="198">
        <f>IF(Table4[[#This Row],[Scope]]="Unchanged",6.42*Table4[[#This Row],[ISC Base]],IF(Table4[[#This Row],[Scope]]="Changed",7.52*(Table4[[#This Row],[ISC Base]] - 0.029) - 3.25 * POWER(Table4[[#This Row],[ISC Base]] - 0.02,15),NA()))</f>
        <v>3.3733761599999994</v>
      </c>
      <c r="U41"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182" t="s">
        <v>57</v>
      </c>
      <c r="W41" s="198">
        <f>VLOOKUP(Table4[[#This Row],[Threat Event Initiation]],NIST_Scale_LOAI[],2,FALSE)</f>
        <v>0.2</v>
      </c>
      <c r="X4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49" t="s">
        <v>311</v>
      </c>
      <c r="AA41" s="188"/>
      <c r="AB41" s="200"/>
      <c r="AC41" s="187"/>
      <c r="AD41" s="187"/>
      <c r="AE41" s="187"/>
      <c r="AF41" s="196"/>
      <c r="AG41" s="196"/>
      <c r="AH41" s="196"/>
      <c r="AI41" s="196"/>
      <c r="AJ41" s="201"/>
      <c r="AK4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1" s="198" t="e">
        <f>(1 - ((1 - VLOOKUP(Table4[[#This Row],[ConfidentialityP]],'Reference - CVSSv3.0'!$B$15:$C$17,2,FALSE)) * (1 - VLOOKUP(Table4[[#This Row],[IntegrityP]],'Reference - CVSSv3.0'!$B$15:$C$17,2,FALSE)) *  (1 - VLOOKUP(Table4[[#This Row],[AvailabilityP]],'Reference - CVSSv3.0'!$B$15:$C$17,2,FALSE))))</f>
        <v>#N/A</v>
      </c>
      <c r="AM41" s="198" t="e">
        <f>IF(Table4[[#This Row],[ScopeP]]="Unchanged",6.42*Table4[[#This Row],[ISC BaseP]],IF(Table4[[#This Row],[ScopeP]]="Changed",7.52*(Table4[[#This Row],[ISC BaseP]] - 0.029) - 3.25 * POWER(Table4[[#This Row],[ISC BaseP]] - 0.02,15),NA()))</f>
        <v>#N/A</v>
      </c>
      <c r="AN4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187"/>
    </row>
    <row r="42" spans="1:43" s="53" customFormat="1" ht="99.75" x14ac:dyDescent="0.25">
      <c r="A42" s="70">
        <v>38</v>
      </c>
      <c r="B42" s="182" t="s">
        <v>127</v>
      </c>
      <c r="C42" s="195" t="str">
        <f>IF(VLOOKUP(Table4[[#This Row],[T ID]],Table5[#All],5,FALSE)="No","Not in scope",VLOOKUP(Table4[[#This Row],[T ID]],Table5[#All],2,FALSE))</f>
        <v>Deliver directed malware
(CAPEC-185)</v>
      </c>
      <c r="D42" s="212" t="s">
        <v>251</v>
      </c>
      <c r="E42" s="195" t="str">
        <f>IF(VLOOKUP(Table4[[#This Row],[V ID]],Vulnerabilities[#All],3,FALSE)="No","Not in scope",VLOOKUP(Table4[[#This Row],[V ID]],Vulnerabilities[#All],2,FALSE))</f>
        <v>Unencrypted data at rest in all possible locations</v>
      </c>
      <c r="F42" s="216" t="s">
        <v>108</v>
      </c>
      <c r="G42" s="195" t="str">
        <f>VLOOKUP(Table4[[#This Row],[A ID]],Assets[#All],3,FALSE)</f>
        <v>Smart medic app (Stryker Azure Cloud Web Application)</v>
      </c>
      <c r="H42" s="49" t="s">
        <v>283</v>
      </c>
      <c r="I42" s="49"/>
      <c r="J42" s="87" t="s">
        <v>57</v>
      </c>
      <c r="K42" s="87" t="s">
        <v>57</v>
      </c>
      <c r="L42" s="87" t="s">
        <v>57</v>
      </c>
      <c r="M42" s="196" t="s">
        <v>80</v>
      </c>
      <c r="N42" s="157" t="s">
        <v>57</v>
      </c>
      <c r="O42" s="157" t="s">
        <v>57</v>
      </c>
      <c r="P42" s="196" t="s">
        <v>78</v>
      </c>
      <c r="Q42" s="196" t="s">
        <v>75</v>
      </c>
      <c r="R4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42" s="198">
        <f>(1 - ((1 - VLOOKUP(Table4[[#This Row],[Confidentiality]],'Reference - CVSSv3.0'!$B$15:$C$17,2,FALSE)) * (1 - VLOOKUP(Table4[[#This Row],[Integrity]],'Reference - CVSSv3.0'!$B$15:$C$17,2,FALSE)) *  (1 - VLOOKUP(Table4[[#This Row],[Availability]],'Reference - CVSSv3.0'!$B$15:$C$17,2,FALSE))))</f>
        <v>0.52544799999999992</v>
      </c>
      <c r="T42" s="198">
        <f>IF(Table4[[#This Row],[Scope]]="Unchanged",6.42*Table4[[#This Row],[ISC Base]],IF(Table4[[#This Row],[Scope]]="Changed",7.52*(Table4[[#This Row],[ISC Base]] - 0.029) - 3.25 * POWER(Table4[[#This Row],[ISC Base]] - 0.02,15),NA()))</f>
        <v>3.3733761599999994</v>
      </c>
      <c r="U42"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42" s="182" t="s">
        <v>57</v>
      </c>
      <c r="W42" s="198">
        <f>VLOOKUP(Table4[[#This Row],[Threat Event Initiation]],NIST_Scale_LOAI[],2,FALSE)</f>
        <v>0.2</v>
      </c>
      <c r="X4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49" t="s">
        <v>313</v>
      </c>
      <c r="AA42" s="188"/>
      <c r="AB42" s="200"/>
      <c r="AC42" s="187"/>
      <c r="AD42" s="187"/>
      <c r="AE42" s="187"/>
      <c r="AF42" s="196"/>
      <c r="AG42" s="196"/>
      <c r="AH42" s="196"/>
      <c r="AI42" s="196"/>
      <c r="AJ42" s="201"/>
      <c r="AK4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2" s="198" t="e">
        <f>(1 - ((1 - VLOOKUP(Table4[[#This Row],[ConfidentialityP]],'Reference - CVSSv3.0'!$B$15:$C$17,2,FALSE)) * (1 - VLOOKUP(Table4[[#This Row],[IntegrityP]],'Reference - CVSSv3.0'!$B$15:$C$17,2,FALSE)) *  (1 - VLOOKUP(Table4[[#This Row],[AvailabilityP]],'Reference - CVSSv3.0'!$B$15:$C$17,2,FALSE))))</f>
        <v>#N/A</v>
      </c>
      <c r="AM42" s="198" t="e">
        <f>IF(Table4[[#This Row],[ScopeP]]="Unchanged",6.42*Table4[[#This Row],[ISC BaseP]],IF(Table4[[#This Row],[ScopeP]]="Changed",7.52*(Table4[[#This Row],[ISC BaseP]] - 0.029) - 3.25 * POWER(Table4[[#This Row],[ISC BaseP]] - 0.02,15),NA()))</f>
        <v>#N/A</v>
      </c>
      <c r="AN4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187"/>
    </row>
    <row r="43" spans="1:43" s="53" customFormat="1" ht="57" x14ac:dyDescent="0.25">
      <c r="A43" s="70">
        <v>39</v>
      </c>
      <c r="B43" s="182" t="s">
        <v>128</v>
      </c>
      <c r="C43" s="195" t="str">
        <f>IF(VLOOKUP(Table4[[#This Row],[T ID]],Table5[#All],5,FALSE)="No","Not in scope",VLOOKUP(Table4[[#This Row],[T ID]],Table5[#All],2,FALSE))</f>
        <v>Gaining Access
([S]TRID[E])</v>
      </c>
      <c r="D43" s="212" t="s">
        <v>247</v>
      </c>
      <c r="E43" s="195" t="str">
        <f>IF(VLOOKUP(Table4[[#This Row],[V ID]],Vulnerabilities[#All],3,FALSE)="No","Not in scope",VLOOKUP(Table4[[#This Row],[V ID]],Vulnerabilities[#All],2,FALSE))</f>
        <v>Unprotected network port(s) on network devices and connection points</v>
      </c>
      <c r="F43" s="213" t="s">
        <v>113</v>
      </c>
      <c r="G43" s="195" t="str">
        <f>VLOOKUP(Table4[[#This Row],[A ID]],Assets[#All],3,FALSE)</f>
        <v>Tablet OS/network details &amp; Tablet Application</v>
      </c>
      <c r="H43" s="49" t="s">
        <v>284</v>
      </c>
      <c r="I43" s="49"/>
      <c r="J43" s="87" t="s">
        <v>66</v>
      </c>
      <c r="K43" s="87" t="s">
        <v>57</v>
      </c>
      <c r="L43" s="87" t="s">
        <v>57</v>
      </c>
      <c r="M43" s="196" t="s">
        <v>79</v>
      </c>
      <c r="N43" s="157" t="s">
        <v>57</v>
      </c>
      <c r="O43" s="157" t="s">
        <v>57</v>
      </c>
      <c r="P43" s="196" t="s">
        <v>78</v>
      </c>
      <c r="Q43" s="196" t="s">
        <v>75</v>
      </c>
      <c r="R4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43" s="198">
        <f>(1 - ((1 - VLOOKUP(Table4[[#This Row],[Confidentiality]],'Reference - CVSSv3.0'!$B$15:$C$17,2,FALSE)) * (1 - VLOOKUP(Table4[[#This Row],[Integrity]],'Reference - CVSSv3.0'!$B$15:$C$17,2,FALSE)) *  (1 - VLOOKUP(Table4[[#This Row],[Availability]],'Reference - CVSSv3.0'!$B$15:$C$17,2,FALSE))))</f>
        <v>0.73230400000000007</v>
      </c>
      <c r="T43" s="198">
        <f>IF(Table4[[#This Row],[Scope]]="Unchanged",6.42*Table4[[#This Row],[ISC Base]],IF(Table4[[#This Row],[Scope]]="Changed",7.52*(Table4[[#This Row],[ISC Base]] - 0.029) - 3.25 * POWER(Table4[[#This Row],[ISC Base]] - 0.02,15),NA()))</f>
        <v>4.7013916800000004</v>
      </c>
      <c r="U43"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43" s="182" t="s">
        <v>57</v>
      </c>
      <c r="W43" s="198">
        <f>VLOOKUP(Table4[[#This Row],[Threat Event Initiation]],NIST_Scale_LOAI[],2,FALSE)</f>
        <v>0.2</v>
      </c>
      <c r="X4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4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49" t="s">
        <v>311</v>
      </c>
      <c r="AA43" s="188"/>
      <c r="AB43" s="200"/>
      <c r="AC43" s="187"/>
      <c r="AD43" s="187"/>
      <c r="AE43" s="187"/>
      <c r="AF43" s="196"/>
      <c r="AG43" s="196"/>
      <c r="AH43" s="196"/>
      <c r="AI43" s="196"/>
      <c r="AJ43" s="201"/>
      <c r="AK4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3" s="198" t="e">
        <f>(1 - ((1 - VLOOKUP(Table4[[#This Row],[ConfidentialityP]],'Reference - CVSSv3.0'!$B$15:$C$17,2,FALSE)) * (1 - VLOOKUP(Table4[[#This Row],[IntegrityP]],'Reference - CVSSv3.0'!$B$15:$C$17,2,FALSE)) *  (1 - VLOOKUP(Table4[[#This Row],[AvailabilityP]],'Reference - CVSSv3.0'!$B$15:$C$17,2,FALSE))))</f>
        <v>#N/A</v>
      </c>
      <c r="AM43" s="198" t="e">
        <f>IF(Table4[[#This Row],[ScopeP]]="Unchanged",6.42*Table4[[#This Row],[ISC BaseP]],IF(Table4[[#This Row],[ScopeP]]="Changed",7.52*(Table4[[#This Row],[ISC BaseP]] - 0.029) - 3.25 * POWER(Table4[[#This Row],[ISC BaseP]] - 0.02,15),NA()))</f>
        <v>#N/A</v>
      </c>
      <c r="AN4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187"/>
    </row>
    <row r="44" spans="1:43" s="53" customFormat="1" ht="171" x14ac:dyDescent="0.25">
      <c r="A44" s="70">
        <v>40</v>
      </c>
      <c r="B44" s="182" t="s">
        <v>128</v>
      </c>
      <c r="C44" s="195" t="str">
        <f>IF(VLOOKUP(Table4[[#This Row],[T ID]],Table5[#All],5,FALSE)="No","Not in scope",VLOOKUP(Table4[[#This Row],[T ID]],Table5[#All],2,FALSE))</f>
        <v>Gaining Access
([S]TRID[E])</v>
      </c>
      <c r="D44" s="212" t="s">
        <v>247</v>
      </c>
      <c r="E44" s="195" t="str">
        <f>IF(VLOOKUP(Table4[[#This Row],[V ID]],Vulnerabilities[#All],3,FALSE)="No","Not in scope",VLOOKUP(Table4[[#This Row],[V ID]],Vulnerabilities[#All],2,FALSE))</f>
        <v>Unprotected network port(s) on network devices and connection points</v>
      </c>
      <c r="F44" s="216" t="s">
        <v>108</v>
      </c>
      <c r="G44" s="195" t="str">
        <f>VLOOKUP(Table4[[#This Row],[A ID]],Assets[#All],3,FALSE)</f>
        <v>Smart medic app (Stryker Azure Cloud Web Application)</v>
      </c>
      <c r="H44" s="49" t="s">
        <v>284</v>
      </c>
      <c r="I44" s="49"/>
      <c r="J44" s="87" t="s">
        <v>66</v>
      </c>
      <c r="K44" s="87" t="s">
        <v>57</v>
      </c>
      <c r="L44" s="87" t="s">
        <v>57</v>
      </c>
      <c r="M44" s="196" t="s">
        <v>79</v>
      </c>
      <c r="N44" s="157" t="s">
        <v>57</v>
      </c>
      <c r="O44" s="157" t="s">
        <v>57</v>
      </c>
      <c r="P44" s="196" t="s">
        <v>78</v>
      </c>
      <c r="Q44" s="196" t="s">
        <v>75</v>
      </c>
      <c r="R4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44" s="198">
        <f>(1 - ((1 - VLOOKUP(Table4[[#This Row],[Confidentiality]],'Reference - CVSSv3.0'!$B$15:$C$17,2,FALSE)) * (1 - VLOOKUP(Table4[[#This Row],[Integrity]],'Reference - CVSSv3.0'!$B$15:$C$17,2,FALSE)) *  (1 - VLOOKUP(Table4[[#This Row],[Availability]],'Reference - CVSSv3.0'!$B$15:$C$17,2,FALSE))))</f>
        <v>0.73230400000000007</v>
      </c>
      <c r="T44" s="198">
        <f>IF(Table4[[#This Row],[Scope]]="Unchanged",6.42*Table4[[#This Row],[ISC Base]],IF(Table4[[#This Row],[Scope]]="Changed",7.52*(Table4[[#This Row],[ISC Base]] - 0.029) - 3.25 * POWER(Table4[[#This Row],[ISC Base]] - 0.02,15),NA()))</f>
        <v>4.7013916800000004</v>
      </c>
      <c r="U44"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44" s="182" t="s">
        <v>66</v>
      </c>
      <c r="W44" s="198">
        <f>VLOOKUP(Table4[[#This Row],[Threat Event Initiation]],NIST_Scale_LOAI[],2,FALSE)</f>
        <v>0.8</v>
      </c>
      <c r="X4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v>
      </c>
      <c r="Y4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44" s="49" t="s">
        <v>300</v>
      </c>
      <c r="AA44" s="188"/>
      <c r="AB44" s="200"/>
      <c r="AC44" s="187"/>
      <c r="AD44" s="187"/>
      <c r="AE44" s="187"/>
      <c r="AF44" s="196"/>
      <c r="AG44" s="196"/>
      <c r="AH44" s="196"/>
      <c r="AI44" s="196"/>
      <c r="AJ44" s="201"/>
      <c r="AK4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4" s="198" t="e">
        <f>(1 - ((1 - VLOOKUP(Table4[[#This Row],[ConfidentialityP]],'Reference - CVSSv3.0'!$B$15:$C$17,2,FALSE)) * (1 - VLOOKUP(Table4[[#This Row],[IntegrityP]],'Reference - CVSSv3.0'!$B$15:$C$17,2,FALSE)) *  (1 - VLOOKUP(Table4[[#This Row],[AvailabilityP]],'Reference - CVSSv3.0'!$B$15:$C$17,2,FALSE))))</f>
        <v>#N/A</v>
      </c>
      <c r="AM44" s="198" t="e">
        <f>IF(Table4[[#This Row],[ScopeP]]="Unchanged",6.42*Table4[[#This Row],[ISC BaseP]],IF(Table4[[#This Row],[ScopeP]]="Changed",7.52*(Table4[[#This Row],[ISC BaseP]] - 0.029) - 3.25 * POWER(Table4[[#This Row],[ISC BaseP]] - 0.02,15),NA()))</f>
        <v>#N/A</v>
      </c>
      <c r="AN4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187"/>
    </row>
    <row r="45" spans="1:43" s="53" customFormat="1" ht="57" x14ac:dyDescent="0.25">
      <c r="A45" s="70">
        <v>41</v>
      </c>
      <c r="B45" s="182" t="s">
        <v>128</v>
      </c>
      <c r="C45" s="85" t="str">
        <f>IF(VLOOKUP(Table4[[#This Row],[T ID]],Table5[#All],5,FALSE)="No","Not in scope",VLOOKUP(Table4[[#This Row],[T ID]],Table5[#All],2,FALSE))</f>
        <v>Gaining Access
([S]TRID[E])</v>
      </c>
      <c r="D45" s="212" t="s">
        <v>247</v>
      </c>
      <c r="E45" s="85" t="str">
        <f>IF(VLOOKUP(Table4[[#This Row],[V ID]],Vulnerabilities[#All],3,FALSE)="No","Not in scope",VLOOKUP(Table4[[#This Row],[V ID]],Vulnerabilities[#All],2,FALSE))</f>
        <v>Unprotected network port(s) on network devices and connection points</v>
      </c>
      <c r="F45" s="215" t="s">
        <v>112</v>
      </c>
      <c r="G45" s="86" t="str">
        <f>VLOOKUP(Table4[[#This Row],[A ID]],Assets[#All],3,FALSE)</f>
        <v>Tablet Resources - web cam, microphone, OTG devices, Removable USB, Tablet Application,</v>
      </c>
      <c r="H45" s="49" t="s">
        <v>284</v>
      </c>
      <c r="I45" s="49"/>
      <c r="J45" s="87" t="s">
        <v>66</v>
      </c>
      <c r="K45" s="87" t="s">
        <v>57</v>
      </c>
      <c r="L45" s="87" t="s">
        <v>57</v>
      </c>
      <c r="M45" s="196" t="s">
        <v>79</v>
      </c>
      <c r="N45" s="157" t="s">
        <v>57</v>
      </c>
      <c r="O45" s="157" t="s">
        <v>57</v>
      </c>
      <c r="P45" s="196" t="s">
        <v>78</v>
      </c>
      <c r="Q45" s="196" t="s">
        <v>75</v>
      </c>
      <c r="R45"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45" s="161">
        <f>(1 - ((1 - VLOOKUP(Table4[[#This Row],[Confidentiality]],'Reference - CVSSv3.0'!$B$15:$C$17,2,FALSE)) * (1 - VLOOKUP(Table4[[#This Row],[Integrity]],'Reference - CVSSv3.0'!$B$15:$C$17,2,FALSE)) *  (1 - VLOOKUP(Table4[[#This Row],[Availability]],'Reference - CVSSv3.0'!$B$15:$C$17,2,FALSE))))</f>
        <v>0.73230400000000007</v>
      </c>
      <c r="T45" s="161">
        <f>IF(Table4[[#This Row],[Scope]]="Unchanged",6.42*Table4[[#This Row],[ISC Base]],IF(Table4[[#This Row],[Scope]]="Changed",7.52*(Table4[[#This Row],[ISC Base]] - 0.029) - 3.25 * POWER(Table4[[#This Row],[ISC Base]] - 0.02,15),NA()))</f>
        <v>4.7013916800000004</v>
      </c>
      <c r="U45" s="161">
        <f>IF(Table4[[#This Row],[Impact Sub Score]]&lt;=0,0,IF(Table4[[#This Row],[Scope]]="Unchanged",ROUNDUP(MIN((Table4[[#This Row],[Impact Sub Score]]+Table4[[#This Row],[Exploitability Sub Score]]),10),1),IF(Table4[[#This Row],[Scope]]="Changed",ROUNDUP(MIN((1.08*(Table4[[#This Row],[Impact Sub Score]]+Table4[[#This Row],[Exploitability Sub Score]])),10),1),NA())))</f>
        <v>7.6</v>
      </c>
      <c r="V45" s="182" t="s">
        <v>57</v>
      </c>
      <c r="W45" s="183">
        <f>VLOOKUP(Table4[[#This Row],[Threat Event Initiation]],NIST_Scale_LOAI[],2,FALSE)</f>
        <v>0.2</v>
      </c>
      <c r="X45"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45"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49" t="s">
        <v>311</v>
      </c>
      <c r="AA45" s="49"/>
      <c r="AB45" s="88"/>
      <c r="AC45" s="87" t="s">
        <v>57</v>
      </c>
      <c r="AD45" s="87" t="s">
        <v>78</v>
      </c>
      <c r="AE45" s="87" t="s">
        <v>78</v>
      </c>
      <c r="AF45" s="157" t="s">
        <v>79</v>
      </c>
      <c r="AG45" s="157" t="s">
        <v>66</v>
      </c>
      <c r="AH45" s="157" t="s">
        <v>78</v>
      </c>
      <c r="AI45" s="157" t="s">
        <v>78</v>
      </c>
      <c r="AJ45" s="157" t="s">
        <v>75</v>
      </c>
      <c r="AK45" s="161">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2.2211672999999998</v>
      </c>
      <c r="AL45" s="161">
        <f>(1 - ((1 - VLOOKUP(Table4[[#This Row],[ConfidentialityP]],'Reference - CVSSv3.0'!$B$15:$C$17,2,FALSE)) * (1 - VLOOKUP(Table4[[#This Row],[IntegrityP]],'Reference - CVSSv3.0'!$B$15:$C$17,2,FALSE)) *  (1 - VLOOKUP(Table4[[#This Row],[AvailabilityP]],'Reference - CVSSv3.0'!$B$15:$C$17,2,FALSE))))</f>
        <v>0.21999999999999997</v>
      </c>
      <c r="AM45" s="161">
        <f>IF(Table4[[#This Row],[ScopeP]]="Unchanged",6.42*Table4[[#This Row],[ISC BaseP]],IF(Table4[[#This Row],[ScopeP]]="Changed",7.52*(Table4[[#This Row],[ISC BaseP]] - 0.029) - 3.25 * POWER(Table4[[#This Row],[ISC BaseP]] - 0.02,15),NA()))</f>
        <v>1.4123999999999999</v>
      </c>
      <c r="AN45" s="161">
        <f>IF(Table4[[#This Row],[Impact Sub ScoreP]]&lt;=0,0,IF(Table4[[#This Row],[ScopeP]]="Unchanged",ROUNDUP(MIN((Table4[[#This Row],[Impact Sub ScoreP]]+Table4[[#This Row],[Exploitability Sub ScoreP]]),10),1),IF(Table4[[#This Row],[ScopeP]]="Changed",ROUNDUP(MIN((1.08*(Table4[[#This Row],[Impact Sub ScoreP]]+Table4[[#This Row],[Exploitability Sub ScoreP]])),10),1),NA())))</f>
        <v>3.7</v>
      </c>
      <c r="AO45" s="161">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1.9000000000000001</v>
      </c>
      <c r="AP45" s="87"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LOW</v>
      </c>
      <c r="AQ45" s="59"/>
    </row>
    <row r="46" spans="1:43" s="53" customFormat="1" ht="71.25" x14ac:dyDescent="0.25">
      <c r="A46" s="70">
        <v>42</v>
      </c>
      <c r="B46" s="182" t="s">
        <v>128</v>
      </c>
      <c r="C46" s="85" t="str">
        <f>IF(VLOOKUP(Table4[[#This Row],[T ID]],Table5[#All],5,FALSE)="No","Not in scope",VLOOKUP(Table4[[#This Row],[T ID]],Table5[#All],2,FALSE))</f>
        <v>Gaining Access
([S]TRID[E])</v>
      </c>
      <c r="D46" s="212" t="s">
        <v>121</v>
      </c>
      <c r="E46" s="85" t="str">
        <f>IF(VLOOKUP(Table4[[#This Row],[V ID]],Vulnerabilities[#All],3,FALSE)="No","Not in scope",VLOOKUP(Table4[[#This Row],[V ID]],Vulnerabilities[#All],2,FALSE))</f>
        <v>Devices with default passwords needs to be checked for bruteforce attacks</v>
      </c>
      <c r="F46" s="213" t="s">
        <v>115</v>
      </c>
      <c r="G46" s="86" t="str">
        <f>VLOOKUP(Table4[[#This Row],[A ID]],Assets[#All],3,FALSE)</f>
        <v xml:space="preserve">Authenication/Authorisation data </v>
      </c>
      <c r="H46" s="49" t="s">
        <v>284</v>
      </c>
      <c r="I46" s="49"/>
      <c r="J46" s="87" t="s">
        <v>57</v>
      </c>
      <c r="K46" s="87" t="s">
        <v>57</v>
      </c>
      <c r="L46" s="87" t="s">
        <v>57</v>
      </c>
      <c r="M46" s="196" t="s">
        <v>76</v>
      </c>
      <c r="N46" s="157" t="s">
        <v>57</v>
      </c>
      <c r="O46" s="157" t="s">
        <v>57</v>
      </c>
      <c r="P46" s="196" t="s">
        <v>78</v>
      </c>
      <c r="Q46" s="196" t="s">
        <v>75</v>
      </c>
      <c r="R46" s="161">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46" s="161">
        <f>(1 - ((1 - VLOOKUP(Table4[[#This Row],[Confidentiality]],'Reference - CVSSv3.0'!$B$15:$C$17,2,FALSE)) * (1 - VLOOKUP(Table4[[#This Row],[Integrity]],'Reference - CVSSv3.0'!$B$15:$C$17,2,FALSE)) *  (1 - VLOOKUP(Table4[[#This Row],[Availability]],'Reference - CVSSv3.0'!$B$15:$C$17,2,FALSE))))</f>
        <v>0.52544799999999992</v>
      </c>
      <c r="T46" s="161">
        <f>IF(Table4[[#This Row],[Scope]]="Unchanged",6.42*Table4[[#This Row],[ISC Base]],IF(Table4[[#This Row],[Scope]]="Changed",7.52*(Table4[[#This Row],[ISC Base]] - 0.029) - 3.25 * POWER(Table4[[#This Row],[ISC Base]] - 0.02,15),NA()))</f>
        <v>3.3733761599999994</v>
      </c>
      <c r="U46" s="16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6" s="182" t="s">
        <v>56</v>
      </c>
      <c r="W46" s="183">
        <f>VLOOKUP(Table4[[#This Row],[Threat Event Initiation]],NIST_Scale_LOAI[],2,FALSE)</f>
        <v>0.5</v>
      </c>
      <c r="X46" s="16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6" s="8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49" t="s">
        <v>321</v>
      </c>
      <c r="AA46" s="59"/>
      <c r="AB46" s="89"/>
      <c r="AC46" s="87"/>
      <c r="AD46" s="87"/>
      <c r="AE46" s="87"/>
      <c r="AF46" s="157"/>
      <c r="AG46" s="157"/>
      <c r="AH46" s="157"/>
      <c r="AI46" s="157"/>
      <c r="AJ46" s="157"/>
      <c r="AK46" s="161"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6" s="161" t="e">
        <f>(1 - ((1 - VLOOKUP(Table4[[#This Row],[ConfidentialityP]],'Reference - CVSSv3.0'!$B$15:$C$17,2,FALSE)) * (1 - VLOOKUP(Table4[[#This Row],[IntegrityP]],'Reference - CVSSv3.0'!$B$15:$C$17,2,FALSE)) *  (1 - VLOOKUP(Table4[[#This Row],[AvailabilityP]],'Reference - CVSSv3.0'!$B$15:$C$17,2,FALSE))))</f>
        <v>#N/A</v>
      </c>
      <c r="AM46" s="161" t="e">
        <f>IF(Table4[[#This Row],[ScopeP]]="Unchanged",6.42*Table4[[#This Row],[ISC BaseP]],IF(Table4[[#This Row],[ScopeP]]="Changed",7.52*(Table4[[#This Row],[ISC BaseP]] - 0.029) - 3.25 * POWER(Table4[[#This Row],[ISC BaseP]] - 0.02,15),NA()))</f>
        <v>#N/A</v>
      </c>
      <c r="AN46" s="16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16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1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59"/>
    </row>
    <row r="47" spans="1:43" s="53" customFormat="1" ht="85.5" x14ac:dyDescent="0.25">
      <c r="A47" s="70">
        <v>43</v>
      </c>
      <c r="B47" s="182" t="s">
        <v>128</v>
      </c>
      <c r="C47" s="195" t="str">
        <f>IF(VLOOKUP(Table4[[#This Row],[T ID]],Table5[#All],5,FALSE)="No","Not in scope",VLOOKUP(Table4[[#This Row],[T ID]],Table5[#All],2,FALSE))</f>
        <v>Gaining Access
([S]TRID[E])</v>
      </c>
      <c r="D47" s="212" t="s">
        <v>121</v>
      </c>
      <c r="E47" s="195" t="str">
        <f>IF(VLOOKUP(Table4[[#This Row],[V ID]],Vulnerabilities[#All],3,FALSE)="No","Not in scope",VLOOKUP(Table4[[#This Row],[V ID]],Vulnerabilities[#All],2,FALSE))</f>
        <v>Devices with default passwords needs to be checked for bruteforce attacks</v>
      </c>
      <c r="F47" s="216" t="s">
        <v>108</v>
      </c>
      <c r="G47" s="195" t="str">
        <f>VLOOKUP(Table4[[#This Row],[A ID]],Assets[#All],3,FALSE)</f>
        <v>Smart medic app (Stryker Azure Cloud Web Application)</v>
      </c>
      <c r="H47" s="49" t="s">
        <v>284</v>
      </c>
      <c r="I47" s="49"/>
      <c r="J47" s="87" t="s">
        <v>66</v>
      </c>
      <c r="K47" s="87" t="s">
        <v>57</v>
      </c>
      <c r="L47" s="87" t="s">
        <v>57</v>
      </c>
      <c r="M47" s="196" t="s">
        <v>76</v>
      </c>
      <c r="N47" s="157" t="s">
        <v>57</v>
      </c>
      <c r="O47" s="157" t="s">
        <v>57</v>
      </c>
      <c r="P47" s="196" t="s">
        <v>78</v>
      </c>
      <c r="Q47" s="196" t="s">
        <v>75</v>
      </c>
      <c r="R4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47" s="198">
        <f>(1 - ((1 - VLOOKUP(Table4[[#This Row],[Confidentiality]],'Reference - CVSSv3.0'!$B$15:$C$17,2,FALSE)) * (1 - VLOOKUP(Table4[[#This Row],[Integrity]],'Reference - CVSSv3.0'!$B$15:$C$17,2,FALSE)) *  (1 - VLOOKUP(Table4[[#This Row],[Availability]],'Reference - CVSSv3.0'!$B$15:$C$17,2,FALSE))))</f>
        <v>0.73230400000000007</v>
      </c>
      <c r="T47" s="198">
        <f>IF(Table4[[#This Row],[Scope]]="Unchanged",6.42*Table4[[#This Row],[ISC Base]],IF(Table4[[#This Row],[Scope]]="Changed",7.52*(Table4[[#This Row],[ISC Base]] - 0.029) - 3.25 * POWER(Table4[[#This Row],[ISC Base]] - 0.02,15),NA()))</f>
        <v>4.7013916800000004</v>
      </c>
      <c r="U47" s="198">
        <f>IF(Table4[[#This Row],[Impact Sub Score]]&lt;=0,0,IF(Table4[[#This Row],[Scope]]="Unchanged",ROUNDUP(MIN((Table4[[#This Row],[Impact Sub Score]]+Table4[[#This Row],[Exploitability Sub Score]]),10),1),IF(Table4[[#This Row],[Scope]]="Changed",ROUNDUP(MIN((1.08*(Table4[[#This Row],[Impact Sub Score]]+Table4[[#This Row],[Exploitability Sub Score]])),10),1),NA())))</f>
        <v>5.3999999999999995</v>
      </c>
      <c r="V47" s="182" t="s">
        <v>66</v>
      </c>
      <c r="W47" s="198">
        <f>VLOOKUP(Table4[[#This Row],[Threat Event Initiation]],NIST_Scale_LOAI[],2,FALSE)</f>
        <v>0.8</v>
      </c>
      <c r="X4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4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49" t="s">
        <v>319</v>
      </c>
      <c r="AA47" s="187"/>
      <c r="AB47" s="206"/>
      <c r="AC47" s="187"/>
      <c r="AD47" s="187"/>
      <c r="AE47" s="187"/>
      <c r="AF47" s="196"/>
      <c r="AG47" s="196"/>
      <c r="AH47" s="196"/>
      <c r="AI47" s="196"/>
      <c r="AJ47" s="201"/>
      <c r="AK4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7" s="198" t="e">
        <f>(1 - ((1 - VLOOKUP(Table4[[#This Row],[ConfidentialityP]],'Reference - CVSSv3.0'!$B$15:$C$17,2,FALSE)) * (1 - VLOOKUP(Table4[[#This Row],[IntegrityP]],'Reference - CVSSv3.0'!$B$15:$C$17,2,FALSE)) *  (1 - VLOOKUP(Table4[[#This Row],[AvailabilityP]],'Reference - CVSSv3.0'!$B$15:$C$17,2,FALSE))))</f>
        <v>#N/A</v>
      </c>
      <c r="AM47" s="198" t="e">
        <f>IF(Table4[[#This Row],[ScopeP]]="Unchanged",6.42*Table4[[#This Row],[ISC BaseP]],IF(Table4[[#This Row],[ScopeP]]="Changed",7.52*(Table4[[#This Row],[ISC BaseP]] - 0.029) - 3.25 * POWER(Table4[[#This Row],[ISC BaseP]] - 0.02,15),NA()))</f>
        <v>#N/A</v>
      </c>
      <c r="AN4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187"/>
    </row>
    <row r="48" spans="1:43" s="53" customFormat="1" ht="99.75" x14ac:dyDescent="0.25">
      <c r="A48" s="70">
        <v>44</v>
      </c>
      <c r="B48" s="182" t="s">
        <v>128</v>
      </c>
      <c r="C48" s="195" t="str">
        <f>IF(VLOOKUP(Table4[[#This Row],[T ID]],Table5[#All],5,FALSE)="No","Not in scope",VLOOKUP(Table4[[#This Row],[T ID]],Table5[#All],2,FALSE))</f>
        <v>Gaining Access
([S]TRID[E])</v>
      </c>
      <c r="D48" s="212" t="s">
        <v>121</v>
      </c>
      <c r="E48" s="195" t="str">
        <f>IF(VLOOKUP(Table4[[#This Row],[V ID]],Vulnerabilities[#All],3,FALSE)="No","Not in scope",VLOOKUP(Table4[[#This Row],[V ID]],Vulnerabilities[#All],2,FALSE))</f>
        <v>Devices with default passwords needs to be checked for bruteforce attacks</v>
      </c>
      <c r="F48" s="216" t="s">
        <v>118</v>
      </c>
      <c r="G48" s="195" t="str">
        <f>VLOOKUP(Table4[[#This Row],[A ID]],Assets[#All],3,FALSE)</f>
        <v>Interface/API Communication</v>
      </c>
      <c r="H48" s="49" t="s">
        <v>284</v>
      </c>
      <c r="I48" s="49"/>
      <c r="J48" s="87" t="s">
        <v>57</v>
      </c>
      <c r="K48" s="87" t="s">
        <v>57</v>
      </c>
      <c r="L48" s="87" t="s">
        <v>57</v>
      </c>
      <c r="M48" s="196" t="s">
        <v>76</v>
      </c>
      <c r="N48" s="157" t="s">
        <v>57</v>
      </c>
      <c r="O48" s="157" t="s">
        <v>57</v>
      </c>
      <c r="P48" s="196" t="s">
        <v>78</v>
      </c>
      <c r="Q48" s="196" t="s">
        <v>75</v>
      </c>
      <c r="R4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48" s="198">
        <f>(1 - ((1 - VLOOKUP(Table4[[#This Row],[Confidentiality]],'Reference - CVSSv3.0'!$B$15:$C$17,2,FALSE)) * (1 - VLOOKUP(Table4[[#This Row],[Integrity]],'Reference - CVSSv3.0'!$B$15:$C$17,2,FALSE)) *  (1 - VLOOKUP(Table4[[#This Row],[Availability]],'Reference - CVSSv3.0'!$B$15:$C$17,2,FALSE))))</f>
        <v>0.52544799999999992</v>
      </c>
      <c r="T48" s="198">
        <f>IF(Table4[[#This Row],[Scope]]="Unchanged",6.42*Table4[[#This Row],[ISC Base]],IF(Table4[[#This Row],[Scope]]="Changed",7.52*(Table4[[#This Row],[ISC Base]] - 0.029) - 3.25 * POWER(Table4[[#This Row],[ISC Base]] - 0.02,15),NA()))</f>
        <v>3.3733761599999994</v>
      </c>
      <c r="U48"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182" t="s">
        <v>57</v>
      </c>
      <c r="W48" s="198">
        <f>VLOOKUP(Table4[[#This Row],[Threat Event Initiation]],NIST_Scale_LOAI[],2,FALSE)</f>
        <v>0.2</v>
      </c>
      <c r="X4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49" t="s">
        <v>318</v>
      </c>
      <c r="AA48" s="187"/>
      <c r="AB48" s="206"/>
      <c r="AC48" s="187"/>
      <c r="AD48" s="187"/>
      <c r="AE48" s="187"/>
      <c r="AF48" s="196"/>
      <c r="AG48" s="196"/>
      <c r="AH48" s="196"/>
      <c r="AI48" s="196"/>
      <c r="AJ48" s="201"/>
      <c r="AK4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8" s="198" t="e">
        <f>(1 - ((1 - VLOOKUP(Table4[[#This Row],[ConfidentialityP]],'Reference - CVSSv3.0'!$B$15:$C$17,2,FALSE)) * (1 - VLOOKUP(Table4[[#This Row],[IntegrityP]],'Reference - CVSSv3.0'!$B$15:$C$17,2,FALSE)) *  (1 - VLOOKUP(Table4[[#This Row],[AvailabilityP]],'Reference - CVSSv3.0'!$B$15:$C$17,2,FALSE))))</f>
        <v>#N/A</v>
      </c>
      <c r="AM48" s="198" t="e">
        <f>IF(Table4[[#This Row],[ScopeP]]="Unchanged",6.42*Table4[[#This Row],[ISC BaseP]],IF(Table4[[#This Row],[ScopeP]]="Changed",7.52*(Table4[[#This Row],[ISC BaseP]] - 0.029) - 3.25 * POWER(Table4[[#This Row],[ISC BaseP]] - 0.02,15),NA()))</f>
        <v>#N/A</v>
      </c>
      <c r="AN4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187"/>
    </row>
    <row r="49" spans="1:43" ht="85.5" x14ac:dyDescent="0.25">
      <c r="A49" s="70">
        <v>45</v>
      </c>
      <c r="B49" s="182" t="s">
        <v>128</v>
      </c>
      <c r="C49" s="195" t="str">
        <f>IF(VLOOKUP(Table4[[#This Row],[T ID]],Table5[#All],5,FALSE)="No","Not in scope",VLOOKUP(Table4[[#This Row],[T ID]],Table5[#All],2,FALSE))</f>
        <v>Gaining Access
([S]TRID[E])</v>
      </c>
      <c r="D49" s="212" t="s">
        <v>225</v>
      </c>
      <c r="E49" s="195" t="str">
        <f>IF(VLOOKUP(Table4[[#This Row],[V ID]],Vulnerabilities[#All],3,FALSE)="No","Not in scope",VLOOKUP(Table4[[#This Row],[V ID]],Vulnerabilities[#All],2,FALSE))</f>
        <v>The password complexity or location vulnerability. Like weak passwords and hardcoded passwords.</v>
      </c>
      <c r="F49" s="213" t="s">
        <v>115</v>
      </c>
      <c r="G49" s="195" t="str">
        <f>VLOOKUP(Table4[[#This Row],[A ID]],Assets[#All],3,FALSE)</f>
        <v xml:space="preserve">Authenication/Authorisation data </v>
      </c>
      <c r="H49" s="49" t="s">
        <v>284</v>
      </c>
      <c r="I49" s="49"/>
      <c r="J49" s="87" t="s">
        <v>57</v>
      </c>
      <c r="K49" s="87" t="s">
        <v>57</v>
      </c>
      <c r="L49" s="87" t="s">
        <v>57</v>
      </c>
      <c r="M49" s="196" t="s">
        <v>80</v>
      </c>
      <c r="N49" s="157" t="s">
        <v>57</v>
      </c>
      <c r="O49" s="157" t="s">
        <v>57</v>
      </c>
      <c r="P49" s="196" t="s">
        <v>77</v>
      </c>
      <c r="Q49" s="196" t="s">
        <v>75</v>
      </c>
      <c r="R4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49" s="198">
        <f>(1 - ((1 - VLOOKUP(Table4[[#This Row],[Confidentiality]],'Reference - CVSSv3.0'!$B$15:$C$17,2,FALSE)) * (1 - VLOOKUP(Table4[[#This Row],[Integrity]],'Reference - CVSSv3.0'!$B$15:$C$17,2,FALSE)) *  (1 - VLOOKUP(Table4[[#This Row],[Availability]],'Reference - CVSSv3.0'!$B$15:$C$17,2,FALSE))))</f>
        <v>0.52544799999999992</v>
      </c>
      <c r="T49" s="198">
        <f>IF(Table4[[#This Row],[Scope]]="Unchanged",6.42*Table4[[#This Row],[ISC Base]],IF(Table4[[#This Row],[Scope]]="Changed",7.52*(Table4[[#This Row],[ISC Base]] - 0.029) - 3.25 * POWER(Table4[[#This Row],[ISC Base]] - 0.02,15),NA()))</f>
        <v>3.3733761599999994</v>
      </c>
      <c r="U49"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49" s="182" t="s">
        <v>57</v>
      </c>
      <c r="W49" s="198">
        <f>VLOOKUP(Table4[[#This Row],[Threat Event Initiation]],NIST_Scale_LOAI[],2,FALSE)</f>
        <v>0.2</v>
      </c>
      <c r="X4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4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49" t="s">
        <v>319</v>
      </c>
      <c r="AA49" s="187"/>
      <c r="AB49" s="206"/>
      <c r="AC49" s="187"/>
      <c r="AD49" s="187"/>
      <c r="AE49" s="187"/>
      <c r="AF49" s="196"/>
      <c r="AG49" s="196"/>
      <c r="AH49" s="196"/>
      <c r="AI49" s="196"/>
      <c r="AJ49" s="201"/>
      <c r="AK4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49" s="198" t="e">
        <f>(1 - ((1 - VLOOKUP(Table4[[#This Row],[ConfidentialityP]],'Reference - CVSSv3.0'!$B$15:$C$17,2,FALSE)) * (1 - VLOOKUP(Table4[[#This Row],[IntegrityP]],'Reference - CVSSv3.0'!$B$15:$C$17,2,FALSE)) *  (1 - VLOOKUP(Table4[[#This Row],[AvailabilityP]],'Reference - CVSSv3.0'!$B$15:$C$17,2,FALSE))))</f>
        <v>#N/A</v>
      </c>
      <c r="AM49" s="198" t="e">
        <f>IF(Table4[[#This Row],[ScopeP]]="Unchanged",6.42*Table4[[#This Row],[ISC BaseP]],IF(Table4[[#This Row],[ScopeP]]="Changed",7.52*(Table4[[#This Row],[ISC BaseP]] - 0.029) - 3.25 * POWER(Table4[[#This Row],[ISC BaseP]] - 0.02,15),NA()))</f>
        <v>#N/A</v>
      </c>
      <c r="AN4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187"/>
    </row>
    <row r="50" spans="1:43" ht="99.75" x14ac:dyDescent="0.25">
      <c r="A50" s="70">
        <v>46</v>
      </c>
      <c r="B50" s="182" t="s">
        <v>128</v>
      </c>
      <c r="C50" s="195" t="str">
        <f>IF(VLOOKUP(Table4[[#This Row],[T ID]],Table5[#All],5,FALSE)="No","Not in scope",VLOOKUP(Table4[[#This Row],[T ID]],Table5[#All],2,FALSE))</f>
        <v>Gaining Access
([S]TRID[E])</v>
      </c>
      <c r="D50" s="212" t="s">
        <v>225</v>
      </c>
      <c r="E50" s="195" t="str">
        <f>IF(VLOOKUP(Table4[[#This Row],[V ID]],Vulnerabilities[#All],3,FALSE)="No","Not in scope",VLOOKUP(Table4[[#This Row],[V ID]],Vulnerabilities[#All],2,FALSE))</f>
        <v>The password complexity or location vulnerability. Like weak passwords and hardcoded passwords.</v>
      </c>
      <c r="F50" s="216" t="s">
        <v>108</v>
      </c>
      <c r="G50" s="195" t="str">
        <f>VLOOKUP(Table4[[#This Row],[A ID]],Assets[#All],3,FALSE)</f>
        <v>Smart medic app (Stryker Azure Cloud Web Application)</v>
      </c>
      <c r="H50" s="49" t="s">
        <v>284</v>
      </c>
      <c r="I50" s="49"/>
      <c r="J50" s="87" t="s">
        <v>66</v>
      </c>
      <c r="K50" s="87" t="s">
        <v>57</v>
      </c>
      <c r="L50" s="87" t="s">
        <v>57</v>
      </c>
      <c r="M50" s="196" t="s">
        <v>80</v>
      </c>
      <c r="N50" s="157" t="s">
        <v>57</v>
      </c>
      <c r="O50" s="157" t="s">
        <v>57</v>
      </c>
      <c r="P50" s="196" t="s">
        <v>77</v>
      </c>
      <c r="Q50" s="196" t="s">
        <v>75</v>
      </c>
      <c r="R5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50" s="198">
        <f>(1 - ((1 - VLOOKUP(Table4[[#This Row],[Confidentiality]],'Reference - CVSSv3.0'!$B$15:$C$17,2,FALSE)) * (1 - VLOOKUP(Table4[[#This Row],[Integrity]],'Reference - CVSSv3.0'!$B$15:$C$17,2,FALSE)) *  (1 - VLOOKUP(Table4[[#This Row],[Availability]],'Reference - CVSSv3.0'!$B$15:$C$17,2,FALSE))))</f>
        <v>0.73230400000000007</v>
      </c>
      <c r="T50" s="198">
        <f>IF(Table4[[#This Row],[Scope]]="Unchanged",6.42*Table4[[#This Row],[ISC Base]],IF(Table4[[#This Row],[Scope]]="Changed",7.52*(Table4[[#This Row],[ISC Base]] - 0.029) - 3.25 * POWER(Table4[[#This Row],[ISC Base]] - 0.02,15),NA()))</f>
        <v>4.7013916800000004</v>
      </c>
      <c r="U50" s="198">
        <f>IF(Table4[[#This Row],[Impact Sub Score]]&lt;=0,0,IF(Table4[[#This Row],[Scope]]="Unchanged",ROUNDUP(MIN((Table4[[#This Row],[Impact Sub Score]]+Table4[[#This Row],[Exploitability Sub Score]]),10),1),IF(Table4[[#This Row],[Scope]]="Changed",ROUNDUP(MIN((1.08*(Table4[[#This Row],[Impact Sub Score]]+Table4[[#This Row],[Exploitability Sub Score]])),10),1),NA())))</f>
        <v>6.1</v>
      </c>
      <c r="V50" s="182" t="s">
        <v>66</v>
      </c>
      <c r="W50" s="198">
        <f>VLOOKUP(Table4[[#This Row],[Threat Event Initiation]],NIST_Scale_LOAI[],2,FALSE)</f>
        <v>0.8</v>
      </c>
      <c r="X5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v>
      </c>
      <c r="Y5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49" t="s">
        <v>320</v>
      </c>
      <c r="AA50" s="187"/>
      <c r="AB50" s="206"/>
      <c r="AC50" s="187"/>
      <c r="AD50" s="187"/>
      <c r="AE50" s="187"/>
      <c r="AF50" s="196"/>
      <c r="AG50" s="196"/>
      <c r="AH50" s="196"/>
      <c r="AI50" s="196"/>
      <c r="AJ50" s="201"/>
      <c r="AK5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0" s="198" t="e">
        <f>(1 - ((1 - VLOOKUP(Table4[[#This Row],[ConfidentialityP]],'Reference - CVSSv3.0'!$B$15:$C$17,2,FALSE)) * (1 - VLOOKUP(Table4[[#This Row],[IntegrityP]],'Reference - CVSSv3.0'!$B$15:$C$17,2,FALSE)) *  (1 - VLOOKUP(Table4[[#This Row],[AvailabilityP]],'Reference - CVSSv3.0'!$B$15:$C$17,2,FALSE))))</f>
        <v>#N/A</v>
      </c>
      <c r="AM50" s="198" t="e">
        <f>IF(Table4[[#This Row],[ScopeP]]="Unchanged",6.42*Table4[[#This Row],[ISC BaseP]],IF(Table4[[#This Row],[ScopeP]]="Changed",7.52*(Table4[[#This Row],[ISC BaseP]] - 0.029) - 3.25 * POWER(Table4[[#This Row],[ISC BaseP]] - 0.02,15),NA()))</f>
        <v>#N/A</v>
      </c>
      <c r="AN5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187"/>
    </row>
    <row r="51" spans="1:43" ht="99.75" x14ac:dyDescent="0.25">
      <c r="A51" s="70">
        <v>47</v>
      </c>
      <c r="B51" s="182" t="s">
        <v>128</v>
      </c>
      <c r="C51" s="195" t="str">
        <f>IF(VLOOKUP(Table4[[#This Row],[T ID]],Table5[#All],5,FALSE)="No","Not in scope",VLOOKUP(Table4[[#This Row],[T ID]],Table5[#All],2,FALSE))</f>
        <v>Gaining Access
([S]TRID[E])</v>
      </c>
      <c r="D51" s="212" t="s">
        <v>225</v>
      </c>
      <c r="E51" s="195" t="str">
        <f>IF(VLOOKUP(Table4[[#This Row],[V ID]],Vulnerabilities[#All],3,FALSE)="No","Not in scope",VLOOKUP(Table4[[#This Row],[V ID]],Vulnerabilities[#All],2,FALSE))</f>
        <v>The password complexity or location vulnerability. Like weak passwords and hardcoded passwords.</v>
      </c>
      <c r="F51" s="216" t="s">
        <v>109</v>
      </c>
      <c r="G51" s="195" t="str">
        <f>VLOOKUP(Table4[[#This Row],[A ID]],Assets[#All],3,FALSE)</f>
        <v>Smart medic app (Azure Portal Administrator)</v>
      </c>
      <c r="H51" s="49" t="s">
        <v>284</v>
      </c>
      <c r="I51" s="49"/>
      <c r="J51" s="87" t="s">
        <v>66</v>
      </c>
      <c r="K51" s="87" t="s">
        <v>57</v>
      </c>
      <c r="L51" s="87" t="s">
        <v>57</v>
      </c>
      <c r="M51" s="196" t="s">
        <v>80</v>
      </c>
      <c r="N51" s="157" t="s">
        <v>57</v>
      </c>
      <c r="O51" s="157" t="s">
        <v>57</v>
      </c>
      <c r="P51" s="196" t="s">
        <v>77</v>
      </c>
      <c r="Q51" s="196" t="s">
        <v>75</v>
      </c>
      <c r="R5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51" s="198">
        <f>(1 - ((1 - VLOOKUP(Table4[[#This Row],[Confidentiality]],'Reference - CVSSv3.0'!$B$15:$C$17,2,FALSE)) * (1 - VLOOKUP(Table4[[#This Row],[Integrity]],'Reference - CVSSv3.0'!$B$15:$C$17,2,FALSE)) *  (1 - VLOOKUP(Table4[[#This Row],[Availability]],'Reference - CVSSv3.0'!$B$15:$C$17,2,FALSE))))</f>
        <v>0.73230400000000007</v>
      </c>
      <c r="T51" s="198">
        <f>IF(Table4[[#This Row],[Scope]]="Unchanged",6.42*Table4[[#This Row],[ISC Base]],IF(Table4[[#This Row],[Scope]]="Changed",7.52*(Table4[[#This Row],[ISC Base]] - 0.029) - 3.25 * POWER(Table4[[#This Row],[ISC Base]] - 0.02,15),NA()))</f>
        <v>4.7013916800000004</v>
      </c>
      <c r="U51" s="198">
        <f>IF(Table4[[#This Row],[Impact Sub Score]]&lt;=0,0,IF(Table4[[#This Row],[Scope]]="Unchanged",ROUNDUP(MIN((Table4[[#This Row],[Impact Sub Score]]+Table4[[#This Row],[Exploitability Sub Score]]),10),1),IF(Table4[[#This Row],[Scope]]="Changed",ROUNDUP(MIN((1.08*(Table4[[#This Row],[Impact Sub Score]]+Table4[[#This Row],[Exploitability Sub Score]])),10),1),NA())))</f>
        <v>6.1</v>
      </c>
      <c r="V51" s="182" t="s">
        <v>66</v>
      </c>
      <c r="W51" s="198">
        <f>VLOOKUP(Table4[[#This Row],[Threat Event Initiation]],NIST_Scale_LOAI[],2,FALSE)</f>
        <v>0.8</v>
      </c>
      <c r="X5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v>
      </c>
      <c r="Y5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49" t="s">
        <v>320</v>
      </c>
      <c r="AA51" s="187"/>
      <c r="AB51" s="206"/>
      <c r="AC51" s="187"/>
      <c r="AD51" s="187"/>
      <c r="AE51" s="187"/>
      <c r="AF51" s="196"/>
      <c r="AG51" s="196"/>
      <c r="AH51" s="196"/>
      <c r="AI51" s="196"/>
      <c r="AJ51" s="201"/>
      <c r="AK5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1" s="198" t="e">
        <f>(1 - ((1 - VLOOKUP(Table4[[#This Row],[ConfidentialityP]],'Reference - CVSSv3.0'!$B$15:$C$17,2,FALSE)) * (1 - VLOOKUP(Table4[[#This Row],[IntegrityP]],'Reference - CVSSv3.0'!$B$15:$C$17,2,FALSE)) *  (1 - VLOOKUP(Table4[[#This Row],[AvailabilityP]],'Reference - CVSSv3.0'!$B$15:$C$17,2,FALSE))))</f>
        <v>#N/A</v>
      </c>
      <c r="AM51" s="198" t="e">
        <f>IF(Table4[[#This Row],[ScopeP]]="Unchanged",6.42*Table4[[#This Row],[ISC BaseP]],IF(Table4[[#This Row],[ScopeP]]="Changed",7.52*(Table4[[#This Row],[ISC BaseP]] - 0.029) - 3.25 * POWER(Table4[[#This Row],[ISC BaseP]] - 0.02,15),NA()))</f>
        <v>#N/A</v>
      </c>
      <c r="AN5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187"/>
    </row>
    <row r="52" spans="1:43" ht="213.75" x14ac:dyDescent="0.25">
      <c r="A52" s="70">
        <v>48</v>
      </c>
      <c r="B52" s="182" t="s">
        <v>128</v>
      </c>
      <c r="C52" s="195" t="str">
        <f>IF(VLOOKUP(Table4[[#This Row],[T ID]],Table5[#All],5,FALSE)="No","Not in scope",VLOOKUP(Table4[[#This Row],[T ID]],Table5[#All],2,FALSE))</f>
        <v>Gaining Access
([S]TRID[E])</v>
      </c>
      <c r="D52" s="212" t="s">
        <v>226</v>
      </c>
      <c r="E52" s="195" t="str">
        <f>IF(VLOOKUP(Table4[[#This Row],[V ID]],Vulnerabilities[#All],3,FALSE)="No","Not in scope",VLOOKUP(Table4[[#This Row],[V ID]],Vulnerabilities[#All],2,FALSE))</f>
        <v>Checking authentication modes for possible hacks and bypasses</v>
      </c>
      <c r="F52" s="213" t="s">
        <v>115</v>
      </c>
      <c r="G52" s="195" t="str">
        <f>VLOOKUP(Table4[[#This Row],[A ID]],Assets[#All],3,FALSE)</f>
        <v xml:space="preserve">Authenication/Authorisation data </v>
      </c>
      <c r="H52" s="49" t="s">
        <v>284</v>
      </c>
      <c r="I52" s="49"/>
      <c r="J52" s="87" t="s">
        <v>57</v>
      </c>
      <c r="K52" s="87" t="s">
        <v>57</v>
      </c>
      <c r="L52" s="87" t="s">
        <v>57</v>
      </c>
      <c r="M52" s="196" t="s">
        <v>76</v>
      </c>
      <c r="N52" s="157" t="s">
        <v>57</v>
      </c>
      <c r="O52" s="157" t="s">
        <v>57</v>
      </c>
      <c r="P52" s="196" t="s">
        <v>78</v>
      </c>
      <c r="Q52" s="196" t="s">
        <v>75</v>
      </c>
      <c r="R5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2" s="198">
        <f>(1 - ((1 - VLOOKUP(Table4[[#This Row],[Confidentiality]],'Reference - CVSSv3.0'!$B$15:$C$17,2,FALSE)) * (1 - VLOOKUP(Table4[[#This Row],[Integrity]],'Reference - CVSSv3.0'!$B$15:$C$17,2,FALSE)) *  (1 - VLOOKUP(Table4[[#This Row],[Availability]],'Reference - CVSSv3.0'!$B$15:$C$17,2,FALSE))))</f>
        <v>0.52544799999999992</v>
      </c>
      <c r="T52" s="198">
        <f>IF(Table4[[#This Row],[Scope]]="Unchanged",6.42*Table4[[#This Row],[ISC Base]],IF(Table4[[#This Row],[Scope]]="Changed",7.52*(Table4[[#This Row],[ISC Base]] - 0.029) - 3.25 * POWER(Table4[[#This Row],[ISC Base]] - 0.02,15),NA()))</f>
        <v>3.3733761599999994</v>
      </c>
      <c r="U52"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182" t="s">
        <v>57</v>
      </c>
      <c r="W52" s="198">
        <f>VLOOKUP(Table4[[#This Row],[Threat Event Initiation]],NIST_Scale_LOAI[],2,FALSE)</f>
        <v>0.2</v>
      </c>
      <c r="X5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49" t="s">
        <v>317</v>
      </c>
      <c r="AA52" s="187"/>
      <c r="AB52" s="206"/>
      <c r="AC52" s="187"/>
      <c r="AD52" s="187"/>
      <c r="AE52" s="187"/>
      <c r="AF52" s="196"/>
      <c r="AG52" s="196"/>
      <c r="AH52" s="196"/>
      <c r="AI52" s="196"/>
      <c r="AJ52" s="201"/>
      <c r="AK5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2" s="198" t="e">
        <f>(1 - ((1 - VLOOKUP(Table4[[#This Row],[ConfidentialityP]],'Reference - CVSSv3.0'!$B$15:$C$17,2,FALSE)) * (1 - VLOOKUP(Table4[[#This Row],[IntegrityP]],'Reference - CVSSv3.0'!$B$15:$C$17,2,FALSE)) *  (1 - VLOOKUP(Table4[[#This Row],[AvailabilityP]],'Reference - CVSSv3.0'!$B$15:$C$17,2,FALSE))))</f>
        <v>#N/A</v>
      </c>
      <c r="AM52" s="198" t="e">
        <f>IF(Table4[[#This Row],[ScopeP]]="Unchanged",6.42*Table4[[#This Row],[ISC BaseP]],IF(Table4[[#This Row],[ScopeP]]="Changed",7.52*(Table4[[#This Row],[ISC BaseP]] - 0.029) - 3.25 * POWER(Table4[[#This Row],[ISC BaseP]] - 0.02,15),NA()))</f>
        <v>#N/A</v>
      </c>
      <c r="AN5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187"/>
    </row>
    <row r="53" spans="1:43" ht="213.75" x14ac:dyDescent="0.25">
      <c r="A53" s="70">
        <v>49</v>
      </c>
      <c r="B53" s="182" t="s">
        <v>128</v>
      </c>
      <c r="C53" s="195" t="str">
        <f>IF(VLOOKUP(Table4[[#This Row],[T ID]],Table5[#All],5,FALSE)="No","Not in scope",VLOOKUP(Table4[[#This Row],[T ID]],Table5[#All],2,FALSE))</f>
        <v>Gaining Access
([S]TRID[E])</v>
      </c>
      <c r="D53" s="212" t="s">
        <v>226</v>
      </c>
      <c r="E53" s="195" t="str">
        <f>IF(VLOOKUP(Table4[[#This Row],[V ID]],Vulnerabilities[#All],3,FALSE)="No","Not in scope",VLOOKUP(Table4[[#This Row],[V ID]],Vulnerabilities[#All],2,FALSE))</f>
        <v>Checking authentication modes for possible hacks and bypasses</v>
      </c>
      <c r="F53" s="216" t="s">
        <v>108</v>
      </c>
      <c r="G53" s="195" t="str">
        <f>VLOOKUP(Table4[[#This Row],[A ID]],Assets[#All],3,FALSE)</f>
        <v>Smart medic app (Stryker Azure Cloud Web Application)</v>
      </c>
      <c r="H53" s="49" t="s">
        <v>284</v>
      </c>
      <c r="I53" s="49"/>
      <c r="J53" s="87" t="s">
        <v>57</v>
      </c>
      <c r="K53" s="87" t="s">
        <v>57</v>
      </c>
      <c r="L53" s="87" t="s">
        <v>57</v>
      </c>
      <c r="M53" s="196" t="s">
        <v>76</v>
      </c>
      <c r="N53" s="157" t="s">
        <v>57</v>
      </c>
      <c r="O53" s="157" t="s">
        <v>57</v>
      </c>
      <c r="P53" s="196" t="s">
        <v>78</v>
      </c>
      <c r="Q53" s="196" t="s">
        <v>75</v>
      </c>
      <c r="R5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3" s="198">
        <f>(1 - ((1 - VLOOKUP(Table4[[#This Row],[Confidentiality]],'Reference - CVSSv3.0'!$B$15:$C$17,2,FALSE)) * (1 - VLOOKUP(Table4[[#This Row],[Integrity]],'Reference - CVSSv3.0'!$B$15:$C$17,2,FALSE)) *  (1 - VLOOKUP(Table4[[#This Row],[Availability]],'Reference - CVSSv3.0'!$B$15:$C$17,2,FALSE))))</f>
        <v>0.52544799999999992</v>
      </c>
      <c r="T53" s="198">
        <f>IF(Table4[[#This Row],[Scope]]="Unchanged",6.42*Table4[[#This Row],[ISC Base]],IF(Table4[[#This Row],[Scope]]="Changed",7.52*(Table4[[#This Row],[ISC Base]] - 0.029) - 3.25 * POWER(Table4[[#This Row],[ISC Base]] - 0.02,15),NA()))</f>
        <v>3.3733761599999994</v>
      </c>
      <c r="U53"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3" s="182" t="s">
        <v>57</v>
      </c>
      <c r="W53" s="198">
        <f>VLOOKUP(Table4[[#This Row],[Threat Event Initiation]],NIST_Scale_LOAI[],2,FALSE)</f>
        <v>0.2</v>
      </c>
      <c r="X5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49" t="s">
        <v>317</v>
      </c>
      <c r="AA53" s="187"/>
      <c r="AB53" s="206"/>
      <c r="AC53" s="187"/>
      <c r="AD53" s="187"/>
      <c r="AE53" s="187"/>
      <c r="AF53" s="196"/>
      <c r="AG53" s="196"/>
      <c r="AH53" s="196"/>
      <c r="AI53" s="196"/>
      <c r="AJ53" s="201"/>
      <c r="AK5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3" s="198" t="e">
        <f>(1 - ((1 - VLOOKUP(Table4[[#This Row],[ConfidentialityP]],'Reference - CVSSv3.0'!$B$15:$C$17,2,FALSE)) * (1 - VLOOKUP(Table4[[#This Row],[IntegrityP]],'Reference - CVSSv3.0'!$B$15:$C$17,2,FALSE)) *  (1 - VLOOKUP(Table4[[#This Row],[AvailabilityP]],'Reference - CVSSv3.0'!$B$15:$C$17,2,FALSE))))</f>
        <v>#N/A</v>
      </c>
      <c r="AM53" s="198" t="e">
        <f>IF(Table4[[#This Row],[ScopeP]]="Unchanged",6.42*Table4[[#This Row],[ISC BaseP]],IF(Table4[[#This Row],[ScopeP]]="Changed",7.52*(Table4[[#This Row],[ISC BaseP]] - 0.029) - 3.25 * POWER(Table4[[#This Row],[ISC BaseP]] - 0.02,15),NA()))</f>
        <v>#N/A</v>
      </c>
      <c r="AN5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187"/>
    </row>
    <row r="54" spans="1:43" ht="213.75" x14ac:dyDescent="0.25">
      <c r="A54" s="70">
        <v>50</v>
      </c>
      <c r="B54" s="182" t="s">
        <v>128</v>
      </c>
      <c r="C54" s="195" t="str">
        <f>IF(VLOOKUP(Table4[[#This Row],[T ID]],Table5[#All],5,FALSE)="No","Not in scope",VLOOKUP(Table4[[#This Row],[T ID]],Table5[#All],2,FALSE))</f>
        <v>Gaining Access
([S]TRID[E])</v>
      </c>
      <c r="D54" s="212" t="s">
        <v>226</v>
      </c>
      <c r="E54" s="195" t="str">
        <f>IF(VLOOKUP(Table4[[#This Row],[V ID]],Vulnerabilities[#All],3,FALSE)="No","Not in scope",VLOOKUP(Table4[[#This Row],[V ID]],Vulnerabilities[#All],2,FALSE))</f>
        <v>Checking authentication modes for possible hacks and bypasses</v>
      </c>
      <c r="F54" s="216" t="s">
        <v>109</v>
      </c>
      <c r="G54" s="195" t="str">
        <f>VLOOKUP(Table4[[#This Row],[A ID]],Assets[#All],3,FALSE)</f>
        <v>Smart medic app (Azure Portal Administrator)</v>
      </c>
      <c r="H54" s="49" t="s">
        <v>284</v>
      </c>
      <c r="I54" s="49"/>
      <c r="J54" s="87" t="s">
        <v>57</v>
      </c>
      <c r="K54" s="87" t="s">
        <v>57</v>
      </c>
      <c r="L54" s="87" t="s">
        <v>57</v>
      </c>
      <c r="M54" s="196" t="s">
        <v>76</v>
      </c>
      <c r="N54" s="157" t="s">
        <v>57</v>
      </c>
      <c r="O54" s="157" t="s">
        <v>57</v>
      </c>
      <c r="P54" s="196" t="s">
        <v>78</v>
      </c>
      <c r="Q54" s="196" t="s">
        <v>75</v>
      </c>
      <c r="R5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4" s="198">
        <f>(1 - ((1 - VLOOKUP(Table4[[#This Row],[Confidentiality]],'Reference - CVSSv3.0'!$B$15:$C$17,2,FALSE)) * (1 - VLOOKUP(Table4[[#This Row],[Integrity]],'Reference - CVSSv3.0'!$B$15:$C$17,2,FALSE)) *  (1 - VLOOKUP(Table4[[#This Row],[Availability]],'Reference - CVSSv3.0'!$B$15:$C$17,2,FALSE))))</f>
        <v>0.52544799999999992</v>
      </c>
      <c r="T54" s="198">
        <f>IF(Table4[[#This Row],[Scope]]="Unchanged",6.42*Table4[[#This Row],[ISC Base]],IF(Table4[[#This Row],[Scope]]="Changed",7.52*(Table4[[#This Row],[ISC Base]] - 0.029) - 3.25 * POWER(Table4[[#This Row],[ISC Base]] - 0.02,15),NA()))</f>
        <v>3.3733761599999994</v>
      </c>
      <c r="U5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4" s="182" t="s">
        <v>57</v>
      </c>
      <c r="W54" s="198">
        <f>VLOOKUP(Table4[[#This Row],[Threat Event Initiation]],NIST_Scale_LOAI[],2,FALSE)</f>
        <v>0.2</v>
      </c>
      <c r="X5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49" t="s">
        <v>317</v>
      </c>
      <c r="AA54" s="187"/>
      <c r="AB54" s="206"/>
      <c r="AC54" s="187"/>
      <c r="AD54" s="187"/>
      <c r="AE54" s="187"/>
      <c r="AF54" s="196"/>
      <c r="AG54" s="196"/>
      <c r="AH54" s="196"/>
      <c r="AI54" s="196"/>
      <c r="AJ54" s="201"/>
      <c r="AK5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4" s="198" t="e">
        <f>(1 - ((1 - VLOOKUP(Table4[[#This Row],[ConfidentialityP]],'Reference - CVSSv3.0'!$B$15:$C$17,2,FALSE)) * (1 - VLOOKUP(Table4[[#This Row],[IntegrityP]],'Reference - CVSSv3.0'!$B$15:$C$17,2,FALSE)) *  (1 - VLOOKUP(Table4[[#This Row],[AvailabilityP]],'Reference - CVSSv3.0'!$B$15:$C$17,2,FALSE))))</f>
        <v>#N/A</v>
      </c>
      <c r="AM54" s="198" t="e">
        <f>IF(Table4[[#This Row],[ScopeP]]="Unchanged",6.42*Table4[[#This Row],[ISC BaseP]],IF(Table4[[#This Row],[ScopeP]]="Changed",7.52*(Table4[[#This Row],[ISC BaseP]] - 0.029) - 3.25 * POWER(Table4[[#This Row],[ISC BaseP]] - 0.02,15),NA()))</f>
        <v>#N/A</v>
      </c>
      <c r="AN5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187"/>
    </row>
    <row r="55" spans="1:43" ht="171" x14ac:dyDescent="0.25">
      <c r="A55" s="70">
        <v>51</v>
      </c>
      <c r="B55" s="182" t="s">
        <v>128</v>
      </c>
      <c r="C55" s="195" t="str">
        <f>IF(VLOOKUP(Table4[[#This Row],[T ID]],Table5[#All],5,FALSE)="No","Not in scope",VLOOKUP(Table4[[#This Row],[T ID]],Table5[#All],2,FALSE))</f>
        <v>Gaining Access
([S]TRID[E])</v>
      </c>
      <c r="D55" s="212" t="s">
        <v>250</v>
      </c>
      <c r="E55" s="195" t="str">
        <f>IF(VLOOKUP(Table4[[#This Row],[V ID]],Vulnerabilities[#All],3,FALSE)="No","Not in scope",VLOOKUP(Table4[[#This Row],[V ID]],Vulnerabilities[#All],2,FALSE))</f>
        <v>Controlled Use of Administrative Privileges over the network</v>
      </c>
      <c r="F55" s="213" t="s">
        <v>115</v>
      </c>
      <c r="G55" s="195" t="str">
        <f>VLOOKUP(Table4[[#This Row],[A ID]],Assets[#All],3,FALSE)</f>
        <v xml:space="preserve">Authenication/Authorisation data </v>
      </c>
      <c r="H55" s="49" t="s">
        <v>284</v>
      </c>
      <c r="I55" s="49"/>
      <c r="J55" s="87" t="s">
        <v>57</v>
      </c>
      <c r="K55" s="87" t="s">
        <v>57</v>
      </c>
      <c r="L55" s="87" t="s">
        <v>57</v>
      </c>
      <c r="M55" s="196" t="s">
        <v>79</v>
      </c>
      <c r="N55" s="157" t="s">
        <v>57</v>
      </c>
      <c r="O55" s="157" t="s">
        <v>57</v>
      </c>
      <c r="P55" s="196" t="s">
        <v>77</v>
      </c>
      <c r="Q55" s="196" t="s">
        <v>75</v>
      </c>
      <c r="R5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55" s="198">
        <f>(1 - ((1 - VLOOKUP(Table4[[#This Row],[Confidentiality]],'Reference - CVSSv3.0'!$B$15:$C$17,2,FALSE)) * (1 - VLOOKUP(Table4[[#This Row],[Integrity]],'Reference - CVSSv3.0'!$B$15:$C$17,2,FALSE)) *  (1 - VLOOKUP(Table4[[#This Row],[Availability]],'Reference - CVSSv3.0'!$B$15:$C$17,2,FALSE))))</f>
        <v>0.52544799999999992</v>
      </c>
      <c r="T55" s="198">
        <f>IF(Table4[[#This Row],[Scope]]="Unchanged",6.42*Table4[[#This Row],[ISC Base]],IF(Table4[[#This Row],[Scope]]="Changed",7.52*(Table4[[#This Row],[ISC Base]] - 0.029) - 3.25 * POWER(Table4[[#This Row],[ISC Base]] - 0.02,15),NA()))</f>
        <v>3.3733761599999994</v>
      </c>
      <c r="U55"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55" s="182" t="s">
        <v>57</v>
      </c>
      <c r="W55" s="198">
        <f>VLOOKUP(Table4[[#This Row],[Threat Event Initiation]],NIST_Scale_LOAI[],2,FALSE)</f>
        <v>0.2</v>
      </c>
      <c r="X5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49" t="s">
        <v>334</v>
      </c>
      <c r="AA55" s="187"/>
      <c r="AB55" s="206"/>
      <c r="AC55" s="187"/>
      <c r="AD55" s="187"/>
      <c r="AE55" s="187"/>
      <c r="AF55" s="196"/>
      <c r="AG55" s="196"/>
      <c r="AH55" s="196"/>
      <c r="AI55" s="196"/>
      <c r="AJ55" s="201"/>
      <c r="AK5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5" s="198" t="e">
        <f>(1 - ((1 - VLOOKUP(Table4[[#This Row],[ConfidentialityP]],'Reference - CVSSv3.0'!$B$15:$C$17,2,FALSE)) * (1 - VLOOKUP(Table4[[#This Row],[IntegrityP]],'Reference - CVSSv3.0'!$B$15:$C$17,2,FALSE)) *  (1 - VLOOKUP(Table4[[#This Row],[AvailabilityP]],'Reference - CVSSv3.0'!$B$15:$C$17,2,FALSE))))</f>
        <v>#N/A</v>
      </c>
      <c r="AM55" s="198" t="e">
        <f>IF(Table4[[#This Row],[ScopeP]]="Unchanged",6.42*Table4[[#This Row],[ISC BaseP]],IF(Table4[[#This Row],[ScopeP]]="Changed",7.52*(Table4[[#This Row],[ISC BaseP]] - 0.029) - 3.25 * POWER(Table4[[#This Row],[ISC BaseP]] - 0.02,15),NA()))</f>
        <v>#N/A</v>
      </c>
      <c r="AN5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187"/>
    </row>
    <row r="56" spans="1:43" ht="171" x14ac:dyDescent="0.25">
      <c r="A56" s="70">
        <v>52</v>
      </c>
      <c r="B56" s="182" t="s">
        <v>128</v>
      </c>
      <c r="C56" s="195" t="str">
        <f>IF(VLOOKUP(Table4[[#This Row],[T ID]],Table5[#All],5,FALSE)="No","Not in scope",VLOOKUP(Table4[[#This Row],[T ID]],Table5[#All],2,FALSE))</f>
        <v>Gaining Access
([S]TRID[E])</v>
      </c>
      <c r="D56" s="212" t="s">
        <v>250</v>
      </c>
      <c r="E56" s="195" t="str">
        <f>IF(VLOOKUP(Table4[[#This Row],[V ID]],Vulnerabilities[#All],3,FALSE)="No","Not in scope",VLOOKUP(Table4[[#This Row],[V ID]],Vulnerabilities[#All],2,FALSE))</f>
        <v>Controlled Use of Administrative Privileges over the network</v>
      </c>
      <c r="F56" s="216" t="s">
        <v>109</v>
      </c>
      <c r="G56" s="195" t="str">
        <f>VLOOKUP(Table4[[#This Row],[A ID]],Assets[#All],3,FALSE)</f>
        <v>Smart medic app (Azure Portal Administrator)</v>
      </c>
      <c r="H56" s="49" t="s">
        <v>284</v>
      </c>
      <c r="I56" s="49"/>
      <c r="J56" s="87" t="s">
        <v>57</v>
      </c>
      <c r="K56" s="87" t="s">
        <v>57</v>
      </c>
      <c r="L56" s="87" t="s">
        <v>57</v>
      </c>
      <c r="M56" s="196" t="s">
        <v>79</v>
      </c>
      <c r="N56" s="157" t="s">
        <v>57</v>
      </c>
      <c r="O56" s="157" t="s">
        <v>57</v>
      </c>
      <c r="P56" s="196" t="s">
        <v>77</v>
      </c>
      <c r="Q56" s="196" t="s">
        <v>75</v>
      </c>
      <c r="R5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56" s="198">
        <f>(1 - ((1 - VLOOKUP(Table4[[#This Row],[Confidentiality]],'Reference - CVSSv3.0'!$B$15:$C$17,2,FALSE)) * (1 - VLOOKUP(Table4[[#This Row],[Integrity]],'Reference - CVSSv3.0'!$B$15:$C$17,2,FALSE)) *  (1 - VLOOKUP(Table4[[#This Row],[Availability]],'Reference - CVSSv3.0'!$B$15:$C$17,2,FALSE))))</f>
        <v>0.52544799999999992</v>
      </c>
      <c r="T56" s="198">
        <f>IF(Table4[[#This Row],[Scope]]="Unchanged",6.42*Table4[[#This Row],[ISC Base]],IF(Table4[[#This Row],[Scope]]="Changed",7.52*(Table4[[#This Row],[ISC Base]] - 0.029) - 3.25 * POWER(Table4[[#This Row],[ISC Base]] - 0.02,15),NA()))</f>
        <v>3.3733761599999994</v>
      </c>
      <c r="U56"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56" s="182" t="s">
        <v>57</v>
      </c>
      <c r="W56" s="198">
        <f>VLOOKUP(Table4[[#This Row],[Threat Event Initiation]],NIST_Scale_LOAI[],2,FALSE)</f>
        <v>0.2</v>
      </c>
      <c r="X5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49" t="s">
        <v>335</v>
      </c>
      <c r="AA56" s="187"/>
      <c r="AB56" s="206"/>
      <c r="AC56" s="187"/>
      <c r="AD56" s="187"/>
      <c r="AE56" s="187"/>
      <c r="AF56" s="196"/>
      <c r="AG56" s="196"/>
      <c r="AH56" s="196"/>
      <c r="AI56" s="196"/>
      <c r="AJ56" s="201"/>
      <c r="AK5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6" s="198" t="e">
        <f>(1 - ((1 - VLOOKUP(Table4[[#This Row],[ConfidentialityP]],'Reference - CVSSv3.0'!$B$15:$C$17,2,FALSE)) * (1 - VLOOKUP(Table4[[#This Row],[IntegrityP]],'Reference - CVSSv3.0'!$B$15:$C$17,2,FALSE)) *  (1 - VLOOKUP(Table4[[#This Row],[AvailabilityP]],'Reference - CVSSv3.0'!$B$15:$C$17,2,FALSE))))</f>
        <v>#N/A</v>
      </c>
      <c r="AM56" s="198" t="e">
        <f>IF(Table4[[#This Row],[ScopeP]]="Unchanged",6.42*Table4[[#This Row],[ISC BaseP]],IF(Table4[[#This Row],[ScopeP]]="Changed",7.52*(Table4[[#This Row],[ISC BaseP]] - 0.029) - 3.25 * POWER(Table4[[#This Row],[ISC BaseP]] - 0.02,15),NA()))</f>
        <v>#N/A</v>
      </c>
      <c r="AN5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187"/>
    </row>
    <row r="57" spans="1:43" ht="57" x14ac:dyDescent="0.25">
      <c r="A57" s="70">
        <v>53</v>
      </c>
      <c r="B57" s="182" t="s">
        <v>128</v>
      </c>
      <c r="C57" s="195" t="str">
        <f>IF(VLOOKUP(Table4[[#This Row],[T ID]],Table5[#All],5,FALSE)="No","Not in scope",VLOOKUP(Table4[[#This Row],[T ID]],Table5[#All],2,FALSE))</f>
        <v>Gaining Access
([S]TRID[E])</v>
      </c>
      <c r="D57" s="212" t="s">
        <v>248</v>
      </c>
      <c r="E57" s="195" t="str">
        <f>IF(VLOOKUP(Table4[[#This Row],[V ID]],Vulnerabilities[#All],3,FALSE)="No","Not in scope",VLOOKUP(Table4[[#This Row],[V ID]],Vulnerabilities[#All],2,FALSE))</f>
        <v>Unprotected external USB Port on the tablet/devices.</v>
      </c>
      <c r="F57" s="216" t="s">
        <v>112</v>
      </c>
      <c r="G57" s="195" t="str">
        <f>VLOOKUP(Table4[[#This Row],[A ID]],Assets[#All],3,FALSE)</f>
        <v>Tablet Resources - web cam, microphone, OTG devices, Removable USB, Tablet Application,</v>
      </c>
      <c r="H57" s="49" t="s">
        <v>284</v>
      </c>
      <c r="I57" s="49"/>
      <c r="J57" s="87" t="s">
        <v>57</v>
      </c>
      <c r="K57" s="87" t="s">
        <v>57</v>
      </c>
      <c r="L57" s="87" t="s">
        <v>57</v>
      </c>
      <c r="M57" s="157" t="s">
        <v>76</v>
      </c>
      <c r="N57" s="157" t="s">
        <v>57</v>
      </c>
      <c r="O57" s="157" t="s">
        <v>57</v>
      </c>
      <c r="P57" s="196" t="s">
        <v>77</v>
      </c>
      <c r="Q57" s="196" t="s">
        <v>75</v>
      </c>
      <c r="R5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0.486604272</v>
      </c>
      <c r="S57" s="198">
        <f>(1 - ((1 - VLOOKUP(Table4[[#This Row],[Confidentiality]],'Reference - CVSSv3.0'!$B$15:$C$17,2,FALSE)) * (1 - VLOOKUP(Table4[[#This Row],[Integrity]],'Reference - CVSSv3.0'!$B$15:$C$17,2,FALSE)) *  (1 - VLOOKUP(Table4[[#This Row],[Availability]],'Reference - CVSSv3.0'!$B$15:$C$17,2,FALSE))))</f>
        <v>0.52544799999999992</v>
      </c>
      <c r="T57" s="198">
        <f>IF(Table4[[#This Row],[Scope]]="Unchanged",6.42*Table4[[#This Row],[ISC Base]],IF(Table4[[#This Row],[Scope]]="Changed",7.52*(Table4[[#This Row],[ISC Base]] - 0.029) - 3.25 * POWER(Table4[[#This Row],[ISC Base]] - 0.02,15),NA()))</f>
        <v>3.3733761599999994</v>
      </c>
      <c r="U57" s="198">
        <f>IF(Table4[[#This Row],[Impact Sub Score]]&lt;=0,0,IF(Table4[[#This Row],[Scope]]="Unchanged",ROUNDUP(MIN((Table4[[#This Row],[Impact Sub Score]]+Table4[[#This Row],[Exploitability Sub Score]]),10),1),IF(Table4[[#This Row],[Scope]]="Changed",ROUNDUP(MIN((1.08*(Table4[[#This Row],[Impact Sub Score]]+Table4[[#This Row],[Exploitability Sub Score]])),10),1),NA())))</f>
        <v>3.9</v>
      </c>
      <c r="V57" s="182" t="s">
        <v>57</v>
      </c>
      <c r="W57" s="198">
        <f>VLOOKUP(Table4[[#This Row],[Threat Event Initiation]],NIST_Scale_LOAI[],2,FALSE)</f>
        <v>0.2</v>
      </c>
      <c r="X5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49" t="s">
        <v>311</v>
      </c>
      <c r="AA57" s="187"/>
      <c r="AB57" s="206"/>
      <c r="AC57" s="187"/>
      <c r="AD57" s="187"/>
      <c r="AE57" s="187"/>
      <c r="AF57" s="196"/>
      <c r="AG57" s="196"/>
      <c r="AH57" s="196"/>
      <c r="AI57" s="196"/>
      <c r="AJ57" s="201"/>
      <c r="AK5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7" s="198" t="e">
        <f>(1 - ((1 - VLOOKUP(Table4[[#This Row],[ConfidentialityP]],'Reference - CVSSv3.0'!$B$15:$C$17,2,FALSE)) * (1 - VLOOKUP(Table4[[#This Row],[IntegrityP]],'Reference - CVSSv3.0'!$B$15:$C$17,2,FALSE)) *  (1 - VLOOKUP(Table4[[#This Row],[AvailabilityP]],'Reference - CVSSv3.0'!$B$15:$C$17,2,FALSE))))</f>
        <v>#N/A</v>
      </c>
      <c r="AM57" s="198" t="e">
        <f>IF(Table4[[#This Row],[ScopeP]]="Unchanged",6.42*Table4[[#This Row],[ISC BaseP]],IF(Table4[[#This Row],[ScopeP]]="Changed",7.52*(Table4[[#This Row],[ISC BaseP]] - 0.029) - 3.25 * POWER(Table4[[#This Row],[ISC BaseP]] - 0.02,15),NA()))</f>
        <v>#N/A</v>
      </c>
      <c r="AN5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187"/>
    </row>
    <row r="58" spans="1:43" ht="85.5" x14ac:dyDescent="0.25">
      <c r="A58" s="70">
        <v>54</v>
      </c>
      <c r="B58" s="182" t="s">
        <v>129</v>
      </c>
      <c r="C58" s="195" t="str">
        <f>IF(VLOOKUP(Table4[[#This Row],[T ID]],Table5[#All],5,FALSE)="No","Not in scope",VLOOKUP(Table4[[#This Row],[T ID]],Table5[#All],2,FALSE))</f>
        <v>Maintaining Access
(TTP)</v>
      </c>
      <c r="D58" s="212" t="s">
        <v>121</v>
      </c>
      <c r="E58" s="195" t="str">
        <f>IF(VLOOKUP(Table4[[#This Row],[V ID]],Vulnerabilities[#All],3,FALSE)="No","Not in scope",VLOOKUP(Table4[[#This Row],[V ID]],Vulnerabilities[#All],2,FALSE))</f>
        <v>Devices with default passwords needs to be checked for bruteforce attacks</v>
      </c>
      <c r="F58" s="216" t="s">
        <v>108</v>
      </c>
      <c r="G58" s="195" t="str">
        <f>VLOOKUP(Table4[[#This Row],[A ID]],Assets[#All],3,FALSE)</f>
        <v>Smart medic app (Stryker Azure Cloud Web Application)</v>
      </c>
      <c r="H58" s="49" t="s">
        <v>284</v>
      </c>
      <c r="I58" s="49"/>
      <c r="J58" s="87" t="s">
        <v>66</v>
      </c>
      <c r="K58" s="87" t="s">
        <v>57</v>
      </c>
      <c r="L58" s="87" t="s">
        <v>57</v>
      </c>
      <c r="M58" s="196" t="s">
        <v>76</v>
      </c>
      <c r="N58" s="157" t="s">
        <v>57</v>
      </c>
      <c r="O58" s="157" t="s">
        <v>57</v>
      </c>
      <c r="P58" s="196" t="s">
        <v>78</v>
      </c>
      <c r="Q58" s="196" t="s">
        <v>75</v>
      </c>
      <c r="R5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8" s="198">
        <f>(1 - ((1 - VLOOKUP(Table4[[#This Row],[Confidentiality]],'Reference - CVSSv3.0'!$B$15:$C$17,2,FALSE)) * (1 - VLOOKUP(Table4[[#This Row],[Integrity]],'Reference - CVSSv3.0'!$B$15:$C$17,2,FALSE)) *  (1 - VLOOKUP(Table4[[#This Row],[Availability]],'Reference - CVSSv3.0'!$B$15:$C$17,2,FALSE))))</f>
        <v>0.73230400000000007</v>
      </c>
      <c r="T58" s="198">
        <f>IF(Table4[[#This Row],[Scope]]="Unchanged",6.42*Table4[[#This Row],[ISC Base]],IF(Table4[[#This Row],[Scope]]="Changed",7.52*(Table4[[#This Row],[ISC Base]] - 0.029) - 3.25 * POWER(Table4[[#This Row],[ISC Base]] - 0.02,15),NA()))</f>
        <v>4.7013916800000004</v>
      </c>
      <c r="U58" s="198">
        <f>IF(Table4[[#This Row],[Impact Sub Score]]&lt;=0,0,IF(Table4[[#This Row],[Scope]]="Unchanged",ROUNDUP(MIN((Table4[[#This Row],[Impact Sub Score]]+Table4[[#This Row],[Exploitability Sub Score]]),10),1),IF(Table4[[#This Row],[Scope]]="Changed",ROUNDUP(MIN((1.08*(Table4[[#This Row],[Impact Sub Score]]+Table4[[#This Row],[Exploitability Sub Score]])),10),1),NA())))</f>
        <v>5.3999999999999995</v>
      </c>
      <c r="V58" s="182" t="s">
        <v>66</v>
      </c>
      <c r="W58" s="198">
        <f>VLOOKUP(Table4[[#This Row],[Threat Event Initiation]],NIST_Scale_LOAI[],2,FALSE)</f>
        <v>0.8</v>
      </c>
      <c r="X5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5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49" t="s">
        <v>319</v>
      </c>
      <c r="AA58" s="187"/>
      <c r="AB58" s="206"/>
      <c r="AC58" s="187"/>
      <c r="AD58" s="187"/>
      <c r="AE58" s="187"/>
      <c r="AF58" s="196"/>
      <c r="AG58" s="196"/>
      <c r="AH58" s="196"/>
      <c r="AI58" s="196"/>
      <c r="AJ58" s="201"/>
      <c r="AK5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8" s="198" t="e">
        <f>(1 - ((1 - VLOOKUP(Table4[[#This Row],[ConfidentialityP]],'Reference - CVSSv3.0'!$B$15:$C$17,2,FALSE)) * (1 - VLOOKUP(Table4[[#This Row],[IntegrityP]],'Reference - CVSSv3.0'!$B$15:$C$17,2,FALSE)) *  (1 - VLOOKUP(Table4[[#This Row],[AvailabilityP]],'Reference - CVSSv3.0'!$B$15:$C$17,2,FALSE))))</f>
        <v>#N/A</v>
      </c>
      <c r="AM58" s="198" t="e">
        <f>IF(Table4[[#This Row],[ScopeP]]="Unchanged",6.42*Table4[[#This Row],[ISC BaseP]],IF(Table4[[#This Row],[ScopeP]]="Changed",7.52*(Table4[[#This Row],[ISC BaseP]] - 0.029) - 3.25 * POWER(Table4[[#This Row],[ISC BaseP]] - 0.02,15),NA()))</f>
        <v>#N/A</v>
      </c>
      <c r="AN5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187"/>
    </row>
    <row r="59" spans="1:43" ht="85.5" x14ac:dyDescent="0.25">
      <c r="A59" s="70">
        <v>55</v>
      </c>
      <c r="B59" s="182" t="s">
        <v>129</v>
      </c>
      <c r="C59" s="195" t="str">
        <f>IF(VLOOKUP(Table4[[#This Row],[T ID]],Table5[#All],5,FALSE)="No","Not in scope",VLOOKUP(Table4[[#This Row],[T ID]],Table5[#All],2,FALSE))</f>
        <v>Maintaining Access
(TTP)</v>
      </c>
      <c r="D59" s="212" t="s">
        <v>121</v>
      </c>
      <c r="E59" s="195" t="str">
        <f>IF(VLOOKUP(Table4[[#This Row],[V ID]],Vulnerabilities[#All],3,FALSE)="No","Not in scope",VLOOKUP(Table4[[#This Row],[V ID]],Vulnerabilities[#All],2,FALSE))</f>
        <v>Devices with default passwords needs to be checked for bruteforce attacks</v>
      </c>
      <c r="F59" s="216" t="s">
        <v>109</v>
      </c>
      <c r="G59" s="195" t="str">
        <f>VLOOKUP(Table4[[#This Row],[A ID]],Assets[#All],3,FALSE)</f>
        <v>Smart medic app (Azure Portal Administrator)</v>
      </c>
      <c r="H59" s="49" t="s">
        <v>284</v>
      </c>
      <c r="I59" s="49"/>
      <c r="J59" s="87" t="s">
        <v>66</v>
      </c>
      <c r="K59" s="87" t="s">
        <v>57</v>
      </c>
      <c r="L59" s="87" t="s">
        <v>57</v>
      </c>
      <c r="M59" s="196" t="s">
        <v>76</v>
      </c>
      <c r="N59" s="157" t="s">
        <v>57</v>
      </c>
      <c r="O59" s="157" t="s">
        <v>57</v>
      </c>
      <c r="P59" s="196" t="s">
        <v>78</v>
      </c>
      <c r="Q59" s="196" t="s">
        <v>75</v>
      </c>
      <c r="R5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59" s="198">
        <f>(1 - ((1 - VLOOKUP(Table4[[#This Row],[Confidentiality]],'Reference - CVSSv3.0'!$B$15:$C$17,2,FALSE)) * (1 - VLOOKUP(Table4[[#This Row],[Integrity]],'Reference - CVSSv3.0'!$B$15:$C$17,2,FALSE)) *  (1 - VLOOKUP(Table4[[#This Row],[Availability]],'Reference - CVSSv3.0'!$B$15:$C$17,2,FALSE))))</f>
        <v>0.73230400000000007</v>
      </c>
      <c r="T59" s="198">
        <f>IF(Table4[[#This Row],[Scope]]="Unchanged",6.42*Table4[[#This Row],[ISC Base]],IF(Table4[[#This Row],[Scope]]="Changed",7.52*(Table4[[#This Row],[ISC Base]] - 0.029) - 3.25 * POWER(Table4[[#This Row],[ISC Base]] - 0.02,15),NA()))</f>
        <v>4.7013916800000004</v>
      </c>
      <c r="U59" s="198">
        <f>IF(Table4[[#This Row],[Impact Sub Score]]&lt;=0,0,IF(Table4[[#This Row],[Scope]]="Unchanged",ROUNDUP(MIN((Table4[[#This Row],[Impact Sub Score]]+Table4[[#This Row],[Exploitability Sub Score]]),10),1),IF(Table4[[#This Row],[Scope]]="Changed",ROUNDUP(MIN((1.08*(Table4[[#This Row],[Impact Sub Score]]+Table4[[#This Row],[Exploitability Sub Score]])),10),1),NA())))</f>
        <v>5.3999999999999995</v>
      </c>
      <c r="V59" s="182" t="s">
        <v>66</v>
      </c>
      <c r="W59" s="198">
        <f>VLOOKUP(Table4[[#This Row],[Threat Event Initiation]],NIST_Scale_LOAI[],2,FALSE)</f>
        <v>0.8</v>
      </c>
      <c r="X5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5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49" t="s">
        <v>319</v>
      </c>
      <c r="AA59" s="187"/>
      <c r="AB59" s="206"/>
      <c r="AC59" s="187"/>
      <c r="AD59" s="187"/>
      <c r="AE59" s="187"/>
      <c r="AF59" s="196"/>
      <c r="AG59" s="196"/>
      <c r="AH59" s="196"/>
      <c r="AI59" s="196"/>
      <c r="AJ59" s="201"/>
      <c r="AK5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59" s="198" t="e">
        <f>(1 - ((1 - VLOOKUP(Table4[[#This Row],[ConfidentialityP]],'Reference - CVSSv3.0'!$B$15:$C$17,2,FALSE)) * (1 - VLOOKUP(Table4[[#This Row],[IntegrityP]],'Reference - CVSSv3.0'!$B$15:$C$17,2,FALSE)) *  (1 - VLOOKUP(Table4[[#This Row],[AvailabilityP]],'Reference - CVSSv3.0'!$B$15:$C$17,2,FALSE))))</f>
        <v>#N/A</v>
      </c>
      <c r="AM59" s="198" t="e">
        <f>IF(Table4[[#This Row],[ScopeP]]="Unchanged",6.42*Table4[[#This Row],[ISC BaseP]],IF(Table4[[#This Row],[ScopeP]]="Changed",7.52*(Table4[[#This Row],[ISC BaseP]] - 0.029) - 3.25 * POWER(Table4[[#This Row],[ISC BaseP]] - 0.02,15),NA()))</f>
        <v>#N/A</v>
      </c>
      <c r="AN5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187"/>
    </row>
    <row r="60" spans="1:43" ht="85.5" x14ac:dyDescent="0.25">
      <c r="A60" s="70">
        <v>56</v>
      </c>
      <c r="B60" s="182" t="s">
        <v>129</v>
      </c>
      <c r="C60" s="195" t="str">
        <f>IF(VLOOKUP(Table4[[#This Row],[T ID]],Table5[#All],5,FALSE)="No","Not in scope",VLOOKUP(Table4[[#This Row],[T ID]],Table5[#All],2,FALSE))</f>
        <v>Maintaining Access
(TTP)</v>
      </c>
      <c r="D60" s="212" t="s">
        <v>121</v>
      </c>
      <c r="E60" s="195" t="str">
        <f>IF(VLOOKUP(Table4[[#This Row],[V ID]],Vulnerabilities[#All],3,FALSE)="No","Not in scope",VLOOKUP(Table4[[#This Row],[V ID]],Vulnerabilities[#All],2,FALSE))</f>
        <v>Devices with default passwords needs to be checked for bruteforce attacks</v>
      </c>
      <c r="F60" s="213" t="s">
        <v>115</v>
      </c>
      <c r="G60" s="195" t="str">
        <f>VLOOKUP(Table4[[#This Row],[A ID]],Assets[#All],3,FALSE)</f>
        <v xml:space="preserve">Authenication/Authorisation data </v>
      </c>
      <c r="H60" s="49" t="s">
        <v>284</v>
      </c>
      <c r="I60" s="49"/>
      <c r="J60" s="87" t="s">
        <v>57</v>
      </c>
      <c r="K60" s="87" t="s">
        <v>57</v>
      </c>
      <c r="L60" s="87" t="s">
        <v>57</v>
      </c>
      <c r="M60" s="196" t="s">
        <v>76</v>
      </c>
      <c r="N60" s="157" t="s">
        <v>57</v>
      </c>
      <c r="O60" s="157" t="s">
        <v>57</v>
      </c>
      <c r="P60" s="196" t="s">
        <v>78</v>
      </c>
      <c r="Q60" s="196" t="s">
        <v>75</v>
      </c>
      <c r="R6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60" s="198">
        <f>(1 - ((1 - VLOOKUP(Table4[[#This Row],[Confidentiality]],'Reference - CVSSv3.0'!$B$15:$C$17,2,FALSE)) * (1 - VLOOKUP(Table4[[#This Row],[Integrity]],'Reference - CVSSv3.0'!$B$15:$C$17,2,FALSE)) *  (1 - VLOOKUP(Table4[[#This Row],[Availability]],'Reference - CVSSv3.0'!$B$15:$C$17,2,FALSE))))</f>
        <v>0.52544799999999992</v>
      </c>
      <c r="T60" s="198">
        <f>IF(Table4[[#This Row],[Scope]]="Unchanged",6.42*Table4[[#This Row],[ISC Base]],IF(Table4[[#This Row],[Scope]]="Changed",7.52*(Table4[[#This Row],[ISC Base]] - 0.029) - 3.25 * POWER(Table4[[#This Row],[ISC Base]] - 0.02,15),NA()))</f>
        <v>3.3733761599999994</v>
      </c>
      <c r="U6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60" s="182" t="s">
        <v>56</v>
      </c>
      <c r="W60" s="198">
        <f>VLOOKUP(Table4[[#This Row],[Threat Event Initiation]],NIST_Scale_LOAI[],2,FALSE)</f>
        <v>0.5</v>
      </c>
      <c r="X6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49" t="s">
        <v>319</v>
      </c>
      <c r="AA60" s="187"/>
      <c r="AB60" s="206"/>
      <c r="AC60" s="187"/>
      <c r="AD60" s="187"/>
      <c r="AE60" s="187"/>
      <c r="AF60" s="196"/>
      <c r="AG60" s="196"/>
      <c r="AH60" s="196"/>
      <c r="AI60" s="196"/>
      <c r="AJ60" s="201"/>
      <c r="AK6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0" s="198" t="e">
        <f>(1 - ((1 - VLOOKUP(Table4[[#This Row],[ConfidentialityP]],'Reference - CVSSv3.0'!$B$15:$C$17,2,FALSE)) * (1 - VLOOKUP(Table4[[#This Row],[IntegrityP]],'Reference - CVSSv3.0'!$B$15:$C$17,2,FALSE)) *  (1 - VLOOKUP(Table4[[#This Row],[AvailabilityP]],'Reference - CVSSv3.0'!$B$15:$C$17,2,FALSE))))</f>
        <v>#N/A</v>
      </c>
      <c r="AM60" s="198" t="e">
        <f>IF(Table4[[#This Row],[ScopeP]]="Unchanged",6.42*Table4[[#This Row],[ISC BaseP]],IF(Table4[[#This Row],[ScopeP]]="Changed",7.52*(Table4[[#This Row],[ISC BaseP]] - 0.029) - 3.25 * POWER(Table4[[#This Row],[ISC BaseP]] - 0.02,15),NA()))</f>
        <v>#N/A</v>
      </c>
      <c r="AN6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187"/>
    </row>
    <row r="61" spans="1:43" ht="99.75" x14ac:dyDescent="0.25">
      <c r="A61" s="70">
        <v>57</v>
      </c>
      <c r="B61" s="182" t="s">
        <v>129</v>
      </c>
      <c r="C61" s="195" t="str">
        <f>IF(VLOOKUP(Table4[[#This Row],[T ID]],Table5[#All],5,FALSE)="No","Not in scope",VLOOKUP(Table4[[#This Row],[T ID]],Table5[#All],2,FALSE))</f>
        <v>Maintaining Access
(TTP)</v>
      </c>
      <c r="D61" s="212" t="s">
        <v>225</v>
      </c>
      <c r="E61" s="195" t="str">
        <f>IF(VLOOKUP(Table4[[#This Row],[V ID]],Vulnerabilities[#All],3,FALSE)="No","Not in scope",VLOOKUP(Table4[[#This Row],[V ID]],Vulnerabilities[#All],2,FALSE))</f>
        <v>The password complexity or location vulnerability. Like weak passwords and hardcoded passwords.</v>
      </c>
      <c r="F61" s="216" t="s">
        <v>108</v>
      </c>
      <c r="G61" s="195" t="str">
        <f>VLOOKUP(Table4[[#This Row],[A ID]],Assets[#All],3,FALSE)</f>
        <v>Smart medic app (Stryker Azure Cloud Web Application)</v>
      </c>
      <c r="H61" s="49" t="s">
        <v>284</v>
      </c>
      <c r="I61" s="49"/>
      <c r="J61" s="87" t="s">
        <v>57</v>
      </c>
      <c r="K61" s="87" t="s">
        <v>57</v>
      </c>
      <c r="L61" s="87" t="s">
        <v>57</v>
      </c>
      <c r="M61" s="196" t="s">
        <v>80</v>
      </c>
      <c r="N61" s="157" t="s">
        <v>57</v>
      </c>
      <c r="O61" s="157" t="s">
        <v>57</v>
      </c>
      <c r="P61" s="196" t="s">
        <v>77</v>
      </c>
      <c r="Q61" s="196" t="s">
        <v>75</v>
      </c>
      <c r="R6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61" s="198">
        <f>(1 - ((1 - VLOOKUP(Table4[[#This Row],[Confidentiality]],'Reference - CVSSv3.0'!$B$15:$C$17,2,FALSE)) * (1 - VLOOKUP(Table4[[#This Row],[Integrity]],'Reference - CVSSv3.0'!$B$15:$C$17,2,FALSE)) *  (1 - VLOOKUP(Table4[[#This Row],[Availability]],'Reference - CVSSv3.0'!$B$15:$C$17,2,FALSE))))</f>
        <v>0.52544799999999992</v>
      </c>
      <c r="T61" s="198">
        <f>IF(Table4[[#This Row],[Scope]]="Unchanged",6.42*Table4[[#This Row],[ISC Base]],IF(Table4[[#This Row],[Scope]]="Changed",7.52*(Table4[[#This Row],[ISC Base]] - 0.029) - 3.25 * POWER(Table4[[#This Row],[ISC Base]] - 0.02,15),NA()))</f>
        <v>3.3733761599999994</v>
      </c>
      <c r="U61"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1" s="182" t="s">
        <v>57</v>
      </c>
      <c r="W61" s="198">
        <f>VLOOKUP(Table4[[#This Row],[Threat Event Initiation]],NIST_Scale_LOAI[],2,FALSE)</f>
        <v>0.2</v>
      </c>
      <c r="X6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49" t="s">
        <v>320</v>
      </c>
      <c r="AA61" s="187"/>
      <c r="AB61" s="206"/>
      <c r="AC61" s="187"/>
      <c r="AD61" s="187"/>
      <c r="AE61" s="187"/>
      <c r="AF61" s="196"/>
      <c r="AG61" s="196"/>
      <c r="AH61" s="196"/>
      <c r="AI61" s="196"/>
      <c r="AJ61" s="201"/>
      <c r="AK6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1" s="198" t="e">
        <f>(1 - ((1 - VLOOKUP(Table4[[#This Row],[ConfidentialityP]],'Reference - CVSSv3.0'!$B$15:$C$17,2,FALSE)) * (1 - VLOOKUP(Table4[[#This Row],[IntegrityP]],'Reference - CVSSv3.0'!$B$15:$C$17,2,FALSE)) *  (1 - VLOOKUP(Table4[[#This Row],[AvailabilityP]],'Reference - CVSSv3.0'!$B$15:$C$17,2,FALSE))))</f>
        <v>#N/A</v>
      </c>
      <c r="AM61" s="198" t="e">
        <f>IF(Table4[[#This Row],[ScopeP]]="Unchanged",6.42*Table4[[#This Row],[ISC BaseP]],IF(Table4[[#This Row],[ScopeP]]="Changed",7.52*(Table4[[#This Row],[ISC BaseP]] - 0.029) - 3.25 * POWER(Table4[[#This Row],[ISC BaseP]] - 0.02,15),NA()))</f>
        <v>#N/A</v>
      </c>
      <c r="AN6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187"/>
    </row>
    <row r="62" spans="1:43" ht="85.5" x14ac:dyDescent="0.25">
      <c r="A62" s="70">
        <v>58</v>
      </c>
      <c r="B62" s="182" t="s">
        <v>129</v>
      </c>
      <c r="C62" s="195" t="str">
        <f>IF(VLOOKUP(Table4[[#This Row],[T ID]],Table5[#All],5,FALSE)="No","Not in scope",VLOOKUP(Table4[[#This Row],[T ID]],Table5[#All],2,FALSE))</f>
        <v>Maintaining Access
(TTP)</v>
      </c>
      <c r="D62" s="212" t="s">
        <v>225</v>
      </c>
      <c r="E62" s="195" t="str">
        <f>IF(VLOOKUP(Table4[[#This Row],[V ID]],Vulnerabilities[#All],3,FALSE)="No","Not in scope",VLOOKUP(Table4[[#This Row],[V ID]],Vulnerabilities[#All],2,FALSE))</f>
        <v>The password complexity or location vulnerability. Like weak passwords and hardcoded passwords.</v>
      </c>
      <c r="F62" s="216" t="s">
        <v>109</v>
      </c>
      <c r="G62" s="195" t="str">
        <f>VLOOKUP(Table4[[#This Row],[A ID]],Assets[#All],3,FALSE)</f>
        <v>Smart medic app (Azure Portal Administrator)</v>
      </c>
      <c r="H62" s="49" t="s">
        <v>284</v>
      </c>
      <c r="I62" s="49"/>
      <c r="J62" s="87" t="s">
        <v>57</v>
      </c>
      <c r="K62" s="87" t="s">
        <v>57</v>
      </c>
      <c r="L62" s="87" t="s">
        <v>57</v>
      </c>
      <c r="M62" s="196" t="s">
        <v>80</v>
      </c>
      <c r="N62" s="157" t="s">
        <v>57</v>
      </c>
      <c r="O62" s="157" t="s">
        <v>57</v>
      </c>
      <c r="P62" s="196" t="s">
        <v>77</v>
      </c>
      <c r="Q62" s="196" t="s">
        <v>75</v>
      </c>
      <c r="R6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62" s="198">
        <f>(1 - ((1 - VLOOKUP(Table4[[#This Row],[Confidentiality]],'Reference - CVSSv3.0'!$B$15:$C$17,2,FALSE)) * (1 - VLOOKUP(Table4[[#This Row],[Integrity]],'Reference - CVSSv3.0'!$B$15:$C$17,2,FALSE)) *  (1 - VLOOKUP(Table4[[#This Row],[Availability]],'Reference - CVSSv3.0'!$B$15:$C$17,2,FALSE))))</f>
        <v>0.52544799999999992</v>
      </c>
      <c r="T62" s="198">
        <f>IF(Table4[[#This Row],[Scope]]="Unchanged",6.42*Table4[[#This Row],[ISC Base]],IF(Table4[[#This Row],[Scope]]="Changed",7.52*(Table4[[#This Row],[ISC Base]] - 0.029) - 3.25 * POWER(Table4[[#This Row],[ISC Base]] - 0.02,15),NA()))</f>
        <v>3.3733761599999994</v>
      </c>
      <c r="U62"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2" s="182" t="s">
        <v>57</v>
      </c>
      <c r="W62" s="198">
        <f>VLOOKUP(Table4[[#This Row],[Threat Event Initiation]],NIST_Scale_LOAI[],2,FALSE)</f>
        <v>0.2</v>
      </c>
      <c r="X6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49" t="s">
        <v>319</v>
      </c>
      <c r="AA62" s="187"/>
      <c r="AB62" s="206"/>
      <c r="AC62" s="187"/>
      <c r="AD62" s="187"/>
      <c r="AE62" s="187"/>
      <c r="AF62" s="196"/>
      <c r="AG62" s="196"/>
      <c r="AH62" s="196"/>
      <c r="AI62" s="196"/>
      <c r="AJ62" s="201"/>
      <c r="AK6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2" s="198" t="e">
        <f>(1 - ((1 - VLOOKUP(Table4[[#This Row],[ConfidentialityP]],'Reference - CVSSv3.0'!$B$15:$C$17,2,FALSE)) * (1 - VLOOKUP(Table4[[#This Row],[IntegrityP]],'Reference - CVSSv3.0'!$B$15:$C$17,2,FALSE)) *  (1 - VLOOKUP(Table4[[#This Row],[AvailabilityP]],'Reference - CVSSv3.0'!$B$15:$C$17,2,FALSE))))</f>
        <v>#N/A</v>
      </c>
      <c r="AM62" s="198" t="e">
        <f>IF(Table4[[#This Row],[ScopeP]]="Unchanged",6.42*Table4[[#This Row],[ISC BaseP]],IF(Table4[[#This Row],[ScopeP]]="Changed",7.52*(Table4[[#This Row],[ISC BaseP]] - 0.029) - 3.25 * POWER(Table4[[#This Row],[ISC BaseP]] - 0.02,15),NA()))</f>
        <v>#N/A</v>
      </c>
      <c r="AN6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187"/>
    </row>
    <row r="63" spans="1:43" ht="85.5" x14ac:dyDescent="0.25">
      <c r="A63" s="70">
        <v>59</v>
      </c>
      <c r="B63" s="182" t="s">
        <v>129</v>
      </c>
      <c r="C63" s="195" t="str">
        <f>IF(VLOOKUP(Table4[[#This Row],[T ID]],Table5[#All],5,FALSE)="No","Not in scope",VLOOKUP(Table4[[#This Row],[T ID]],Table5[#All],2,FALSE))</f>
        <v>Maintaining Access
(TTP)</v>
      </c>
      <c r="D63" s="212" t="s">
        <v>225</v>
      </c>
      <c r="E63" s="195" t="str">
        <f>IF(VLOOKUP(Table4[[#This Row],[V ID]],Vulnerabilities[#All],3,FALSE)="No","Not in scope",VLOOKUP(Table4[[#This Row],[V ID]],Vulnerabilities[#All],2,FALSE))</f>
        <v>The password complexity or location vulnerability. Like weak passwords and hardcoded passwords.</v>
      </c>
      <c r="F63" s="213" t="s">
        <v>115</v>
      </c>
      <c r="G63" s="195" t="str">
        <f>VLOOKUP(Table4[[#This Row],[A ID]],Assets[#All],3,FALSE)</f>
        <v xml:space="preserve">Authenication/Authorisation data </v>
      </c>
      <c r="H63" s="49" t="s">
        <v>284</v>
      </c>
      <c r="I63" s="49"/>
      <c r="J63" s="87" t="s">
        <v>57</v>
      </c>
      <c r="K63" s="87" t="s">
        <v>57</v>
      </c>
      <c r="L63" s="87" t="s">
        <v>57</v>
      </c>
      <c r="M63" s="196" t="s">
        <v>80</v>
      </c>
      <c r="N63" s="157" t="s">
        <v>57</v>
      </c>
      <c r="O63" s="157" t="s">
        <v>57</v>
      </c>
      <c r="P63" s="196" t="s">
        <v>77</v>
      </c>
      <c r="Q63" s="196" t="s">
        <v>75</v>
      </c>
      <c r="R6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63" s="198">
        <f>(1 - ((1 - VLOOKUP(Table4[[#This Row],[Confidentiality]],'Reference - CVSSv3.0'!$B$15:$C$17,2,FALSE)) * (1 - VLOOKUP(Table4[[#This Row],[Integrity]],'Reference - CVSSv3.0'!$B$15:$C$17,2,FALSE)) *  (1 - VLOOKUP(Table4[[#This Row],[Availability]],'Reference - CVSSv3.0'!$B$15:$C$17,2,FALSE))))</f>
        <v>0.52544799999999992</v>
      </c>
      <c r="T63" s="198">
        <f>IF(Table4[[#This Row],[Scope]]="Unchanged",6.42*Table4[[#This Row],[ISC Base]],IF(Table4[[#This Row],[Scope]]="Changed",7.52*(Table4[[#This Row],[ISC Base]] - 0.029) - 3.25 * POWER(Table4[[#This Row],[ISC Base]] - 0.02,15),NA()))</f>
        <v>3.3733761599999994</v>
      </c>
      <c r="U63"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3" s="182" t="s">
        <v>57</v>
      </c>
      <c r="W63" s="198">
        <f>VLOOKUP(Table4[[#This Row],[Threat Event Initiation]],NIST_Scale_LOAI[],2,FALSE)</f>
        <v>0.2</v>
      </c>
      <c r="X6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49" t="s">
        <v>319</v>
      </c>
      <c r="AA63" s="187"/>
      <c r="AB63" s="206"/>
      <c r="AC63" s="187"/>
      <c r="AD63" s="187"/>
      <c r="AE63" s="187"/>
      <c r="AF63" s="196"/>
      <c r="AG63" s="196"/>
      <c r="AH63" s="196"/>
      <c r="AI63" s="196"/>
      <c r="AJ63" s="201"/>
      <c r="AK6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3" s="198" t="e">
        <f>(1 - ((1 - VLOOKUP(Table4[[#This Row],[ConfidentialityP]],'Reference - CVSSv3.0'!$B$15:$C$17,2,FALSE)) * (1 - VLOOKUP(Table4[[#This Row],[IntegrityP]],'Reference - CVSSv3.0'!$B$15:$C$17,2,FALSE)) *  (1 - VLOOKUP(Table4[[#This Row],[AvailabilityP]],'Reference - CVSSv3.0'!$B$15:$C$17,2,FALSE))))</f>
        <v>#N/A</v>
      </c>
      <c r="AM63" s="198" t="e">
        <f>IF(Table4[[#This Row],[ScopeP]]="Unchanged",6.42*Table4[[#This Row],[ISC BaseP]],IF(Table4[[#This Row],[ScopeP]]="Changed",7.52*(Table4[[#This Row],[ISC BaseP]] - 0.029) - 3.25 * POWER(Table4[[#This Row],[ISC BaseP]] - 0.02,15),NA()))</f>
        <v>#N/A</v>
      </c>
      <c r="AN6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187"/>
    </row>
    <row r="64" spans="1:43" ht="57" x14ac:dyDescent="0.25">
      <c r="A64" s="70">
        <v>60</v>
      </c>
      <c r="B64" s="182" t="s">
        <v>129</v>
      </c>
      <c r="C64" s="195" t="str">
        <f>IF(VLOOKUP(Table4[[#This Row],[T ID]],Table5[#All],5,FALSE)="No","Not in scope",VLOOKUP(Table4[[#This Row],[T ID]],Table5[#All],2,FALSE))</f>
        <v>Maintaining Access
(TTP)</v>
      </c>
      <c r="D64" s="212" t="s">
        <v>226</v>
      </c>
      <c r="E64" s="195" t="str">
        <f>IF(VLOOKUP(Table4[[#This Row],[V ID]],Vulnerabilities[#All],3,FALSE)="No","Not in scope",VLOOKUP(Table4[[#This Row],[V ID]],Vulnerabilities[#All],2,FALSE))</f>
        <v>Checking authentication modes for possible hacks and bypasses</v>
      </c>
      <c r="F64" s="216" t="s">
        <v>108</v>
      </c>
      <c r="G64" s="195" t="str">
        <f>VLOOKUP(Table4[[#This Row],[A ID]],Assets[#All],3,FALSE)</f>
        <v>Smart medic app (Stryker Azure Cloud Web Application)</v>
      </c>
      <c r="H64" s="49" t="s">
        <v>284</v>
      </c>
      <c r="I64" s="49"/>
      <c r="J64" s="87" t="s">
        <v>57</v>
      </c>
      <c r="K64" s="87" t="s">
        <v>57</v>
      </c>
      <c r="L64" s="87" t="s">
        <v>57</v>
      </c>
      <c r="M64" s="196" t="s">
        <v>76</v>
      </c>
      <c r="N64" s="157" t="s">
        <v>57</v>
      </c>
      <c r="O64" s="157" t="s">
        <v>57</v>
      </c>
      <c r="P64" s="196" t="s">
        <v>78</v>
      </c>
      <c r="Q64" s="196" t="s">
        <v>75</v>
      </c>
      <c r="R6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64" s="198">
        <f>(1 - ((1 - VLOOKUP(Table4[[#This Row],[Confidentiality]],'Reference - CVSSv3.0'!$B$15:$C$17,2,FALSE)) * (1 - VLOOKUP(Table4[[#This Row],[Integrity]],'Reference - CVSSv3.0'!$B$15:$C$17,2,FALSE)) *  (1 - VLOOKUP(Table4[[#This Row],[Availability]],'Reference - CVSSv3.0'!$B$15:$C$17,2,FALSE))))</f>
        <v>0.52544799999999992</v>
      </c>
      <c r="T64" s="198">
        <f>IF(Table4[[#This Row],[Scope]]="Unchanged",6.42*Table4[[#This Row],[ISC Base]],IF(Table4[[#This Row],[Scope]]="Changed",7.52*(Table4[[#This Row],[ISC Base]] - 0.029) - 3.25 * POWER(Table4[[#This Row],[ISC Base]] - 0.02,15),NA()))</f>
        <v>3.3733761599999994</v>
      </c>
      <c r="U64"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64" s="182" t="s">
        <v>56</v>
      </c>
      <c r="W64" s="198">
        <f>VLOOKUP(Table4[[#This Row],[Threat Event Initiation]],NIST_Scale_LOAI[],2,FALSE)</f>
        <v>0.5</v>
      </c>
      <c r="X6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4" s="49" t="s">
        <v>336</v>
      </c>
      <c r="AA64" s="187"/>
      <c r="AB64" s="206"/>
      <c r="AC64" s="187"/>
      <c r="AD64" s="187"/>
      <c r="AE64" s="187"/>
      <c r="AF64" s="196"/>
      <c r="AG64" s="196"/>
      <c r="AH64" s="196"/>
      <c r="AI64" s="196"/>
      <c r="AJ64" s="201"/>
      <c r="AK6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4" s="198" t="e">
        <f>(1 - ((1 - VLOOKUP(Table4[[#This Row],[ConfidentialityP]],'Reference - CVSSv3.0'!$B$15:$C$17,2,FALSE)) * (1 - VLOOKUP(Table4[[#This Row],[IntegrityP]],'Reference - CVSSv3.0'!$B$15:$C$17,2,FALSE)) *  (1 - VLOOKUP(Table4[[#This Row],[AvailabilityP]],'Reference - CVSSv3.0'!$B$15:$C$17,2,FALSE))))</f>
        <v>#N/A</v>
      </c>
      <c r="AM64" s="198" t="e">
        <f>IF(Table4[[#This Row],[ScopeP]]="Unchanged",6.42*Table4[[#This Row],[ISC BaseP]],IF(Table4[[#This Row],[ScopeP]]="Changed",7.52*(Table4[[#This Row],[ISC BaseP]] - 0.029) - 3.25 * POWER(Table4[[#This Row],[ISC BaseP]] - 0.02,15),NA()))</f>
        <v>#N/A</v>
      </c>
      <c r="AN6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187"/>
    </row>
    <row r="65" spans="1:43" ht="57" x14ac:dyDescent="0.25">
      <c r="A65" s="70">
        <v>61</v>
      </c>
      <c r="B65" s="182" t="s">
        <v>129</v>
      </c>
      <c r="C65" s="195" t="str">
        <f>IF(VLOOKUP(Table4[[#This Row],[T ID]],Table5[#All],5,FALSE)="No","Not in scope",VLOOKUP(Table4[[#This Row],[T ID]],Table5[#All],2,FALSE))</f>
        <v>Maintaining Access
(TTP)</v>
      </c>
      <c r="D65" s="212" t="s">
        <v>226</v>
      </c>
      <c r="E65" s="195" t="str">
        <f>IF(VLOOKUP(Table4[[#This Row],[V ID]],Vulnerabilities[#All],3,FALSE)="No","Not in scope",VLOOKUP(Table4[[#This Row],[V ID]],Vulnerabilities[#All],2,FALSE))</f>
        <v>Checking authentication modes for possible hacks and bypasses</v>
      </c>
      <c r="F65" s="216" t="s">
        <v>109</v>
      </c>
      <c r="G65" s="195" t="str">
        <f>VLOOKUP(Table4[[#This Row],[A ID]],Assets[#All],3,FALSE)</f>
        <v>Smart medic app (Azure Portal Administrator)</v>
      </c>
      <c r="H65" s="49" t="s">
        <v>284</v>
      </c>
      <c r="I65" s="49"/>
      <c r="J65" s="87" t="s">
        <v>57</v>
      </c>
      <c r="K65" s="87" t="s">
        <v>57</v>
      </c>
      <c r="L65" s="87" t="s">
        <v>57</v>
      </c>
      <c r="M65" s="196" t="s">
        <v>76</v>
      </c>
      <c r="N65" s="157" t="s">
        <v>57</v>
      </c>
      <c r="O65" s="157" t="s">
        <v>57</v>
      </c>
      <c r="P65" s="196" t="s">
        <v>78</v>
      </c>
      <c r="Q65" s="196" t="s">
        <v>75</v>
      </c>
      <c r="R6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65" s="198">
        <f>(1 - ((1 - VLOOKUP(Table4[[#This Row],[Confidentiality]],'Reference - CVSSv3.0'!$B$15:$C$17,2,FALSE)) * (1 - VLOOKUP(Table4[[#This Row],[Integrity]],'Reference - CVSSv3.0'!$B$15:$C$17,2,FALSE)) *  (1 - VLOOKUP(Table4[[#This Row],[Availability]],'Reference - CVSSv3.0'!$B$15:$C$17,2,FALSE))))</f>
        <v>0.52544799999999992</v>
      </c>
      <c r="T65" s="198">
        <f>IF(Table4[[#This Row],[Scope]]="Unchanged",6.42*Table4[[#This Row],[ISC Base]],IF(Table4[[#This Row],[Scope]]="Changed",7.52*(Table4[[#This Row],[ISC Base]] - 0.029) - 3.25 * POWER(Table4[[#This Row],[ISC Base]] - 0.02,15),NA()))</f>
        <v>3.3733761599999994</v>
      </c>
      <c r="U65"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65" s="182" t="s">
        <v>56</v>
      </c>
      <c r="W65" s="198">
        <f>VLOOKUP(Table4[[#This Row],[Threat Event Initiation]],NIST_Scale_LOAI[],2,FALSE)</f>
        <v>0.5</v>
      </c>
      <c r="X6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5" s="49" t="s">
        <v>336</v>
      </c>
      <c r="AA65" s="187"/>
      <c r="AB65" s="206"/>
      <c r="AC65" s="187"/>
      <c r="AD65" s="187"/>
      <c r="AE65" s="187"/>
      <c r="AF65" s="196"/>
      <c r="AG65" s="196"/>
      <c r="AH65" s="196"/>
      <c r="AI65" s="196"/>
      <c r="AJ65" s="201"/>
      <c r="AK6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5" s="198" t="e">
        <f>(1 - ((1 - VLOOKUP(Table4[[#This Row],[ConfidentialityP]],'Reference - CVSSv3.0'!$B$15:$C$17,2,FALSE)) * (1 - VLOOKUP(Table4[[#This Row],[IntegrityP]],'Reference - CVSSv3.0'!$B$15:$C$17,2,FALSE)) *  (1 - VLOOKUP(Table4[[#This Row],[AvailabilityP]],'Reference - CVSSv3.0'!$B$15:$C$17,2,FALSE))))</f>
        <v>#N/A</v>
      </c>
      <c r="AM65" s="198" t="e">
        <f>IF(Table4[[#This Row],[ScopeP]]="Unchanged",6.42*Table4[[#This Row],[ISC BaseP]],IF(Table4[[#This Row],[ScopeP]]="Changed",7.52*(Table4[[#This Row],[ISC BaseP]] - 0.029) - 3.25 * POWER(Table4[[#This Row],[ISC BaseP]] - 0.02,15),NA()))</f>
        <v>#N/A</v>
      </c>
      <c r="AN6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187"/>
    </row>
    <row r="66" spans="1:43" ht="173.25" customHeight="1" x14ac:dyDescent="0.25">
      <c r="A66" s="70">
        <v>62</v>
      </c>
      <c r="B66" s="182" t="s">
        <v>129</v>
      </c>
      <c r="C66" s="195" t="str">
        <f>IF(VLOOKUP(Table4[[#This Row],[T ID]],Table5[#All],5,FALSE)="No","Not in scope",VLOOKUP(Table4[[#This Row],[T ID]],Table5[#All],2,FALSE))</f>
        <v>Maintaining Access
(TTP)</v>
      </c>
      <c r="D66" s="212" t="s">
        <v>250</v>
      </c>
      <c r="E66" s="195" t="str">
        <f>IF(VLOOKUP(Table4[[#This Row],[V ID]],Vulnerabilities[#All],3,FALSE)="No","Not in scope",VLOOKUP(Table4[[#This Row],[V ID]],Vulnerabilities[#All],2,FALSE))</f>
        <v>Controlled Use of Administrative Privileges over the network</v>
      </c>
      <c r="F66" s="216" t="s">
        <v>109</v>
      </c>
      <c r="G66" s="195" t="str">
        <f>VLOOKUP(Table4[[#This Row],[A ID]],Assets[#All],3,FALSE)</f>
        <v>Smart medic app (Azure Portal Administrator)</v>
      </c>
      <c r="H66" s="49" t="s">
        <v>284</v>
      </c>
      <c r="I66" s="49"/>
      <c r="J66" s="87" t="s">
        <v>66</v>
      </c>
      <c r="K66" s="87" t="s">
        <v>66</v>
      </c>
      <c r="L66" s="87" t="s">
        <v>57</v>
      </c>
      <c r="M66" s="196" t="s">
        <v>79</v>
      </c>
      <c r="N66" s="157" t="s">
        <v>57</v>
      </c>
      <c r="O66" s="157" t="s">
        <v>57</v>
      </c>
      <c r="P66" s="196" t="s">
        <v>77</v>
      </c>
      <c r="Q66" s="196" t="s">
        <v>75</v>
      </c>
      <c r="R6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66" s="198">
        <f>(1 - ((1 - VLOOKUP(Table4[[#This Row],[Confidentiality]],'Reference - CVSSv3.0'!$B$15:$C$17,2,FALSE)) * (1 - VLOOKUP(Table4[[#This Row],[Integrity]],'Reference - CVSSv3.0'!$B$15:$C$17,2,FALSE)) *  (1 - VLOOKUP(Table4[[#This Row],[Availability]],'Reference - CVSSv3.0'!$B$15:$C$17,2,FALSE))))</f>
        <v>0.84899199999999997</v>
      </c>
      <c r="T66" s="198">
        <f>IF(Table4[[#This Row],[Scope]]="Unchanged",6.42*Table4[[#This Row],[ISC Base]],IF(Table4[[#This Row],[Scope]]="Changed",7.52*(Table4[[#This Row],[ISC Base]] - 0.029) - 3.25 * POWER(Table4[[#This Row],[ISC Base]] - 0.02,15),NA()))</f>
        <v>5.4505286399999999</v>
      </c>
      <c r="U66"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66" s="182" t="s">
        <v>56</v>
      </c>
      <c r="W66" s="198">
        <f>VLOOKUP(Table4[[#This Row],[Threat Event Initiation]],NIST_Scale_LOAI[],2,FALSE)</f>
        <v>0.5</v>
      </c>
      <c r="X6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6.5</v>
      </c>
      <c r="Y6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49" t="s">
        <v>334</v>
      </c>
      <c r="AA66" s="187"/>
      <c r="AB66" s="206"/>
      <c r="AC66" s="187"/>
      <c r="AD66" s="187"/>
      <c r="AE66" s="187"/>
      <c r="AF66" s="196"/>
      <c r="AG66" s="196"/>
      <c r="AH66" s="196"/>
      <c r="AI66" s="196"/>
      <c r="AJ66" s="201"/>
      <c r="AK6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6" s="198" t="e">
        <f>(1 - ((1 - VLOOKUP(Table4[[#This Row],[ConfidentialityP]],'Reference - CVSSv3.0'!$B$15:$C$17,2,FALSE)) * (1 - VLOOKUP(Table4[[#This Row],[IntegrityP]],'Reference - CVSSv3.0'!$B$15:$C$17,2,FALSE)) *  (1 - VLOOKUP(Table4[[#This Row],[AvailabilityP]],'Reference - CVSSv3.0'!$B$15:$C$17,2,FALSE))))</f>
        <v>#N/A</v>
      </c>
      <c r="AM66" s="198" t="e">
        <f>IF(Table4[[#This Row],[ScopeP]]="Unchanged",6.42*Table4[[#This Row],[ISC BaseP]],IF(Table4[[#This Row],[ScopeP]]="Changed",7.52*(Table4[[#This Row],[ISC BaseP]] - 0.029) - 3.25 * POWER(Table4[[#This Row],[ISC BaseP]] - 0.02,15),NA()))</f>
        <v>#N/A</v>
      </c>
      <c r="AN6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187"/>
    </row>
    <row r="67" spans="1:43" ht="171" x14ac:dyDescent="0.25">
      <c r="A67" s="70">
        <v>63</v>
      </c>
      <c r="B67" s="182" t="s">
        <v>129</v>
      </c>
      <c r="C67" s="195" t="str">
        <f>IF(VLOOKUP(Table4[[#This Row],[T ID]],Table5[#All],5,FALSE)="No","Not in scope",VLOOKUP(Table4[[#This Row],[T ID]],Table5[#All],2,FALSE))</f>
        <v>Maintaining Access
(TTP)</v>
      </c>
      <c r="D67" s="212" t="s">
        <v>250</v>
      </c>
      <c r="E67" s="195" t="str">
        <f>IF(VLOOKUP(Table4[[#This Row],[V ID]],Vulnerabilities[#All],3,FALSE)="No","Not in scope",VLOOKUP(Table4[[#This Row],[V ID]],Vulnerabilities[#All],2,FALSE))</f>
        <v>Controlled Use of Administrative Privileges over the network</v>
      </c>
      <c r="F67" s="213" t="s">
        <v>115</v>
      </c>
      <c r="G67" s="195" t="str">
        <f>VLOOKUP(Table4[[#This Row],[A ID]],Assets[#All],3,FALSE)</f>
        <v xml:space="preserve">Authenication/Authorisation data </v>
      </c>
      <c r="H67" s="49" t="s">
        <v>284</v>
      </c>
      <c r="I67" s="49"/>
      <c r="J67" s="87" t="s">
        <v>57</v>
      </c>
      <c r="K67" s="87" t="s">
        <v>57</v>
      </c>
      <c r="L67" s="87" t="s">
        <v>57</v>
      </c>
      <c r="M67" s="196" t="s">
        <v>79</v>
      </c>
      <c r="N67" s="157" t="s">
        <v>57</v>
      </c>
      <c r="O67" s="157" t="s">
        <v>57</v>
      </c>
      <c r="P67" s="196" t="s">
        <v>77</v>
      </c>
      <c r="Q67" s="196" t="s">
        <v>75</v>
      </c>
      <c r="R6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67" s="198">
        <f>(1 - ((1 - VLOOKUP(Table4[[#This Row],[Confidentiality]],'Reference - CVSSv3.0'!$B$15:$C$17,2,FALSE)) * (1 - VLOOKUP(Table4[[#This Row],[Integrity]],'Reference - CVSSv3.0'!$B$15:$C$17,2,FALSE)) *  (1 - VLOOKUP(Table4[[#This Row],[Availability]],'Reference - CVSSv3.0'!$B$15:$C$17,2,FALSE))))</f>
        <v>0.52544799999999992</v>
      </c>
      <c r="T67" s="198">
        <f>IF(Table4[[#This Row],[Scope]]="Unchanged",6.42*Table4[[#This Row],[ISC Base]],IF(Table4[[#This Row],[Scope]]="Changed",7.52*(Table4[[#This Row],[ISC Base]] - 0.029) - 3.25 * POWER(Table4[[#This Row],[ISC Base]] - 0.02,15),NA()))</f>
        <v>3.3733761599999994</v>
      </c>
      <c r="U67"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67" s="182" t="s">
        <v>57</v>
      </c>
      <c r="W67" s="198">
        <f>VLOOKUP(Table4[[#This Row],[Threat Event Initiation]],NIST_Scale_LOAI[],2,FALSE)</f>
        <v>0.2</v>
      </c>
      <c r="X6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49" t="s">
        <v>334</v>
      </c>
      <c r="AA67" s="187"/>
      <c r="AB67" s="206"/>
      <c r="AC67" s="187"/>
      <c r="AD67" s="187"/>
      <c r="AE67" s="187"/>
      <c r="AF67" s="196"/>
      <c r="AG67" s="196"/>
      <c r="AH67" s="196"/>
      <c r="AI67" s="196"/>
      <c r="AJ67" s="201"/>
      <c r="AK6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7" s="198" t="e">
        <f>(1 - ((1 - VLOOKUP(Table4[[#This Row],[ConfidentialityP]],'Reference - CVSSv3.0'!$B$15:$C$17,2,FALSE)) * (1 - VLOOKUP(Table4[[#This Row],[IntegrityP]],'Reference - CVSSv3.0'!$B$15:$C$17,2,FALSE)) *  (1 - VLOOKUP(Table4[[#This Row],[AvailabilityP]],'Reference - CVSSv3.0'!$B$15:$C$17,2,FALSE))))</f>
        <v>#N/A</v>
      </c>
      <c r="AM67" s="198" t="e">
        <f>IF(Table4[[#This Row],[ScopeP]]="Unchanged",6.42*Table4[[#This Row],[ISC BaseP]],IF(Table4[[#This Row],[ScopeP]]="Changed",7.52*(Table4[[#This Row],[ISC BaseP]] - 0.029) - 3.25 * POWER(Table4[[#This Row],[ISC BaseP]] - 0.02,15),NA()))</f>
        <v>#N/A</v>
      </c>
      <c r="AN6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187"/>
    </row>
    <row r="68" spans="1:43" ht="99.75" x14ac:dyDescent="0.25">
      <c r="A68" s="70">
        <v>64</v>
      </c>
      <c r="B68" s="182" t="s">
        <v>130</v>
      </c>
      <c r="C68" s="195" t="str">
        <f>IF(VLOOKUP(Table4[[#This Row],[T ID]],Table5[#All],5,FALSE)="No","Not in scope",VLOOKUP(Table4[[#This Row],[T ID]],Table5[#All],2,FALSE))</f>
        <v>Clearing Track
(TTP)</v>
      </c>
      <c r="D68" s="212" t="s">
        <v>143</v>
      </c>
      <c r="E68" s="195" t="str">
        <f>IF(VLOOKUP(Table4[[#This Row],[V ID]],Vulnerabilities[#All],3,FALSE)="No","Not in scope",VLOOKUP(Table4[[#This Row],[V ID]],Vulnerabilities[#All],2,FALSE))</f>
        <v>InSecure Configuration for Software/OS on Mobile Devices, Laptops, Workstations, and Servers</v>
      </c>
      <c r="F68" s="216" t="s">
        <v>112</v>
      </c>
      <c r="G68" s="195" t="str">
        <f>VLOOKUP(Table4[[#This Row],[A ID]],Assets[#All],3,FALSE)</f>
        <v>Tablet Resources - web cam, microphone, OTG devices, Removable USB, Tablet Application,</v>
      </c>
      <c r="H68" s="49" t="s">
        <v>285</v>
      </c>
      <c r="I68" s="49"/>
      <c r="J68" s="87" t="s">
        <v>57</v>
      </c>
      <c r="K68" s="87" t="s">
        <v>57</v>
      </c>
      <c r="L68" s="87" t="s">
        <v>57</v>
      </c>
      <c r="M68" s="196" t="s">
        <v>80</v>
      </c>
      <c r="N68" s="157" t="s">
        <v>57</v>
      </c>
      <c r="O68" s="157" t="s">
        <v>57</v>
      </c>
      <c r="P68" s="196" t="s">
        <v>77</v>
      </c>
      <c r="Q68" s="196" t="s">
        <v>75</v>
      </c>
      <c r="R6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68" s="198">
        <f>(1 - ((1 - VLOOKUP(Table4[[#This Row],[Confidentiality]],'Reference - CVSSv3.0'!$B$15:$C$17,2,FALSE)) * (1 - VLOOKUP(Table4[[#This Row],[Integrity]],'Reference - CVSSv3.0'!$B$15:$C$17,2,FALSE)) *  (1 - VLOOKUP(Table4[[#This Row],[Availability]],'Reference - CVSSv3.0'!$B$15:$C$17,2,FALSE))))</f>
        <v>0.52544799999999992</v>
      </c>
      <c r="T68" s="198">
        <f>IF(Table4[[#This Row],[Scope]]="Unchanged",6.42*Table4[[#This Row],[ISC Base]],IF(Table4[[#This Row],[Scope]]="Changed",7.52*(Table4[[#This Row],[ISC Base]] - 0.029) - 3.25 * POWER(Table4[[#This Row],[ISC Base]] - 0.02,15),NA()))</f>
        <v>3.3733761599999994</v>
      </c>
      <c r="U68"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68" s="182" t="s">
        <v>57</v>
      </c>
      <c r="W68" s="198">
        <f>VLOOKUP(Table4[[#This Row],[Threat Event Initiation]],NIST_Scale_LOAI[],2,FALSE)</f>
        <v>0.2</v>
      </c>
      <c r="X6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49" t="s">
        <v>311</v>
      </c>
      <c r="AA68" s="187"/>
      <c r="AB68" s="206"/>
      <c r="AC68" s="187"/>
      <c r="AD68" s="187"/>
      <c r="AE68" s="187"/>
      <c r="AF68" s="196"/>
      <c r="AG68" s="196"/>
      <c r="AH68" s="196"/>
      <c r="AI68" s="196"/>
      <c r="AJ68" s="201"/>
      <c r="AK6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8" s="198" t="e">
        <f>(1 - ((1 - VLOOKUP(Table4[[#This Row],[ConfidentialityP]],'Reference - CVSSv3.0'!$B$15:$C$17,2,FALSE)) * (1 - VLOOKUP(Table4[[#This Row],[IntegrityP]],'Reference - CVSSv3.0'!$B$15:$C$17,2,FALSE)) *  (1 - VLOOKUP(Table4[[#This Row],[AvailabilityP]],'Reference - CVSSv3.0'!$B$15:$C$17,2,FALSE))))</f>
        <v>#N/A</v>
      </c>
      <c r="AM68" s="198" t="e">
        <f>IF(Table4[[#This Row],[ScopeP]]="Unchanged",6.42*Table4[[#This Row],[ISC BaseP]],IF(Table4[[#This Row],[ScopeP]]="Changed",7.52*(Table4[[#This Row],[ISC BaseP]] - 0.029) - 3.25 * POWER(Table4[[#This Row],[ISC BaseP]] - 0.02,15),NA()))</f>
        <v>#N/A</v>
      </c>
      <c r="AN6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187"/>
    </row>
    <row r="69" spans="1:43" ht="235.5" customHeight="1" x14ac:dyDescent="0.25">
      <c r="A69" s="70">
        <v>65</v>
      </c>
      <c r="B69" s="182" t="s">
        <v>130</v>
      </c>
      <c r="C69" s="195" t="str">
        <f>IF(VLOOKUP(Table4[[#This Row],[T ID]],Table5[#All],5,FALSE)="No","Not in scope",VLOOKUP(Table4[[#This Row],[T ID]],Table5[#All],2,FALSE))</f>
        <v>Clearing Track
(TTP)</v>
      </c>
      <c r="D69" s="212" t="s">
        <v>143</v>
      </c>
      <c r="E69" s="195" t="str">
        <f>IF(VLOOKUP(Table4[[#This Row],[V ID]],Vulnerabilities[#All],3,FALSE)="No","Not in scope",VLOOKUP(Table4[[#This Row],[V ID]],Vulnerabilities[#All],2,FALSE))</f>
        <v>InSecure Configuration for Software/OS on Mobile Devices, Laptops, Workstations, and Servers</v>
      </c>
      <c r="F69" s="216" t="s">
        <v>108</v>
      </c>
      <c r="G69" s="195" t="str">
        <f>VLOOKUP(Table4[[#This Row],[A ID]],Assets[#All],3,FALSE)</f>
        <v>Smart medic app (Stryker Azure Cloud Web Application)</v>
      </c>
      <c r="H69" s="49" t="s">
        <v>285</v>
      </c>
      <c r="I69" s="49"/>
      <c r="J69" s="87" t="s">
        <v>57</v>
      </c>
      <c r="K69" s="87" t="s">
        <v>57</v>
      </c>
      <c r="L69" s="87" t="s">
        <v>57</v>
      </c>
      <c r="M69" s="196" t="s">
        <v>80</v>
      </c>
      <c r="N69" s="157" t="s">
        <v>66</v>
      </c>
      <c r="O69" s="157" t="s">
        <v>57</v>
      </c>
      <c r="P69" s="196" t="s">
        <v>77</v>
      </c>
      <c r="Q69" s="196" t="s">
        <v>75</v>
      </c>
      <c r="R6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0.76466385600000009</v>
      </c>
      <c r="S69" s="198">
        <f>(1 - ((1 - VLOOKUP(Table4[[#This Row],[Confidentiality]],'Reference - CVSSv3.0'!$B$15:$C$17,2,FALSE)) * (1 - VLOOKUP(Table4[[#This Row],[Integrity]],'Reference - CVSSv3.0'!$B$15:$C$17,2,FALSE)) *  (1 - VLOOKUP(Table4[[#This Row],[Availability]],'Reference - CVSSv3.0'!$B$15:$C$17,2,FALSE))))</f>
        <v>0.52544799999999992</v>
      </c>
      <c r="T69" s="198">
        <f>IF(Table4[[#This Row],[Scope]]="Unchanged",6.42*Table4[[#This Row],[ISC Base]],IF(Table4[[#This Row],[Scope]]="Changed",7.52*(Table4[[#This Row],[ISC Base]] - 0.029) - 3.25 * POWER(Table4[[#This Row],[ISC Base]] - 0.02,15),NA()))</f>
        <v>3.3733761599999994</v>
      </c>
      <c r="U69" s="198">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182" t="s">
        <v>57</v>
      </c>
      <c r="W69" s="198">
        <f>VLOOKUP(Table4[[#This Row],[Threat Event Initiation]],NIST_Scale_LOAI[],2,FALSE)</f>
        <v>0.2</v>
      </c>
      <c r="X6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6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49" t="s">
        <v>337</v>
      </c>
      <c r="AA69" s="187"/>
      <c r="AB69" s="206"/>
      <c r="AC69" s="187"/>
      <c r="AD69" s="187"/>
      <c r="AE69" s="187"/>
      <c r="AF69" s="196"/>
      <c r="AG69" s="196"/>
      <c r="AH69" s="196"/>
      <c r="AI69" s="196"/>
      <c r="AJ69" s="201"/>
      <c r="AK6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69" s="198" t="e">
        <f>(1 - ((1 - VLOOKUP(Table4[[#This Row],[ConfidentialityP]],'Reference - CVSSv3.0'!$B$15:$C$17,2,FALSE)) * (1 - VLOOKUP(Table4[[#This Row],[IntegrityP]],'Reference - CVSSv3.0'!$B$15:$C$17,2,FALSE)) *  (1 - VLOOKUP(Table4[[#This Row],[AvailabilityP]],'Reference - CVSSv3.0'!$B$15:$C$17,2,FALSE))))</f>
        <v>#N/A</v>
      </c>
      <c r="AM69" s="198" t="e">
        <f>IF(Table4[[#This Row],[ScopeP]]="Unchanged",6.42*Table4[[#This Row],[ISC BaseP]],IF(Table4[[#This Row],[ScopeP]]="Changed",7.52*(Table4[[#This Row],[ISC BaseP]] - 0.029) - 3.25 * POWER(Table4[[#This Row],[ISC BaseP]] - 0.02,15),NA()))</f>
        <v>#N/A</v>
      </c>
      <c r="AN6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187"/>
    </row>
    <row r="70" spans="1:43" ht="99.75" customHeight="1" x14ac:dyDescent="0.25">
      <c r="A70" s="70">
        <v>66</v>
      </c>
      <c r="B70" s="182" t="s">
        <v>130</v>
      </c>
      <c r="C70" s="195" t="str">
        <f>IF(VLOOKUP(Table4[[#This Row],[T ID]],Table5[#All],5,FALSE)="No","Not in scope",VLOOKUP(Table4[[#This Row],[T ID]],Table5[#All],2,FALSE))</f>
        <v>Clearing Track
(TTP)</v>
      </c>
      <c r="D70" s="212" t="s">
        <v>145</v>
      </c>
      <c r="E70" s="195" t="str">
        <f>IF(VLOOKUP(Table4[[#This Row],[V ID]],Vulnerabilities[#All],3,FALSE)="No","Not in scope",VLOOKUP(Table4[[#This Row],[V ID]],Vulnerabilities[#All],2,FALSE))</f>
        <v>Outdated  - Software/Hardware</v>
      </c>
      <c r="F70" s="216" t="s">
        <v>112</v>
      </c>
      <c r="G70" s="195" t="str">
        <f>VLOOKUP(Table4[[#This Row],[A ID]],Assets[#All],3,FALSE)</f>
        <v>Tablet Resources - web cam, microphone, OTG devices, Removable USB, Tablet Application,</v>
      </c>
      <c r="H70" s="49" t="s">
        <v>285</v>
      </c>
      <c r="I70" s="49"/>
      <c r="J70" s="87" t="s">
        <v>57</v>
      </c>
      <c r="K70" s="87" t="s">
        <v>57</v>
      </c>
      <c r="L70" s="87" t="s">
        <v>57</v>
      </c>
      <c r="M70" s="196" t="s">
        <v>76</v>
      </c>
      <c r="N70" s="157" t="s">
        <v>57</v>
      </c>
      <c r="O70" s="157" t="s">
        <v>57</v>
      </c>
      <c r="P70" s="196" t="s">
        <v>78</v>
      </c>
      <c r="Q70" s="196" t="s">
        <v>75</v>
      </c>
      <c r="R7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0.66711876000000003</v>
      </c>
      <c r="S70" s="198">
        <f>(1 - ((1 - VLOOKUP(Table4[[#This Row],[Confidentiality]],'Reference - CVSSv3.0'!$B$15:$C$17,2,FALSE)) * (1 - VLOOKUP(Table4[[#This Row],[Integrity]],'Reference - CVSSv3.0'!$B$15:$C$17,2,FALSE)) *  (1 - VLOOKUP(Table4[[#This Row],[Availability]],'Reference - CVSSv3.0'!$B$15:$C$17,2,FALSE))))</f>
        <v>0.52544799999999992</v>
      </c>
      <c r="T70" s="198">
        <f>IF(Table4[[#This Row],[Scope]]="Unchanged",6.42*Table4[[#This Row],[ISC Base]],IF(Table4[[#This Row],[Scope]]="Changed",7.52*(Table4[[#This Row],[ISC Base]] - 0.029) - 3.25 * POWER(Table4[[#This Row],[ISC Base]] - 0.02,15),NA()))</f>
        <v>3.3733761599999994</v>
      </c>
      <c r="U70" s="198">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0" s="182" t="s">
        <v>56</v>
      </c>
      <c r="W70" s="198">
        <f>VLOOKUP(Table4[[#This Row],[Threat Event Initiation]],NIST_Scale_LOAI[],2,FALSE)</f>
        <v>0.5</v>
      </c>
      <c r="X7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49" t="s">
        <v>311</v>
      </c>
      <c r="AA70" s="187"/>
      <c r="AB70" s="206"/>
      <c r="AC70" s="187"/>
      <c r="AD70" s="187"/>
      <c r="AE70" s="187"/>
      <c r="AF70" s="196"/>
      <c r="AG70" s="196"/>
      <c r="AH70" s="196"/>
      <c r="AI70" s="196"/>
      <c r="AJ70" s="201"/>
      <c r="AK7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0" s="198" t="e">
        <f>(1 - ((1 - VLOOKUP(Table4[[#This Row],[ConfidentialityP]],'Reference - CVSSv3.0'!$B$15:$C$17,2,FALSE)) * (1 - VLOOKUP(Table4[[#This Row],[IntegrityP]],'Reference - CVSSv3.0'!$B$15:$C$17,2,FALSE)) *  (1 - VLOOKUP(Table4[[#This Row],[AvailabilityP]],'Reference - CVSSv3.0'!$B$15:$C$17,2,FALSE))))</f>
        <v>#N/A</v>
      </c>
      <c r="AM70" s="198" t="e">
        <f>IF(Table4[[#This Row],[ScopeP]]="Unchanged",6.42*Table4[[#This Row],[ISC BaseP]],IF(Table4[[#This Row],[ScopeP]]="Changed",7.52*(Table4[[#This Row],[ISC BaseP]] - 0.029) - 3.25 * POWER(Table4[[#This Row],[ISC BaseP]] - 0.02,15),NA()))</f>
        <v>#N/A</v>
      </c>
      <c r="AN7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187"/>
    </row>
    <row r="71" spans="1:43" ht="99.75" customHeight="1" x14ac:dyDescent="0.25">
      <c r="A71" s="70">
        <v>67</v>
      </c>
      <c r="B71" s="182" t="s">
        <v>130</v>
      </c>
      <c r="C71" s="195" t="str">
        <f>IF(VLOOKUP(Table4[[#This Row],[T ID]],Table5[#All],5,FALSE)="No","Not in scope",VLOOKUP(Table4[[#This Row],[T ID]],Table5[#All],2,FALSE))</f>
        <v>Clearing Track
(TTP)</v>
      </c>
      <c r="D71" s="212" t="s">
        <v>233</v>
      </c>
      <c r="E71" s="195" t="str">
        <f>IF(VLOOKUP(Table4[[#This Row],[V ID]],Vulnerabilities[#All],3,FALSE)="No","Not in scope",VLOOKUP(Table4[[#This Row],[V ID]],Vulnerabilities[#All],2,FALSE))</f>
        <v>Lack of configuration controls for IT assets in the informaion system plan</v>
      </c>
      <c r="F71" s="216" t="s">
        <v>112</v>
      </c>
      <c r="G71" s="195" t="str">
        <f>VLOOKUP(Table4[[#This Row],[A ID]],Assets[#All],3,FALSE)</f>
        <v>Tablet Resources - web cam, microphone, OTG devices, Removable USB, Tablet Application,</v>
      </c>
      <c r="H71" s="49" t="s">
        <v>285</v>
      </c>
      <c r="I71" s="49"/>
      <c r="J71" s="87" t="s">
        <v>57</v>
      </c>
      <c r="K71" s="87" t="s">
        <v>57</v>
      </c>
      <c r="L71" s="87" t="s">
        <v>57</v>
      </c>
      <c r="M71" s="196" t="s">
        <v>80</v>
      </c>
      <c r="N71" s="157" t="s">
        <v>57</v>
      </c>
      <c r="O71" s="157" t="s">
        <v>57</v>
      </c>
      <c r="P71" s="196" t="s">
        <v>77</v>
      </c>
      <c r="Q71" s="196" t="s">
        <v>75</v>
      </c>
      <c r="R7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71" s="198">
        <f>(1 - ((1 - VLOOKUP(Table4[[#This Row],[Confidentiality]],'Reference - CVSSv3.0'!$B$15:$C$17,2,FALSE)) * (1 - VLOOKUP(Table4[[#This Row],[Integrity]],'Reference - CVSSv3.0'!$B$15:$C$17,2,FALSE)) *  (1 - VLOOKUP(Table4[[#This Row],[Availability]],'Reference - CVSSv3.0'!$B$15:$C$17,2,FALSE))))</f>
        <v>0.52544799999999992</v>
      </c>
      <c r="T71" s="198">
        <f>IF(Table4[[#This Row],[Scope]]="Unchanged",6.42*Table4[[#This Row],[ISC Base]],IF(Table4[[#This Row],[Scope]]="Changed",7.52*(Table4[[#This Row],[ISC Base]] - 0.029) - 3.25 * POWER(Table4[[#This Row],[ISC Base]] - 0.02,15),NA()))</f>
        <v>3.3733761599999994</v>
      </c>
      <c r="U71"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71" s="182" t="s">
        <v>57</v>
      </c>
      <c r="W71" s="198">
        <f>VLOOKUP(Table4[[#This Row],[Threat Event Initiation]],NIST_Scale_LOAI[],2,FALSE)</f>
        <v>0.2</v>
      </c>
      <c r="X7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49" t="s">
        <v>311</v>
      </c>
      <c r="AA71" s="187"/>
      <c r="AB71" s="206"/>
      <c r="AC71" s="187"/>
      <c r="AD71" s="187"/>
      <c r="AE71" s="187"/>
      <c r="AF71" s="196"/>
      <c r="AG71" s="196"/>
      <c r="AH71" s="196"/>
      <c r="AI71" s="196"/>
      <c r="AJ71" s="201"/>
      <c r="AK7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1" s="198" t="e">
        <f>(1 - ((1 - VLOOKUP(Table4[[#This Row],[ConfidentialityP]],'Reference - CVSSv3.0'!$B$15:$C$17,2,FALSE)) * (1 - VLOOKUP(Table4[[#This Row],[IntegrityP]],'Reference - CVSSv3.0'!$B$15:$C$17,2,FALSE)) *  (1 - VLOOKUP(Table4[[#This Row],[AvailabilityP]],'Reference - CVSSv3.0'!$B$15:$C$17,2,FALSE))))</f>
        <v>#N/A</v>
      </c>
      <c r="AM71" s="198" t="e">
        <f>IF(Table4[[#This Row],[ScopeP]]="Unchanged",6.42*Table4[[#This Row],[ISC BaseP]],IF(Table4[[#This Row],[ScopeP]]="Changed",7.52*(Table4[[#This Row],[ISC BaseP]] - 0.029) - 3.25 * POWER(Table4[[#This Row],[ISC BaseP]] - 0.02,15),NA()))</f>
        <v>#N/A</v>
      </c>
      <c r="AN7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187"/>
    </row>
    <row r="72" spans="1:43" ht="57" x14ac:dyDescent="0.25">
      <c r="A72" s="70">
        <v>68</v>
      </c>
      <c r="B72" s="182" t="s">
        <v>130</v>
      </c>
      <c r="C72" s="195" t="str">
        <f>IF(VLOOKUP(Table4[[#This Row],[T ID]],Table5[#All],5,FALSE)="No","Not in scope",VLOOKUP(Table4[[#This Row],[T ID]],Table5[#All],2,FALSE))</f>
        <v>Clearing Track
(TTP)</v>
      </c>
      <c r="D72" s="210" t="s">
        <v>233</v>
      </c>
      <c r="E72" s="195" t="str">
        <f>IF(VLOOKUP(Table4[[#This Row],[V ID]],Vulnerabilities[#All],3,FALSE)="No","Not in scope",VLOOKUP(Table4[[#This Row],[V ID]],Vulnerabilities[#All],2,FALSE))</f>
        <v>Lack of configuration controls for IT assets in the informaion system plan</v>
      </c>
      <c r="F72" s="216" t="s">
        <v>116</v>
      </c>
      <c r="G72" s="195" t="str">
        <f>VLOOKUP(Table4[[#This Row],[A ID]],Assets[#All],3,FALSE)</f>
        <v>Device Maintainence tool (Hardware/Software)</v>
      </c>
      <c r="H72" s="187"/>
      <c r="I72" s="49"/>
      <c r="J72" s="87" t="s">
        <v>57</v>
      </c>
      <c r="K72" s="87" t="s">
        <v>57</v>
      </c>
      <c r="L72" s="87" t="s">
        <v>57</v>
      </c>
      <c r="M72" s="196" t="s">
        <v>80</v>
      </c>
      <c r="N72" s="157" t="s">
        <v>57</v>
      </c>
      <c r="O72" s="157" t="s">
        <v>57</v>
      </c>
      <c r="P72" s="196" t="s">
        <v>77</v>
      </c>
      <c r="Q72" s="196" t="s">
        <v>75</v>
      </c>
      <c r="R7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1.3381617480000001</v>
      </c>
      <c r="S72" s="198">
        <f>(1 - ((1 - VLOOKUP(Table4[[#This Row],[Confidentiality]],'Reference - CVSSv3.0'!$B$15:$C$17,2,FALSE)) * (1 - VLOOKUP(Table4[[#This Row],[Integrity]],'Reference - CVSSv3.0'!$B$15:$C$17,2,FALSE)) *  (1 - VLOOKUP(Table4[[#This Row],[Availability]],'Reference - CVSSv3.0'!$B$15:$C$17,2,FALSE))))</f>
        <v>0.52544799999999992</v>
      </c>
      <c r="T72" s="198">
        <f>IF(Table4[[#This Row],[Scope]]="Unchanged",6.42*Table4[[#This Row],[ISC Base]],IF(Table4[[#This Row],[Scope]]="Changed",7.52*(Table4[[#This Row],[ISC Base]] - 0.029) - 3.25 * POWER(Table4[[#This Row],[ISC Base]] - 0.02,15),NA()))</f>
        <v>3.3733761599999994</v>
      </c>
      <c r="U72" s="198">
        <f>IF(Table4[[#This Row],[Impact Sub Score]]&lt;=0,0,IF(Table4[[#This Row],[Scope]]="Unchanged",ROUNDUP(MIN((Table4[[#This Row],[Impact Sub Score]]+Table4[[#This Row],[Exploitability Sub Score]]),10),1),IF(Table4[[#This Row],[Scope]]="Changed",ROUNDUP(MIN((1.08*(Table4[[#This Row],[Impact Sub Score]]+Table4[[#This Row],[Exploitability Sub Score]])),10),1),NA())))</f>
        <v>4.8</v>
      </c>
      <c r="V72" s="182" t="s">
        <v>57</v>
      </c>
      <c r="W72" s="198">
        <f>VLOOKUP(Table4[[#This Row],[Threat Event Initiation]],NIST_Scale_LOAI[],2,FALSE)</f>
        <v>0.2</v>
      </c>
      <c r="X7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49" t="s">
        <v>311</v>
      </c>
      <c r="AA72" s="187"/>
      <c r="AB72" s="206"/>
      <c r="AC72" s="187"/>
      <c r="AD72" s="187"/>
      <c r="AE72" s="187"/>
      <c r="AF72" s="196"/>
      <c r="AG72" s="196"/>
      <c r="AH72" s="196"/>
      <c r="AI72" s="196"/>
      <c r="AJ72" s="201"/>
      <c r="AK7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2" s="198" t="e">
        <f>(1 - ((1 - VLOOKUP(Table4[[#This Row],[ConfidentialityP]],'Reference - CVSSv3.0'!$B$15:$C$17,2,FALSE)) * (1 - VLOOKUP(Table4[[#This Row],[IntegrityP]],'Reference - CVSSv3.0'!$B$15:$C$17,2,FALSE)) *  (1 - VLOOKUP(Table4[[#This Row],[AvailabilityP]],'Reference - CVSSv3.0'!$B$15:$C$17,2,FALSE))))</f>
        <v>#N/A</v>
      </c>
      <c r="AM72" s="198" t="e">
        <f>IF(Table4[[#This Row],[ScopeP]]="Unchanged",6.42*Table4[[#This Row],[ISC BaseP]],IF(Table4[[#This Row],[ScopeP]]="Changed",7.52*(Table4[[#This Row],[ISC BaseP]] - 0.029) - 3.25 * POWER(Table4[[#This Row],[ISC BaseP]] - 0.02,15),NA()))</f>
        <v>#N/A</v>
      </c>
      <c r="AN7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187"/>
    </row>
    <row r="73" spans="1:43" ht="99.75" customHeight="1" x14ac:dyDescent="0.25">
      <c r="A73" s="70">
        <v>69</v>
      </c>
      <c r="B73" s="182" t="s">
        <v>130</v>
      </c>
      <c r="C73" s="195" t="str">
        <f>IF(VLOOKUP(Table4[[#This Row],[T ID]],Table5[#All],5,FALSE)="No","Not in scope",VLOOKUP(Table4[[#This Row],[T ID]],Table5[#All],2,FALSE))</f>
        <v>Clearing Track
(TTP)</v>
      </c>
      <c r="D73" s="212" t="s">
        <v>234</v>
      </c>
      <c r="E73" s="195" t="str">
        <f>IF(VLOOKUP(Table4[[#This Row],[V ID]],Vulnerabilities[#All],3,FALSE)="No","Not in scope",VLOOKUP(Table4[[#This Row],[V ID]],Vulnerabilities[#All],2,FALSE))</f>
        <v>Ineffective patch management of firware, OS and applications thoughout the information system plan</v>
      </c>
      <c r="F73" s="216" t="s">
        <v>112</v>
      </c>
      <c r="G73" s="195" t="str">
        <f>VLOOKUP(Table4[[#This Row],[A ID]],Assets[#All],3,FALSE)</f>
        <v>Tablet Resources - web cam, microphone, OTG devices, Removable USB, Tablet Application,</v>
      </c>
      <c r="H73" s="49" t="s">
        <v>285</v>
      </c>
      <c r="I73" s="49"/>
      <c r="J73" s="87" t="s">
        <v>57</v>
      </c>
      <c r="K73" s="87" t="s">
        <v>66</v>
      </c>
      <c r="L73" s="87" t="s">
        <v>57</v>
      </c>
      <c r="M73" s="196" t="s">
        <v>80</v>
      </c>
      <c r="N73" s="157" t="s">
        <v>57</v>
      </c>
      <c r="O73" s="157" t="s">
        <v>57</v>
      </c>
      <c r="P73" s="196" t="s">
        <v>78</v>
      </c>
      <c r="Q73" s="196" t="s">
        <v>75</v>
      </c>
      <c r="R7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3" s="198">
        <f>(1 - ((1 - VLOOKUP(Table4[[#This Row],[Confidentiality]],'Reference - CVSSv3.0'!$B$15:$C$17,2,FALSE)) * (1 - VLOOKUP(Table4[[#This Row],[Integrity]],'Reference - CVSSv3.0'!$B$15:$C$17,2,FALSE)) *  (1 - VLOOKUP(Table4[[#This Row],[Availability]],'Reference - CVSSv3.0'!$B$15:$C$17,2,FALSE))))</f>
        <v>0.73230400000000007</v>
      </c>
      <c r="T73" s="198">
        <f>IF(Table4[[#This Row],[Scope]]="Unchanged",6.42*Table4[[#This Row],[ISC Base]],IF(Table4[[#This Row],[Scope]]="Changed",7.52*(Table4[[#This Row],[ISC Base]] - 0.029) - 3.25 * POWER(Table4[[#This Row],[ISC Base]] - 0.02,15),NA()))</f>
        <v>4.7013916800000004</v>
      </c>
      <c r="U73" s="198">
        <f>IF(Table4[[#This Row],[Impact Sub Score]]&lt;=0,0,IF(Table4[[#This Row],[Scope]]="Unchanged",ROUNDUP(MIN((Table4[[#This Row],[Impact Sub Score]]+Table4[[#This Row],[Exploitability Sub Score]]),10),1),IF(Table4[[#This Row],[Scope]]="Changed",ROUNDUP(MIN((1.08*(Table4[[#This Row],[Impact Sub Score]]+Table4[[#This Row],[Exploitability Sub Score]])),10),1),NA())))</f>
        <v>6.6</v>
      </c>
      <c r="V73" s="182" t="s">
        <v>56</v>
      </c>
      <c r="W73" s="198">
        <f>VLOOKUP(Table4[[#This Row],[Threat Event Initiation]],NIST_Scale_LOAI[],2,FALSE)</f>
        <v>0.5</v>
      </c>
      <c r="X7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7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3" s="49" t="s">
        <v>311</v>
      </c>
      <c r="AA73" s="187"/>
      <c r="AB73" s="206"/>
      <c r="AC73" s="187"/>
      <c r="AD73" s="187"/>
      <c r="AE73" s="187"/>
      <c r="AF73" s="196"/>
      <c r="AG73" s="196"/>
      <c r="AH73" s="196"/>
      <c r="AI73" s="196"/>
      <c r="AJ73" s="201"/>
      <c r="AK7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3" s="198" t="e">
        <f>(1 - ((1 - VLOOKUP(Table4[[#This Row],[ConfidentialityP]],'Reference - CVSSv3.0'!$B$15:$C$17,2,FALSE)) * (1 - VLOOKUP(Table4[[#This Row],[IntegrityP]],'Reference - CVSSv3.0'!$B$15:$C$17,2,FALSE)) *  (1 - VLOOKUP(Table4[[#This Row],[AvailabilityP]],'Reference - CVSSv3.0'!$B$15:$C$17,2,FALSE))))</f>
        <v>#N/A</v>
      </c>
      <c r="AM73" s="198" t="e">
        <f>IF(Table4[[#This Row],[ScopeP]]="Unchanged",6.42*Table4[[#This Row],[ISC BaseP]],IF(Table4[[#This Row],[ScopeP]]="Changed",7.52*(Table4[[#This Row],[ISC BaseP]] - 0.029) - 3.25 * POWER(Table4[[#This Row],[ISC BaseP]] - 0.02,15),NA()))</f>
        <v>#N/A</v>
      </c>
      <c r="AN7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187"/>
    </row>
    <row r="74" spans="1:43" ht="99.75" x14ac:dyDescent="0.25">
      <c r="A74" s="70">
        <v>70</v>
      </c>
      <c r="B74" s="182" t="s">
        <v>130</v>
      </c>
      <c r="C74" s="195" t="str">
        <f>IF(VLOOKUP(Table4[[#This Row],[T ID]],Table5[#All],5,FALSE)="No","Not in scope",VLOOKUP(Table4[[#This Row],[T ID]],Table5[#All],2,FALSE))</f>
        <v>Clearing Track
(TTP)</v>
      </c>
      <c r="D74" s="212" t="s">
        <v>234</v>
      </c>
      <c r="E74" s="195" t="str">
        <f>IF(VLOOKUP(Table4[[#This Row],[V ID]],Vulnerabilities[#All],3,FALSE)="No","Not in scope",VLOOKUP(Table4[[#This Row],[V ID]],Vulnerabilities[#All],2,FALSE))</f>
        <v>Ineffective patch management of firware, OS and applications thoughout the information system plan</v>
      </c>
      <c r="F74" s="216" t="s">
        <v>116</v>
      </c>
      <c r="G74" s="195" t="str">
        <f>VLOOKUP(Table4[[#This Row],[A ID]],Assets[#All],3,FALSE)</f>
        <v>Device Maintainence tool (Hardware/Software)</v>
      </c>
      <c r="H74" s="49" t="s">
        <v>285</v>
      </c>
      <c r="I74" s="49"/>
      <c r="J74" s="87" t="s">
        <v>57</v>
      </c>
      <c r="K74" s="87" t="s">
        <v>57</v>
      </c>
      <c r="L74" s="87" t="s">
        <v>57</v>
      </c>
      <c r="M74" s="196" t="s">
        <v>80</v>
      </c>
      <c r="N74" s="157" t="s">
        <v>57</v>
      </c>
      <c r="O74" s="157" t="s">
        <v>57</v>
      </c>
      <c r="P74" s="196" t="s">
        <v>78</v>
      </c>
      <c r="Q74" s="196" t="s">
        <v>75</v>
      </c>
      <c r="R7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4" s="198">
        <f>(1 - ((1 - VLOOKUP(Table4[[#This Row],[Confidentiality]],'Reference - CVSSv3.0'!$B$15:$C$17,2,FALSE)) * (1 - VLOOKUP(Table4[[#This Row],[Integrity]],'Reference - CVSSv3.0'!$B$15:$C$17,2,FALSE)) *  (1 - VLOOKUP(Table4[[#This Row],[Availability]],'Reference - CVSSv3.0'!$B$15:$C$17,2,FALSE))))</f>
        <v>0.52544799999999992</v>
      </c>
      <c r="T74" s="198">
        <f>IF(Table4[[#This Row],[Scope]]="Unchanged",6.42*Table4[[#This Row],[ISC Base]],IF(Table4[[#This Row],[Scope]]="Changed",7.52*(Table4[[#This Row],[ISC Base]] - 0.029) - 3.25 * POWER(Table4[[#This Row],[ISC Base]] - 0.02,15),NA()))</f>
        <v>3.3733761599999994</v>
      </c>
      <c r="U74"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4" s="182" t="s">
        <v>57</v>
      </c>
      <c r="W74" s="198">
        <f>VLOOKUP(Table4[[#This Row],[Threat Event Initiation]],NIST_Scale_LOAI[],2,FALSE)</f>
        <v>0.2</v>
      </c>
      <c r="X7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49" t="s">
        <v>311</v>
      </c>
      <c r="AA74" s="187"/>
      <c r="AB74" s="206"/>
      <c r="AC74" s="187"/>
      <c r="AD74" s="187"/>
      <c r="AE74" s="187"/>
      <c r="AF74" s="196"/>
      <c r="AG74" s="196"/>
      <c r="AH74" s="196"/>
      <c r="AI74" s="196"/>
      <c r="AJ74" s="201"/>
      <c r="AK7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4" s="198" t="e">
        <f>(1 - ((1 - VLOOKUP(Table4[[#This Row],[ConfidentialityP]],'Reference - CVSSv3.0'!$B$15:$C$17,2,FALSE)) * (1 - VLOOKUP(Table4[[#This Row],[IntegrityP]],'Reference - CVSSv3.0'!$B$15:$C$17,2,FALSE)) *  (1 - VLOOKUP(Table4[[#This Row],[AvailabilityP]],'Reference - CVSSv3.0'!$B$15:$C$17,2,FALSE))))</f>
        <v>#N/A</v>
      </c>
      <c r="AM74" s="198" t="e">
        <f>IF(Table4[[#This Row],[ScopeP]]="Unchanged",6.42*Table4[[#This Row],[ISC BaseP]],IF(Table4[[#This Row],[ScopeP]]="Changed",7.52*(Table4[[#This Row],[ISC BaseP]] - 0.029) - 3.25 * POWER(Table4[[#This Row],[ISC BaseP]] - 0.02,15),NA()))</f>
        <v>#N/A</v>
      </c>
      <c r="AN7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187"/>
    </row>
    <row r="75" spans="1:43" ht="99.75" x14ac:dyDescent="0.25">
      <c r="A75" s="70">
        <v>71</v>
      </c>
      <c r="B75" s="182" t="s">
        <v>130</v>
      </c>
      <c r="C75" s="195" t="str">
        <f>IF(VLOOKUP(Table4[[#This Row],[T ID]],Table5[#All],5,FALSE)="No","Not in scope",VLOOKUP(Table4[[#This Row],[T ID]],Table5[#All],2,FALSE))</f>
        <v>Clearing Track
(TTP)</v>
      </c>
      <c r="D75" s="212" t="s">
        <v>234</v>
      </c>
      <c r="E75" s="195" t="str">
        <f>IF(VLOOKUP(Table4[[#This Row],[V ID]],Vulnerabilities[#All],3,FALSE)="No","Not in scope",VLOOKUP(Table4[[#This Row],[V ID]],Vulnerabilities[#All],2,FALSE))</f>
        <v>Ineffective patch management of firware, OS and applications thoughout the information system plan</v>
      </c>
      <c r="F75" s="216" t="s">
        <v>113</v>
      </c>
      <c r="G75" s="195" t="str">
        <f>VLOOKUP(Table4[[#This Row],[A ID]],Assets[#All],3,FALSE)</f>
        <v>Tablet OS/network details &amp; Tablet Application</v>
      </c>
      <c r="H75" s="49" t="s">
        <v>285</v>
      </c>
      <c r="I75" s="49"/>
      <c r="J75" s="87" t="s">
        <v>57</v>
      </c>
      <c r="K75" s="87" t="s">
        <v>57</v>
      </c>
      <c r="L75" s="87" t="s">
        <v>57</v>
      </c>
      <c r="M75" s="196" t="s">
        <v>80</v>
      </c>
      <c r="N75" s="157" t="s">
        <v>57</v>
      </c>
      <c r="O75" s="157" t="s">
        <v>57</v>
      </c>
      <c r="P75" s="196" t="s">
        <v>78</v>
      </c>
      <c r="Q75" s="196" t="s">
        <v>75</v>
      </c>
      <c r="R7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5" s="198">
        <f>(1 - ((1 - VLOOKUP(Table4[[#This Row],[Confidentiality]],'Reference - CVSSv3.0'!$B$15:$C$17,2,FALSE)) * (1 - VLOOKUP(Table4[[#This Row],[Integrity]],'Reference - CVSSv3.0'!$B$15:$C$17,2,FALSE)) *  (1 - VLOOKUP(Table4[[#This Row],[Availability]],'Reference - CVSSv3.0'!$B$15:$C$17,2,FALSE))))</f>
        <v>0.52544799999999992</v>
      </c>
      <c r="T75" s="198">
        <f>IF(Table4[[#This Row],[Scope]]="Unchanged",6.42*Table4[[#This Row],[ISC Base]],IF(Table4[[#This Row],[Scope]]="Changed",7.52*(Table4[[#This Row],[ISC Base]] - 0.029) - 3.25 * POWER(Table4[[#This Row],[ISC Base]] - 0.02,15),NA()))</f>
        <v>3.3733761599999994</v>
      </c>
      <c r="U75"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5" s="182" t="s">
        <v>57</v>
      </c>
      <c r="W75" s="198">
        <f>VLOOKUP(Table4[[#This Row],[Threat Event Initiation]],NIST_Scale_LOAI[],2,FALSE)</f>
        <v>0.2</v>
      </c>
      <c r="X7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49" t="s">
        <v>311</v>
      </c>
      <c r="AA75" s="187"/>
      <c r="AB75" s="206"/>
      <c r="AC75" s="187"/>
      <c r="AD75" s="187"/>
      <c r="AE75" s="187"/>
      <c r="AF75" s="196"/>
      <c r="AG75" s="196"/>
      <c r="AH75" s="196"/>
      <c r="AI75" s="196"/>
      <c r="AJ75" s="201"/>
      <c r="AK7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5" s="198" t="e">
        <f>(1 - ((1 - VLOOKUP(Table4[[#This Row],[ConfidentialityP]],'Reference - CVSSv3.0'!$B$15:$C$17,2,FALSE)) * (1 - VLOOKUP(Table4[[#This Row],[IntegrityP]],'Reference - CVSSv3.0'!$B$15:$C$17,2,FALSE)) *  (1 - VLOOKUP(Table4[[#This Row],[AvailabilityP]],'Reference - CVSSv3.0'!$B$15:$C$17,2,FALSE))))</f>
        <v>#N/A</v>
      </c>
      <c r="AM75" s="198" t="e">
        <f>IF(Table4[[#This Row],[ScopeP]]="Unchanged",6.42*Table4[[#This Row],[ISC BaseP]],IF(Table4[[#This Row],[ScopeP]]="Changed",7.52*(Table4[[#This Row],[ISC BaseP]] - 0.029) - 3.25 * POWER(Table4[[#This Row],[ISC BaseP]] - 0.02,15),NA()))</f>
        <v>#N/A</v>
      </c>
      <c r="AN7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187"/>
    </row>
    <row r="76" spans="1:43" ht="99.75" x14ac:dyDescent="0.25">
      <c r="A76" s="70">
        <v>72</v>
      </c>
      <c r="B76" s="182" t="s">
        <v>130</v>
      </c>
      <c r="C76" s="195" t="str">
        <f>IF(VLOOKUP(Table4[[#This Row],[T ID]],Table5[#All],5,FALSE)="No","Not in scope",VLOOKUP(Table4[[#This Row],[T ID]],Table5[#All],2,FALSE))</f>
        <v>Clearing Track
(TTP)</v>
      </c>
      <c r="D76" s="212" t="s">
        <v>236</v>
      </c>
      <c r="E76" s="195" t="str">
        <f>IF(VLOOKUP(Table4[[#This Row],[V ID]],Vulnerabilities[#All],3,FALSE)="No","Not in scope",VLOOKUP(Table4[[#This Row],[V ID]],Vulnerabilities[#All],2,FALSE))</f>
        <v>The  static connection digaram between devices and applications with provision for periodic updation as per changes</v>
      </c>
      <c r="F76" s="216" t="s">
        <v>116</v>
      </c>
      <c r="G76" s="195" t="str">
        <f>VLOOKUP(Table4[[#This Row],[A ID]],Assets[#All],3,FALSE)</f>
        <v>Device Maintainence tool (Hardware/Software)</v>
      </c>
      <c r="H76" s="49" t="s">
        <v>285</v>
      </c>
      <c r="I76" s="49"/>
      <c r="J76" s="87" t="s">
        <v>57</v>
      </c>
      <c r="K76" s="87" t="s">
        <v>57</v>
      </c>
      <c r="L76" s="87" t="s">
        <v>57</v>
      </c>
      <c r="M76" s="196" t="s">
        <v>80</v>
      </c>
      <c r="N76" s="157" t="s">
        <v>57</v>
      </c>
      <c r="O76" s="157" t="s">
        <v>57</v>
      </c>
      <c r="P76" s="196" t="s">
        <v>78</v>
      </c>
      <c r="Q76" s="196" t="s">
        <v>75</v>
      </c>
      <c r="R7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6" s="198">
        <f>(1 - ((1 - VLOOKUP(Table4[[#This Row],[Confidentiality]],'Reference - CVSSv3.0'!$B$15:$C$17,2,FALSE)) * (1 - VLOOKUP(Table4[[#This Row],[Integrity]],'Reference - CVSSv3.0'!$B$15:$C$17,2,FALSE)) *  (1 - VLOOKUP(Table4[[#This Row],[Availability]],'Reference - CVSSv3.0'!$B$15:$C$17,2,FALSE))))</f>
        <v>0.52544799999999992</v>
      </c>
      <c r="T76" s="198">
        <f>IF(Table4[[#This Row],[Scope]]="Unchanged",6.42*Table4[[#This Row],[ISC Base]],IF(Table4[[#This Row],[Scope]]="Changed",7.52*(Table4[[#This Row],[ISC Base]] - 0.029) - 3.25 * POWER(Table4[[#This Row],[ISC Base]] - 0.02,15),NA()))</f>
        <v>3.3733761599999994</v>
      </c>
      <c r="U76"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6" s="182" t="s">
        <v>57</v>
      </c>
      <c r="W76" s="198">
        <f>VLOOKUP(Table4[[#This Row],[Threat Event Initiation]],NIST_Scale_LOAI[],2,FALSE)</f>
        <v>0.2</v>
      </c>
      <c r="X7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49" t="s">
        <v>311</v>
      </c>
      <c r="AA76" s="187"/>
      <c r="AB76" s="206"/>
      <c r="AC76" s="187"/>
      <c r="AD76" s="187"/>
      <c r="AE76" s="187"/>
      <c r="AF76" s="196"/>
      <c r="AG76" s="196"/>
      <c r="AH76" s="196"/>
      <c r="AI76" s="196"/>
      <c r="AJ76" s="201"/>
      <c r="AK7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6" s="198" t="e">
        <f>(1 - ((1 - VLOOKUP(Table4[[#This Row],[ConfidentialityP]],'Reference - CVSSv3.0'!$B$15:$C$17,2,FALSE)) * (1 - VLOOKUP(Table4[[#This Row],[IntegrityP]],'Reference - CVSSv3.0'!$B$15:$C$17,2,FALSE)) *  (1 - VLOOKUP(Table4[[#This Row],[AvailabilityP]],'Reference - CVSSv3.0'!$B$15:$C$17,2,FALSE))))</f>
        <v>#N/A</v>
      </c>
      <c r="AM76" s="198" t="e">
        <f>IF(Table4[[#This Row],[ScopeP]]="Unchanged",6.42*Table4[[#This Row],[ISC BaseP]],IF(Table4[[#This Row],[ScopeP]]="Changed",7.52*(Table4[[#This Row],[ISC BaseP]] - 0.029) - 3.25 * POWER(Table4[[#This Row],[ISC BaseP]] - 0.02,15),NA()))</f>
        <v>#N/A</v>
      </c>
      <c r="AN7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187"/>
    </row>
    <row r="77" spans="1:43" ht="99.75" x14ac:dyDescent="0.25">
      <c r="A77" s="70">
        <v>73</v>
      </c>
      <c r="B77" s="182" t="s">
        <v>130</v>
      </c>
      <c r="C77" s="195" t="str">
        <f>IF(VLOOKUP(Table4[[#This Row],[T ID]],Table5[#All],5,FALSE)="No","Not in scope",VLOOKUP(Table4[[#This Row],[T ID]],Table5[#All],2,FALSE))</f>
        <v>Clearing Track
(TTP)</v>
      </c>
      <c r="D77" s="212" t="s">
        <v>236</v>
      </c>
      <c r="E77" s="195" t="str">
        <f>IF(VLOOKUP(Table4[[#This Row],[V ID]],Vulnerabilities[#All],3,FALSE)="No","Not in scope",VLOOKUP(Table4[[#This Row],[V ID]],Vulnerabilities[#All],2,FALSE))</f>
        <v>The  static connection digaram between devices and applications with provision for periodic updation as per changes</v>
      </c>
      <c r="F77" s="216" t="s">
        <v>112</v>
      </c>
      <c r="G77" s="195" t="str">
        <f>VLOOKUP(Table4[[#This Row],[A ID]],Assets[#All],3,FALSE)</f>
        <v>Tablet Resources - web cam, microphone, OTG devices, Removable USB, Tablet Application,</v>
      </c>
      <c r="H77" s="49" t="s">
        <v>285</v>
      </c>
      <c r="I77" s="49"/>
      <c r="J77" s="87" t="s">
        <v>57</v>
      </c>
      <c r="K77" s="87" t="s">
        <v>57</v>
      </c>
      <c r="L77" s="87" t="s">
        <v>57</v>
      </c>
      <c r="M77" s="196" t="s">
        <v>80</v>
      </c>
      <c r="N77" s="157" t="s">
        <v>57</v>
      </c>
      <c r="O77" s="157" t="s">
        <v>57</v>
      </c>
      <c r="P77" s="196" t="s">
        <v>78</v>
      </c>
      <c r="Q77" s="196" t="s">
        <v>75</v>
      </c>
      <c r="R7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77" s="198">
        <f>(1 - ((1 - VLOOKUP(Table4[[#This Row],[Confidentiality]],'Reference - CVSSv3.0'!$B$15:$C$17,2,FALSE)) * (1 - VLOOKUP(Table4[[#This Row],[Integrity]],'Reference - CVSSv3.0'!$B$15:$C$17,2,FALSE)) *  (1 - VLOOKUP(Table4[[#This Row],[Availability]],'Reference - CVSSv3.0'!$B$15:$C$17,2,FALSE))))</f>
        <v>0.52544799999999992</v>
      </c>
      <c r="T77" s="198">
        <f>IF(Table4[[#This Row],[Scope]]="Unchanged",6.42*Table4[[#This Row],[ISC Base]],IF(Table4[[#This Row],[Scope]]="Changed",7.52*(Table4[[#This Row],[ISC Base]] - 0.029) - 3.25 * POWER(Table4[[#This Row],[ISC Base]] - 0.02,15),NA()))</f>
        <v>3.3733761599999994</v>
      </c>
      <c r="U77" s="198">
        <f>IF(Table4[[#This Row],[Impact Sub Score]]&lt;=0,0,IF(Table4[[#This Row],[Scope]]="Unchanged",ROUNDUP(MIN((Table4[[#This Row],[Impact Sub Score]]+Table4[[#This Row],[Exploitability Sub Score]]),10),1),IF(Table4[[#This Row],[Scope]]="Changed",ROUNDUP(MIN((1.08*(Table4[[#This Row],[Impact Sub Score]]+Table4[[#This Row],[Exploitability Sub Score]])),10),1),NA())))</f>
        <v>5.3</v>
      </c>
      <c r="V77" s="182" t="s">
        <v>57</v>
      </c>
      <c r="W77" s="198">
        <f>VLOOKUP(Table4[[#This Row],[Threat Event Initiation]],NIST_Scale_LOAI[],2,FALSE)</f>
        <v>0.2</v>
      </c>
      <c r="X7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49" t="s">
        <v>311</v>
      </c>
      <c r="AA77" s="187"/>
      <c r="AB77" s="206"/>
      <c r="AC77" s="187"/>
      <c r="AD77" s="187"/>
      <c r="AE77" s="187"/>
      <c r="AF77" s="196"/>
      <c r="AG77" s="196"/>
      <c r="AH77" s="196"/>
      <c r="AI77" s="196"/>
      <c r="AJ77" s="201"/>
      <c r="AK7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7" s="198" t="e">
        <f>(1 - ((1 - VLOOKUP(Table4[[#This Row],[ConfidentialityP]],'Reference - CVSSv3.0'!$B$15:$C$17,2,FALSE)) * (1 - VLOOKUP(Table4[[#This Row],[IntegrityP]],'Reference - CVSSv3.0'!$B$15:$C$17,2,FALSE)) *  (1 - VLOOKUP(Table4[[#This Row],[AvailabilityP]],'Reference - CVSSv3.0'!$B$15:$C$17,2,FALSE))))</f>
        <v>#N/A</v>
      </c>
      <c r="AM77" s="198" t="e">
        <f>IF(Table4[[#This Row],[ScopeP]]="Unchanged",6.42*Table4[[#This Row],[ISC BaseP]],IF(Table4[[#This Row],[ScopeP]]="Changed",7.52*(Table4[[#This Row],[ISC BaseP]] - 0.029) - 3.25 * POWER(Table4[[#This Row],[ISC BaseP]] - 0.02,15),NA()))</f>
        <v>#N/A</v>
      </c>
      <c r="AN7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187"/>
    </row>
    <row r="78" spans="1:43" ht="171" x14ac:dyDescent="0.25">
      <c r="A78" s="70">
        <v>74</v>
      </c>
      <c r="B78" s="182" t="s">
        <v>265</v>
      </c>
      <c r="C78" s="195" t="str">
        <f>IF(VLOOKUP(Table4[[#This Row],[T ID]],Table5[#All],5,FALSE)="No","Not in scope",VLOOKUP(Table4[[#This Row],[T ID]],Table5[#All],2,FALSE))</f>
        <v>Elevation of privilege
(STRID[E])</v>
      </c>
      <c r="D78" s="210" t="s">
        <v>250</v>
      </c>
      <c r="E78" s="195" t="str">
        <f>IF(VLOOKUP(Table4[[#This Row],[V ID]],Vulnerabilities[#All],3,FALSE)="No","Not in scope",VLOOKUP(Table4[[#This Row],[V ID]],Vulnerabilities[#All],2,FALSE))</f>
        <v>Controlled Use of Administrative Privileges over the network</v>
      </c>
      <c r="F78" s="213" t="s">
        <v>115</v>
      </c>
      <c r="G78" s="195" t="str">
        <f>VLOOKUP(Table4[[#This Row],[A ID]],Assets[#All],3,FALSE)</f>
        <v xml:space="preserve">Authenication/Authorisation data </v>
      </c>
      <c r="H78" s="49" t="s">
        <v>286</v>
      </c>
      <c r="I78" s="49"/>
      <c r="J78" s="87" t="s">
        <v>57</v>
      </c>
      <c r="K78" s="87" t="s">
        <v>57</v>
      </c>
      <c r="L78" s="87" t="s">
        <v>57</v>
      </c>
      <c r="M78" s="196" t="s">
        <v>79</v>
      </c>
      <c r="N78" s="157" t="s">
        <v>57</v>
      </c>
      <c r="O78" s="157" t="s">
        <v>57</v>
      </c>
      <c r="P78" s="196" t="s">
        <v>77</v>
      </c>
      <c r="Q78" s="196" t="s">
        <v>75</v>
      </c>
      <c r="R7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78" s="198">
        <f>(1 - ((1 - VLOOKUP(Table4[[#This Row],[Confidentiality]],'Reference - CVSSv3.0'!$B$15:$C$17,2,FALSE)) * (1 - VLOOKUP(Table4[[#This Row],[Integrity]],'Reference - CVSSv3.0'!$B$15:$C$17,2,FALSE)) *  (1 - VLOOKUP(Table4[[#This Row],[Availability]],'Reference - CVSSv3.0'!$B$15:$C$17,2,FALSE))))</f>
        <v>0.52544799999999992</v>
      </c>
      <c r="T78" s="198">
        <f>IF(Table4[[#This Row],[Scope]]="Unchanged",6.42*Table4[[#This Row],[ISC Base]],IF(Table4[[#This Row],[Scope]]="Changed",7.52*(Table4[[#This Row],[ISC Base]] - 0.029) - 3.25 * POWER(Table4[[#This Row],[ISC Base]] - 0.02,15),NA()))</f>
        <v>3.3733761599999994</v>
      </c>
      <c r="U78" s="198">
        <f>IF(Table4[[#This Row],[Impact Sub Score]]&lt;=0,0,IF(Table4[[#This Row],[Scope]]="Unchanged",ROUNDUP(MIN((Table4[[#This Row],[Impact Sub Score]]+Table4[[#This Row],[Exploitability Sub Score]]),10),1),IF(Table4[[#This Row],[Scope]]="Changed",ROUNDUP(MIN((1.08*(Table4[[#This Row],[Impact Sub Score]]+Table4[[#This Row],[Exploitability Sub Score]])),10),1),NA())))</f>
        <v>5.5</v>
      </c>
      <c r="V78" s="182" t="s">
        <v>57</v>
      </c>
      <c r="W78" s="198">
        <f>VLOOKUP(Table4[[#This Row],[Threat Event Initiation]],NIST_Scale_LOAI[],2,FALSE)</f>
        <v>0.2</v>
      </c>
      <c r="X7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8" s="49" t="s">
        <v>334</v>
      </c>
      <c r="AA78" s="187"/>
      <c r="AB78" s="206"/>
      <c r="AC78" s="187"/>
      <c r="AD78" s="187"/>
      <c r="AE78" s="187"/>
      <c r="AF78" s="196"/>
      <c r="AG78" s="196"/>
      <c r="AH78" s="196"/>
      <c r="AI78" s="196"/>
      <c r="AJ78" s="201"/>
      <c r="AK7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8" s="198" t="e">
        <f>(1 - ((1 - VLOOKUP(Table4[[#This Row],[ConfidentialityP]],'Reference - CVSSv3.0'!$B$15:$C$17,2,FALSE)) * (1 - VLOOKUP(Table4[[#This Row],[IntegrityP]],'Reference - CVSSv3.0'!$B$15:$C$17,2,FALSE)) *  (1 - VLOOKUP(Table4[[#This Row],[AvailabilityP]],'Reference - CVSSv3.0'!$B$15:$C$17,2,FALSE))))</f>
        <v>#N/A</v>
      </c>
      <c r="AM78" s="198" t="e">
        <f>IF(Table4[[#This Row],[ScopeP]]="Unchanged",6.42*Table4[[#This Row],[ISC BaseP]],IF(Table4[[#This Row],[ScopeP]]="Changed",7.52*(Table4[[#This Row],[ISC BaseP]] - 0.029) - 3.25 * POWER(Table4[[#This Row],[ISC BaseP]] - 0.02,15),NA()))</f>
        <v>#N/A</v>
      </c>
      <c r="AN7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187"/>
    </row>
    <row r="79" spans="1:43" ht="171" x14ac:dyDescent="0.25">
      <c r="A79" s="70">
        <v>75</v>
      </c>
      <c r="B79" s="182" t="s">
        <v>265</v>
      </c>
      <c r="C79" s="195" t="str">
        <f>IF(VLOOKUP(Table4[[#This Row],[T ID]],Table5[#All],5,FALSE)="No","Not in scope",VLOOKUP(Table4[[#This Row],[T ID]],Table5[#All],2,FALSE))</f>
        <v>Elevation of privilege
(STRID[E])</v>
      </c>
      <c r="D79" s="210" t="s">
        <v>250</v>
      </c>
      <c r="E79" s="195" t="str">
        <f>IF(VLOOKUP(Table4[[#This Row],[V ID]],Vulnerabilities[#All],3,FALSE)="No","Not in scope",VLOOKUP(Table4[[#This Row],[V ID]],Vulnerabilities[#All],2,FALSE))</f>
        <v>Controlled Use of Administrative Privileges over the network</v>
      </c>
      <c r="F79" s="221" t="s">
        <v>109</v>
      </c>
      <c r="G79" s="195" t="str">
        <f>VLOOKUP(Table4[[#This Row],[A ID]],Assets[#All],3,FALSE)</f>
        <v>Smart medic app (Azure Portal Administrator)</v>
      </c>
      <c r="H79" s="49" t="s">
        <v>286</v>
      </c>
      <c r="I79" s="49"/>
      <c r="J79" s="87" t="s">
        <v>66</v>
      </c>
      <c r="K79" s="87" t="s">
        <v>66</v>
      </c>
      <c r="L79" s="87" t="s">
        <v>57</v>
      </c>
      <c r="M79" s="196" t="s">
        <v>79</v>
      </c>
      <c r="N79" s="157" t="s">
        <v>57</v>
      </c>
      <c r="O79" s="157" t="s">
        <v>57</v>
      </c>
      <c r="P79" s="196" t="s">
        <v>77</v>
      </c>
      <c r="Q79" s="196" t="s">
        <v>75</v>
      </c>
      <c r="R7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2.0680681560000003</v>
      </c>
      <c r="S79" s="198">
        <f>(1 - ((1 - VLOOKUP(Table4[[#This Row],[Confidentiality]],'Reference - CVSSv3.0'!$B$15:$C$17,2,FALSE)) * (1 - VLOOKUP(Table4[[#This Row],[Integrity]],'Reference - CVSSv3.0'!$B$15:$C$17,2,FALSE)) *  (1 - VLOOKUP(Table4[[#This Row],[Availability]],'Reference - CVSSv3.0'!$B$15:$C$17,2,FALSE))))</f>
        <v>0.84899199999999997</v>
      </c>
      <c r="T79" s="198">
        <f>IF(Table4[[#This Row],[Scope]]="Unchanged",6.42*Table4[[#This Row],[ISC Base]],IF(Table4[[#This Row],[Scope]]="Changed",7.52*(Table4[[#This Row],[ISC Base]] - 0.029) - 3.25 * POWER(Table4[[#This Row],[ISC Base]] - 0.02,15),NA()))</f>
        <v>5.4505286399999999</v>
      </c>
      <c r="U79"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79" s="182" t="s">
        <v>66</v>
      </c>
      <c r="W79" s="198">
        <f>VLOOKUP(Table4[[#This Row],[Threat Event Initiation]],NIST_Scale_LOAI[],2,FALSE)</f>
        <v>0.8</v>
      </c>
      <c r="X7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7.1999999999999993</v>
      </c>
      <c r="Y7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HIGH</v>
      </c>
      <c r="Z79" s="49" t="s">
        <v>334</v>
      </c>
      <c r="AA79" s="187"/>
      <c r="AB79" s="206"/>
      <c r="AC79" s="187"/>
      <c r="AD79" s="187"/>
      <c r="AE79" s="187"/>
      <c r="AF79" s="196"/>
      <c r="AG79" s="196"/>
      <c r="AH79" s="196"/>
      <c r="AI79" s="196"/>
      <c r="AJ79" s="201"/>
      <c r="AK7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79" s="198" t="e">
        <f>(1 - ((1 - VLOOKUP(Table4[[#This Row],[ConfidentialityP]],'Reference - CVSSv3.0'!$B$15:$C$17,2,FALSE)) * (1 - VLOOKUP(Table4[[#This Row],[IntegrityP]],'Reference - CVSSv3.0'!$B$15:$C$17,2,FALSE)) *  (1 - VLOOKUP(Table4[[#This Row],[AvailabilityP]],'Reference - CVSSv3.0'!$B$15:$C$17,2,FALSE))))</f>
        <v>#N/A</v>
      </c>
      <c r="AM79" s="198" t="e">
        <f>IF(Table4[[#This Row],[ScopeP]]="Unchanged",6.42*Table4[[#This Row],[ISC BaseP]],IF(Table4[[#This Row],[ScopeP]]="Changed",7.52*(Table4[[#This Row],[ISC BaseP]] - 0.029) - 3.25 * POWER(Table4[[#This Row],[ISC BaseP]] - 0.02,15),NA()))</f>
        <v>#N/A</v>
      </c>
      <c r="AN7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187"/>
    </row>
    <row r="80" spans="1:43" ht="71.25" x14ac:dyDescent="0.25">
      <c r="A80" s="70">
        <v>76</v>
      </c>
      <c r="B80" s="182" t="s">
        <v>266</v>
      </c>
      <c r="C80" s="195" t="str">
        <f>IF(VLOOKUP(Table4[[#This Row],[T ID]],Table5[#All],5,FALSE)="No","Not in scope",VLOOKUP(Table4[[#This Row],[T ID]],Table5[#All],2,FALSE))</f>
        <v>Denial of service
(STRI(D)E)</v>
      </c>
      <c r="D80" s="210" t="s">
        <v>247</v>
      </c>
      <c r="E80" s="195" t="str">
        <f>IF(VLOOKUP(Table4[[#This Row],[V ID]],Vulnerabilities[#All],3,FALSE)="No","Not in scope",VLOOKUP(Table4[[#This Row],[V ID]],Vulnerabilities[#All],2,FALSE))</f>
        <v>Unprotected network port(s) on network devices and connection points</v>
      </c>
      <c r="F80" s="216" t="s">
        <v>119</v>
      </c>
      <c r="G80" s="195" t="str">
        <f>VLOOKUP(Table4[[#This Row],[A ID]],Assets[#All],3,FALSE)</f>
        <v>Wireless Network device</v>
      </c>
      <c r="H80" s="49" t="s">
        <v>287</v>
      </c>
      <c r="I80" s="49"/>
      <c r="J80" s="87" t="s">
        <v>66</v>
      </c>
      <c r="K80" s="87" t="s">
        <v>57</v>
      </c>
      <c r="L80" s="87" t="s">
        <v>57</v>
      </c>
      <c r="M80" s="196" t="s">
        <v>79</v>
      </c>
      <c r="N80" s="157" t="s">
        <v>57</v>
      </c>
      <c r="O80" s="157" t="s">
        <v>57</v>
      </c>
      <c r="P80" s="196" t="s">
        <v>78</v>
      </c>
      <c r="Q80" s="196" t="s">
        <v>75</v>
      </c>
      <c r="R8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80" s="198">
        <f>(1 - ((1 - VLOOKUP(Table4[[#This Row],[Confidentiality]],'Reference - CVSSv3.0'!$B$15:$C$17,2,FALSE)) * (1 - VLOOKUP(Table4[[#This Row],[Integrity]],'Reference - CVSSv3.0'!$B$15:$C$17,2,FALSE)) *  (1 - VLOOKUP(Table4[[#This Row],[Availability]],'Reference - CVSSv3.0'!$B$15:$C$17,2,FALSE))))</f>
        <v>0.73230400000000007</v>
      </c>
      <c r="T80" s="198">
        <f>IF(Table4[[#This Row],[Scope]]="Unchanged",6.42*Table4[[#This Row],[ISC Base]],IF(Table4[[#This Row],[Scope]]="Changed",7.52*(Table4[[#This Row],[ISC Base]] - 0.029) - 3.25 * POWER(Table4[[#This Row],[ISC Base]] - 0.02,15),NA()))</f>
        <v>4.7013916800000004</v>
      </c>
      <c r="U80"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80" s="182" t="s">
        <v>57</v>
      </c>
      <c r="W80" s="198">
        <f>VLOOKUP(Table4[[#This Row],[Threat Event Initiation]],NIST_Scale_LOAI[],2,FALSE)</f>
        <v>0.2</v>
      </c>
      <c r="X8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8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0" s="49" t="s">
        <v>301</v>
      </c>
      <c r="AA80" s="187"/>
      <c r="AB80" s="206"/>
      <c r="AC80" s="187"/>
      <c r="AD80" s="187"/>
      <c r="AE80" s="187"/>
      <c r="AF80" s="196"/>
      <c r="AG80" s="196"/>
      <c r="AH80" s="196"/>
      <c r="AI80" s="196"/>
      <c r="AJ80" s="201"/>
      <c r="AK8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0" s="198" t="e">
        <f>(1 - ((1 - VLOOKUP(Table4[[#This Row],[ConfidentialityP]],'Reference - CVSSv3.0'!$B$15:$C$17,2,FALSE)) * (1 - VLOOKUP(Table4[[#This Row],[IntegrityP]],'Reference - CVSSv3.0'!$B$15:$C$17,2,FALSE)) *  (1 - VLOOKUP(Table4[[#This Row],[AvailabilityP]],'Reference - CVSSv3.0'!$B$15:$C$17,2,FALSE))))</f>
        <v>#N/A</v>
      </c>
      <c r="AM80" s="198" t="e">
        <f>IF(Table4[[#This Row],[ScopeP]]="Unchanged",6.42*Table4[[#This Row],[ISC BaseP]],IF(Table4[[#This Row],[ScopeP]]="Changed",7.52*(Table4[[#This Row],[ISC BaseP]] - 0.029) - 3.25 * POWER(Table4[[#This Row],[ISC BaseP]] - 0.02,15),NA()))</f>
        <v>#N/A</v>
      </c>
      <c r="AN8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187"/>
    </row>
    <row r="81" spans="1:43" ht="57" x14ac:dyDescent="0.25">
      <c r="A81" s="70">
        <v>77</v>
      </c>
      <c r="B81" s="182" t="s">
        <v>266</v>
      </c>
      <c r="C81" s="195" t="str">
        <f>IF(VLOOKUP(Table4[[#This Row],[T ID]],Table5[#All],5,FALSE)="No","Not in scope",VLOOKUP(Table4[[#This Row],[T ID]],Table5[#All],2,FALSE))</f>
        <v>Denial of service
(STRI(D)E)</v>
      </c>
      <c r="D81" s="210" t="s">
        <v>247</v>
      </c>
      <c r="E81" s="195" t="str">
        <f>IF(VLOOKUP(Table4[[#This Row],[V ID]],Vulnerabilities[#All],3,FALSE)="No","Not in scope",VLOOKUP(Table4[[#This Row],[V ID]],Vulnerabilities[#All],2,FALSE))</f>
        <v>Unprotected network port(s) on network devices and connection points</v>
      </c>
      <c r="F81" s="216" t="s">
        <v>113</v>
      </c>
      <c r="G81" s="195" t="str">
        <f>VLOOKUP(Table4[[#This Row],[A ID]],Assets[#All],3,FALSE)</f>
        <v>Tablet OS/network details &amp; Tablet Application</v>
      </c>
      <c r="H81" s="49" t="s">
        <v>287</v>
      </c>
      <c r="I81" s="49"/>
      <c r="J81" s="87" t="s">
        <v>66</v>
      </c>
      <c r="K81" s="87" t="s">
        <v>57</v>
      </c>
      <c r="L81" s="87" t="s">
        <v>57</v>
      </c>
      <c r="M81" s="196" t="s">
        <v>79</v>
      </c>
      <c r="N81" s="157" t="s">
        <v>57</v>
      </c>
      <c r="O81" s="157" t="s">
        <v>57</v>
      </c>
      <c r="P81" s="196" t="s">
        <v>78</v>
      </c>
      <c r="Q81" s="196" t="s">
        <v>75</v>
      </c>
      <c r="R8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2.8352547299999999</v>
      </c>
      <c r="S81" s="198">
        <f>(1 - ((1 - VLOOKUP(Table4[[#This Row],[Confidentiality]],'Reference - CVSSv3.0'!$B$15:$C$17,2,FALSE)) * (1 - VLOOKUP(Table4[[#This Row],[Integrity]],'Reference - CVSSv3.0'!$B$15:$C$17,2,FALSE)) *  (1 - VLOOKUP(Table4[[#This Row],[Availability]],'Reference - CVSSv3.0'!$B$15:$C$17,2,FALSE))))</f>
        <v>0.73230400000000007</v>
      </c>
      <c r="T81" s="198">
        <f>IF(Table4[[#This Row],[Scope]]="Unchanged",6.42*Table4[[#This Row],[ISC Base]],IF(Table4[[#This Row],[Scope]]="Changed",7.52*(Table4[[#This Row],[ISC Base]] - 0.029) - 3.25 * POWER(Table4[[#This Row],[ISC Base]] - 0.02,15),NA()))</f>
        <v>4.7013916800000004</v>
      </c>
      <c r="U81" s="198">
        <f>IF(Table4[[#This Row],[Impact Sub Score]]&lt;=0,0,IF(Table4[[#This Row],[Scope]]="Unchanged",ROUNDUP(MIN((Table4[[#This Row],[Impact Sub Score]]+Table4[[#This Row],[Exploitability Sub Score]]),10),1),IF(Table4[[#This Row],[Scope]]="Changed",ROUNDUP(MIN((1.08*(Table4[[#This Row],[Impact Sub Score]]+Table4[[#This Row],[Exploitability Sub Score]])),10),1),NA())))</f>
        <v>7.6</v>
      </c>
      <c r="V81" s="182" t="s">
        <v>57</v>
      </c>
      <c r="W81" s="198">
        <f>VLOOKUP(Table4[[#This Row],[Threat Event Initiation]],NIST_Scale_LOAI[],2,FALSE)</f>
        <v>0.2</v>
      </c>
      <c r="X8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8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1" s="49" t="s">
        <v>311</v>
      </c>
      <c r="AA81" s="187"/>
      <c r="AB81" s="206"/>
      <c r="AC81" s="187"/>
      <c r="AD81" s="187"/>
      <c r="AE81" s="187"/>
      <c r="AF81" s="196"/>
      <c r="AG81" s="196"/>
      <c r="AH81" s="196"/>
      <c r="AI81" s="196"/>
      <c r="AJ81" s="201"/>
      <c r="AK8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1" s="198" t="e">
        <f>(1 - ((1 - VLOOKUP(Table4[[#This Row],[ConfidentialityP]],'Reference - CVSSv3.0'!$B$15:$C$17,2,FALSE)) * (1 - VLOOKUP(Table4[[#This Row],[IntegrityP]],'Reference - CVSSv3.0'!$B$15:$C$17,2,FALSE)) *  (1 - VLOOKUP(Table4[[#This Row],[AvailabilityP]],'Reference - CVSSv3.0'!$B$15:$C$17,2,FALSE))))</f>
        <v>#N/A</v>
      </c>
      <c r="AM81" s="198" t="e">
        <f>IF(Table4[[#This Row],[ScopeP]]="Unchanged",6.42*Table4[[#This Row],[ISC BaseP]],IF(Table4[[#This Row],[ScopeP]]="Changed",7.52*(Table4[[#This Row],[ISC BaseP]] - 0.029) - 3.25 * POWER(Table4[[#This Row],[ISC BaseP]] - 0.02,15),NA()))</f>
        <v>#N/A</v>
      </c>
      <c r="AN8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187"/>
    </row>
    <row r="82" spans="1:43" ht="114" x14ac:dyDescent="0.25">
      <c r="A82" s="70">
        <v>78</v>
      </c>
      <c r="B82" s="182" t="s">
        <v>267</v>
      </c>
      <c r="C82" s="195" t="str">
        <f>IF(VLOOKUP(Table4[[#This Row],[T ID]],Table5[#All],5,FALSE)="No","Not in scope",VLOOKUP(Table4[[#This Row],[T ID]],Table5[#All],2,FALSE))</f>
        <v>Information disclosure
(STR(I)DE)</v>
      </c>
      <c r="D82" s="210" t="s">
        <v>251</v>
      </c>
      <c r="E82" s="195" t="str">
        <f>IF(VLOOKUP(Table4[[#This Row],[V ID]],Vulnerabilities[#All],3,FALSE)="No","Not in scope",VLOOKUP(Table4[[#This Row],[V ID]],Vulnerabilities[#All],2,FALSE))</f>
        <v>Unencrypted data at rest in all possible locations</v>
      </c>
      <c r="F82" s="42" t="s">
        <v>120</v>
      </c>
      <c r="G82" s="195" t="str">
        <f>VLOOKUP(Table4[[#This Row],[A ID]],Assets[#All],3,FALSE)</f>
        <v>Data at Rest</v>
      </c>
      <c r="H82" s="49" t="s">
        <v>295</v>
      </c>
      <c r="I82" s="49"/>
      <c r="J82" s="87" t="s">
        <v>66</v>
      </c>
      <c r="K82" s="87" t="s">
        <v>66</v>
      </c>
      <c r="L82" s="87" t="s">
        <v>57</v>
      </c>
      <c r="M82" s="196" t="s">
        <v>80</v>
      </c>
      <c r="N82" s="157" t="s">
        <v>66</v>
      </c>
      <c r="O82" s="157" t="s">
        <v>57</v>
      </c>
      <c r="P82" s="196" t="s">
        <v>78</v>
      </c>
      <c r="Q82" s="196" t="s">
        <v>75</v>
      </c>
      <c r="R8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82" s="198">
        <f>(1 - ((1 - VLOOKUP(Table4[[#This Row],[Confidentiality]],'Reference - CVSSv3.0'!$B$15:$C$17,2,FALSE)) * (1 - VLOOKUP(Table4[[#This Row],[Integrity]],'Reference - CVSSv3.0'!$B$15:$C$17,2,FALSE)) *  (1 - VLOOKUP(Table4[[#This Row],[Availability]],'Reference - CVSSv3.0'!$B$15:$C$17,2,FALSE))))</f>
        <v>0.84899199999999997</v>
      </c>
      <c r="T82" s="198">
        <f>IF(Table4[[#This Row],[Scope]]="Unchanged",6.42*Table4[[#This Row],[ISC Base]],IF(Table4[[#This Row],[Scope]]="Changed",7.52*(Table4[[#This Row],[ISC Base]] - 0.029) - 3.25 * POWER(Table4[[#This Row],[ISC Base]] - 0.02,15),NA()))</f>
        <v>5.4505286399999999</v>
      </c>
      <c r="U82"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82" s="182" t="s">
        <v>56</v>
      </c>
      <c r="W82" s="198">
        <f>VLOOKUP(Table4[[#This Row],[Threat Event Initiation]],NIST_Scale_LOAI[],2,FALSE)</f>
        <v>0.5</v>
      </c>
      <c r="X8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2" s="49" t="s">
        <v>296</v>
      </c>
      <c r="AA82" s="187"/>
      <c r="AB82" s="206"/>
      <c r="AC82" s="187"/>
      <c r="AD82" s="187"/>
      <c r="AE82" s="187"/>
      <c r="AF82" s="196"/>
      <c r="AG82" s="196"/>
      <c r="AH82" s="196"/>
      <c r="AI82" s="196"/>
      <c r="AJ82" s="201"/>
      <c r="AK8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2" s="198" t="e">
        <f>(1 - ((1 - VLOOKUP(Table4[[#This Row],[ConfidentialityP]],'Reference - CVSSv3.0'!$B$15:$C$17,2,FALSE)) * (1 - VLOOKUP(Table4[[#This Row],[IntegrityP]],'Reference - CVSSv3.0'!$B$15:$C$17,2,FALSE)) *  (1 - VLOOKUP(Table4[[#This Row],[AvailabilityP]],'Reference - CVSSv3.0'!$B$15:$C$17,2,FALSE))))</f>
        <v>#N/A</v>
      </c>
      <c r="AM82" s="198" t="e">
        <f>IF(Table4[[#This Row],[ScopeP]]="Unchanged",6.42*Table4[[#This Row],[ISC BaseP]],IF(Table4[[#This Row],[ScopeP]]="Changed",7.52*(Table4[[#This Row],[ISC BaseP]] - 0.029) - 3.25 * POWER(Table4[[#This Row],[ISC BaseP]] - 0.02,15),NA()))</f>
        <v>#N/A</v>
      </c>
      <c r="AN8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187"/>
    </row>
    <row r="83" spans="1:43" ht="57" x14ac:dyDescent="0.25">
      <c r="A83" s="70">
        <v>79</v>
      </c>
      <c r="B83" s="182" t="s">
        <v>267</v>
      </c>
      <c r="C83" s="195" t="str">
        <f>IF(VLOOKUP(Table4[[#This Row],[T ID]],Table5[#All],5,FALSE)="No","Not in scope",VLOOKUP(Table4[[#This Row],[T ID]],Table5[#All],2,FALSE))</f>
        <v>Information disclosure
(STR(I)DE)</v>
      </c>
      <c r="D83" s="210" t="s">
        <v>257</v>
      </c>
      <c r="E83" s="195" t="str">
        <f>IF(VLOOKUP(Table4[[#This Row],[V ID]],Vulnerabilities[#All],3,FALSE)="No","Not in scope",VLOOKUP(Table4[[#This Row],[V ID]],Vulnerabilities[#All],2,FALSE))</f>
        <v>Unencrypted data in flight in all flowchannels</v>
      </c>
      <c r="F83" s="42" t="s">
        <v>107</v>
      </c>
      <c r="G83" s="195" t="str">
        <f>VLOOKUP(Table4[[#This Row],[A ID]],Assets[#All],3,FALSE)</f>
        <v>Data in Motion</v>
      </c>
      <c r="H83" s="49" t="s">
        <v>295</v>
      </c>
      <c r="I83" s="49"/>
      <c r="J83" s="87" t="s">
        <v>66</v>
      </c>
      <c r="K83" s="87" t="s">
        <v>66</v>
      </c>
      <c r="L83" s="87" t="s">
        <v>57</v>
      </c>
      <c r="M83" s="196" t="s">
        <v>79</v>
      </c>
      <c r="N83" s="157" t="s">
        <v>66</v>
      </c>
      <c r="O83" s="157" t="s">
        <v>57</v>
      </c>
      <c r="P83" s="196" t="s">
        <v>78</v>
      </c>
      <c r="Q83" s="196" t="s">
        <v>75</v>
      </c>
      <c r="R8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3" s="198">
        <f>(1 - ((1 - VLOOKUP(Table4[[#This Row],[Confidentiality]],'Reference - CVSSv3.0'!$B$15:$C$17,2,FALSE)) * (1 - VLOOKUP(Table4[[#This Row],[Integrity]],'Reference - CVSSv3.0'!$B$15:$C$17,2,FALSE)) *  (1 - VLOOKUP(Table4[[#This Row],[Availability]],'Reference - CVSSv3.0'!$B$15:$C$17,2,FALSE))))</f>
        <v>0.84899199999999997</v>
      </c>
      <c r="T83" s="198">
        <f>IF(Table4[[#This Row],[Scope]]="Unchanged",6.42*Table4[[#This Row],[ISC Base]],IF(Table4[[#This Row],[Scope]]="Changed",7.52*(Table4[[#This Row],[ISC Base]] - 0.029) - 3.25 * POWER(Table4[[#This Row],[ISC Base]] - 0.02,15),NA()))</f>
        <v>5.4505286399999999</v>
      </c>
      <c r="U83"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3" s="182" t="s">
        <v>56</v>
      </c>
      <c r="W83" s="198">
        <f>VLOOKUP(Table4[[#This Row],[Threat Event Initiation]],NIST_Scale_LOAI[],2,FALSE)</f>
        <v>0.5</v>
      </c>
      <c r="X8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3" s="49" t="s">
        <v>302</v>
      </c>
      <c r="AA83" s="187"/>
      <c r="AB83" s="206"/>
      <c r="AC83" s="187"/>
      <c r="AD83" s="187"/>
      <c r="AE83" s="187"/>
      <c r="AF83" s="196"/>
      <c r="AG83" s="196"/>
      <c r="AH83" s="196"/>
      <c r="AI83" s="196"/>
      <c r="AJ83" s="201"/>
      <c r="AK8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3" s="198" t="e">
        <f>(1 - ((1 - VLOOKUP(Table4[[#This Row],[ConfidentialityP]],'Reference - CVSSv3.0'!$B$15:$C$17,2,FALSE)) * (1 - VLOOKUP(Table4[[#This Row],[IntegrityP]],'Reference - CVSSv3.0'!$B$15:$C$17,2,FALSE)) *  (1 - VLOOKUP(Table4[[#This Row],[AvailabilityP]],'Reference - CVSSv3.0'!$B$15:$C$17,2,FALSE))))</f>
        <v>#N/A</v>
      </c>
      <c r="AM83" s="198" t="e">
        <f>IF(Table4[[#This Row],[ScopeP]]="Unchanged",6.42*Table4[[#This Row],[ISC BaseP]],IF(Table4[[#This Row],[ScopeP]]="Changed",7.52*(Table4[[#This Row],[ISC BaseP]] - 0.029) - 3.25 * POWER(Table4[[#This Row],[ISC BaseP]] - 0.02,15),NA()))</f>
        <v>#N/A</v>
      </c>
      <c r="AN8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187"/>
    </row>
    <row r="84" spans="1:43" ht="128.25" x14ac:dyDescent="0.25">
      <c r="A84" s="70">
        <v>80</v>
      </c>
      <c r="B84" s="182" t="s">
        <v>267</v>
      </c>
      <c r="C84" s="195" t="str">
        <f>IF(VLOOKUP(Table4[[#This Row],[T ID]],Table5[#All],5,FALSE)="No","Not in scope",VLOOKUP(Table4[[#This Row],[T ID]],Table5[#All],2,FALSE))</f>
        <v>Information disclosure
(STR(I)DE)</v>
      </c>
      <c r="D84" s="210" t="s">
        <v>258</v>
      </c>
      <c r="E84" s="195" t="str">
        <f>IF(VLOOKUP(Table4[[#This Row],[V ID]],Vulnerabilities[#All],3,FALSE)="No","Not in scope",VLOOKUP(Table4[[#This Row],[V ID]],Vulnerabilities[#All],2,FALSE))</f>
        <v>Weak Encryption Implementaion in data at rest and in motion tactical and design wise</v>
      </c>
      <c r="F84" s="42" t="s">
        <v>120</v>
      </c>
      <c r="G84" s="195" t="str">
        <f>VLOOKUP(Table4[[#This Row],[A ID]],Assets[#All],3,FALSE)</f>
        <v>Data at Rest</v>
      </c>
      <c r="H84" s="49" t="s">
        <v>295</v>
      </c>
      <c r="I84" s="49"/>
      <c r="J84" s="87" t="s">
        <v>66</v>
      </c>
      <c r="K84" s="87" t="s">
        <v>66</v>
      </c>
      <c r="L84" s="87" t="s">
        <v>57</v>
      </c>
      <c r="M84" s="196" t="s">
        <v>80</v>
      </c>
      <c r="N84" s="157" t="s">
        <v>66</v>
      </c>
      <c r="O84" s="157" t="s">
        <v>57</v>
      </c>
      <c r="P84" s="196" t="s">
        <v>78</v>
      </c>
      <c r="Q84" s="196" t="s">
        <v>75</v>
      </c>
      <c r="R8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84" s="198">
        <f>(1 - ((1 - VLOOKUP(Table4[[#This Row],[Confidentiality]],'Reference - CVSSv3.0'!$B$15:$C$17,2,FALSE)) * (1 - VLOOKUP(Table4[[#This Row],[Integrity]],'Reference - CVSSv3.0'!$B$15:$C$17,2,FALSE)) *  (1 - VLOOKUP(Table4[[#This Row],[Availability]],'Reference - CVSSv3.0'!$B$15:$C$17,2,FALSE))))</f>
        <v>0.84899199999999997</v>
      </c>
      <c r="T84" s="198">
        <f>IF(Table4[[#This Row],[Scope]]="Unchanged",6.42*Table4[[#This Row],[ISC Base]],IF(Table4[[#This Row],[Scope]]="Changed",7.52*(Table4[[#This Row],[ISC Base]] - 0.029) - 3.25 * POWER(Table4[[#This Row],[ISC Base]] - 0.02,15),NA()))</f>
        <v>5.4505286399999999</v>
      </c>
      <c r="U84"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84" s="182" t="s">
        <v>56</v>
      </c>
      <c r="W84" s="198">
        <f>VLOOKUP(Table4[[#This Row],[Threat Event Initiation]],NIST_Scale_LOAI[],2,FALSE)</f>
        <v>0.5</v>
      </c>
      <c r="X8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4" s="225" t="s">
        <v>303</v>
      </c>
      <c r="AA84" s="187"/>
      <c r="AB84" s="206"/>
      <c r="AC84" s="187"/>
      <c r="AD84" s="187"/>
      <c r="AE84" s="187"/>
      <c r="AF84" s="196"/>
      <c r="AG84" s="196"/>
      <c r="AH84" s="196"/>
      <c r="AI84" s="196"/>
      <c r="AJ84" s="201"/>
      <c r="AK8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4" s="198" t="e">
        <f>(1 - ((1 - VLOOKUP(Table4[[#This Row],[ConfidentialityP]],'Reference - CVSSv3.0'!$B$15:$C$17,2,FALSE)) * (1 - VLOOKUP(Table4[[#This Row],[IntegrityP]],'Reference - CVSSv3.0'!$B$15:$C$17,2,FALSE)) *  (1 - VLOOKUP(Table4[[#This Row],[AvailabilityP]],'Reference - CVSSv3.0'!$B$15:$C$17,2,FALSE))))</f>
        <v>#N/A</v>
      </c>
      <c r="AM84" s="198" t="e">
        <f>IF(Table4[[#This Row],[ScopeP]]="Unchanged",6.42*Table4[[#This Row],[ISC BaseP]],IF(Table4[[#This Row],[ScopeP]]="Changed",7.52*(Table4[[#This Row],[ISC BaseP]] - 0.029) - 3.25 * POWER(Table4[[#This Row],[ISC BaseP]] - 0.02,15),NA()))</f>
        <v>#N/A</v>
      </c>
      <c r="AN8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187"/>
    </row>
    <row r="85" spans="1:43" ht="156.75" x14ac:dyDescent="0.25">
      <c r="A85" s="70">
        <v>81</v>
      </c>
      <c r="B85" s="182" t="s">
        <v>267</v>
      </c>
      <c r="C85" s="195" t="str">
        <f>IF(VLOOKUP(Table4[[#This Row],[T ID]],Table5[#All],5,FALSE)="No","Not in scope",VLOOKUP(Table4[[#This Row],[T ID]],Table5[#All],2,FALSE))</f>
        <v>Information disclosure
(STR(I)DE)</v>
      </c>
      <c r="D85" s="210" t="s">
        <v>258</v>
      </c>
      <c r="E85" s="195" t="str">
        <f>IF(VLOOKUP(Table4[[#This Row],[V ID]],Vulnerabilities[#All],3,FALSE)="No","Not in scope",VLOOKUP(Table4[[#This Row],[V ID]],Vulnerabilities[#All],2,FALSE))</f>
        <v>Weak Encryption Implementaion in data at rest and in motion tactical and design wise</v>
      </c>
      <c r="F85" s="42" t="s">
        <v>107</v>
      </c>
      <c r="G85" s="195" t="str">
        <f>VLOOKUP(Table4[[#This Row],[A ID]],Assets[#All],3,FALSE)</f>
        <v>Data in Motion</v>
      </c>
      <c r="H85" s="49" t="s">
        <v>295</v>
      </c>
      <c r="I85" s="49"/>
      <c r="J85" s="87" t="s">
        <v>66</v>
      </c>
      <c r="K85" s="87" t="s">
        <v>66</v>
      </c>
      <c r="L85" s="87" t="s">
        <v>57</v>
      </c>
      <c r="M85" s="196" t="s">
        <v>79</v>
      </c>
      <c r="N85" s="157" t="s">
        <v>66</v>
      </c>
      <c r="O85" s="157" t="s">
        <v>57</v>
      </c>
      <c r="P85" s="196" t="s">
        <v>78</v>
      </c>
      <c r="Q85" s="196" t="s">
        <v>75</v>
      </c>
      <c r="R8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5" s="198">
        <f>(1 - ((1 - VLOOKUP(Table4[[#This Row],[Confidentiality]],'Reference - CVSSv3.0'!$B$15:$C$17,2,FALSE)) * (1 - VLOOKUP(Table4[[#This Row],[Integrity]],'Reference - CVSSv3.0'!$B$15:$C$17,2,FALSE)) *  (1 - VLOOKUP(Table4[[#This Row],[Availability]],'Reference - CVSSv3.0'!$B$15:$C$17,2,FALSE))))</f>
        <v>0.84899199999999997</v>
      </c>
      <c r="T85" s="198">
        <f>IF(Table4[[#This Row],[Scope]]="Unchanged",6.42*Table4[[#This Row],[ISC Base]],IF(Table4[[#This Row],[Scope]]="Changed",7.52*(Table4[[#This Row],[ISC Base]] - 0.029) - 3.25 * POWER(Table4[[#This Row],[ISC Base]] - 0.02,15),NA()))</f>
        <v>5.4505286399999999</v>
      </c>
      <c r="U85"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5" s="182" t="s">
        <v>56</v>
      </c>
      <c r="W85" s="198">
        <f>VLOOKUP(Table4[[#This Row],[Threat Event Initiation]],NIST_Scale_LOAI[],2,FALSE)</f>
        <v>0.5</v>
      </c>
      <c r="X8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5" s="225" t="s">
        <v>304</v>
      </c>
      <c r="AA85" s="187"/>
      <c r="AB85" s="206"/>
      <c r="AC85" s="187"/>
      <c r="AD85" s="187"/>
      <c r="AE85" s="187"/>
      <c r="AF85" s="196"/>
      <c r="AG85" s="196"/>
      <c r="AH85" s="196"/>
      <c r="AI85" s="196"/>
      <c r="AJ85" s="201"/>
      <c r="AK8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5" s="198" t="e">
        <f>(1 - ((1 - VLOOKUP(Table4[[#This Row],[ConfidentialityP]],'Reference - CVSSv3.0'!$B$15:$C$17,2,FALSE)) * (1 - VLOOKUP(Table4[[#This Row],[IntegrityP]],'Reference - CVSSv3.0'!$B$15:$C$17,2,FALSE)) *  (1 - VLOOKUP(Table4[[#This Row],[AvailabilityP]],'Reference - CVSSv3.0'!$B$15:$C$17,2,FALSE))))</f>
        <v>#N/A</v>
      </c>
      <c r="AM85" s="198" t="e">
        <f>IF(Table4[[#This Row],[ScopeP]]="Unchanged",6.42*Table4[[#This Row],[ISC BaseP]],IF(Table4[[#This Row],[ScopeP]]="Changed",7.52*(Table4[[#This Row],[ISC BaseP]] - 0.029) - 3.25 * POWER(Table4[[#This Row],[ISC BaseP]] - 0.02,15),NA()))</f>
        <v>#N/A</v>
      </c>
      <c r="AN8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187"/>
    </row>
    <row r="86" spans="1:43" ht="71.25" x14ac:dyDescent="0.25">
      <c r="A86" s="70">
        <v>82</v>
      </c>
      <c r="B86" s="182" t="s">
        <v>267</v>
      </c>
      <c r="C86" s="195" t="str">
        <f>IF(VLOOKUP(Table4[[#This Row],[T ID]],Table5[#All],5,FALSE)="No","Not in scope",VLOOKUP(Table4[[#This Row],[T ID]],Table5[#All],2,FALSE))</f>
        <v>Information disclosure
(STR(I)DE)</v>
      </c>
      <c r="D86" s="210" t="s">
        <v>259</v>
      </c>
      <c r="E86" s="195" t="str">
        <f>IF(VLOOKUP(Table4[[#This Row],[V ID]],Vulnerabilities[#All],3,FALSE)="No","Not in scope",VLOOKUP(Table4[[#This Row],[V ID]],Vulnerabilities[#All],2,FALSE))</f>
        <v>Weak Algorthim implementation with respect cipher key size</v>
      </c>
      <c r="F86" s="42" t="s">
        <v>120</v>
      </c>
      <c r="G86" s="195" t="str">
        <f>VLOOKUP(Table4[[#This Row],[A ID]],Assets[#All],3,FALSE)</f>
        <v>Data at Rest</v>
      </c>
      <c r="H86" s="49" t="s">
        <v>295</v>
      </c>
      <c r="I86" s="49"/>
      <c r="J86" s="87" t="s">
        <v>66</v>
      </c>
      <c r="K86" s="87" t="s">
        <v>66</v>
      </c>
      <c r="L86" s="87" t="s">
        <v>57</v>
      </c>
      <c r="M86" s="196" t="s">
        <v>80</v>
      </c>
      <c r="N86" s="157" t="s">
        <v>66</v>
      </c>
      <c r="O86" s="157" t="s">
        <v>57</v>
      </c>
      <c r="P86" s="196" t="s">
        <v>78</v>
      </c>
      <c r="Q86" s="196" t="s">
        <v>75</v>
      </c>
      <c r="R8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86" s="198">
        <f>(1 - ((1 - VLOOKUP(Table4[[#This Row],[Confidentiality]],'Reference - CVSSv3.0'!$B$15:$C$17,2,FALSE)) * (1 - VLOOKUP(Table4[[#This Row],[Integrity]],'Reference - CVSSv3.0'!$B$15:$C$17,2,FALSE)) *  (1 - VLOOKUP(Table4[[#This Row],[Availability]],'Reference - CVSSv3.0'!$B$15:$C$17,2,FALSE))))</f>
        <v>0.84899199999999997</v>
      </c>
      <c r="T86" s="198">
        <f>IF(Table4[[#This Row],[Scope]]="Unchanged",6.42*Table4[[#This Row],[ISC Base]],IF(Table4[[#This Row],[Scope]]="Changed",7.52*(Table4[[#This Row],[ISC Base]] - 0.029) - 3.25 * POWER(Table4[[#This Row],[ISC Base]] - 0.02,15),NA()))</f>
        <v>5.4505286399999999</v>
      </c>
      <c r="U86" s="198">
        <f>IF(Table4[[#This Row],[Impact Sub Score]]&lt;=0,0,IF(Table4[[#This Row],[Scope]]="Unchanged",ROUNDUP(MIN((Table4[[#This Row],[Impact Sub Score]]+Table4[[#This Row],[Exploitability Sub Score]]),10),1),IF(Table4[[#This Row],[Scope]]="Changed",ROUNDUP(MIN((1.08*(Table4[[#This Row],[Impact Sub Score]]+Table4[[#This Row],[Exploitability Sub Score]])),10),1),NA())))</f>
        <v>6.5</v>
      </c>
      <c r="V86" s="182" t="s">
        <v>56</v>
      </c>
      <c r="W86" s="198">
        <f>VLOOKUP(Table4[[#This Row],[Threat Event Initiation]],NIST_Scale_LOAI[],2,FALSE)</f>
        <v>0.5</v>
      </c>
      <c r="X8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8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6" s="49" t="s">
        <v>322</v>
      </c>
      <c r="AA86" s="187"/>
      <c r="AB86" s="206"/>
      <c r="AC86" s="187"/>
      <c r="AD86" s="187"/>
      <c r="AE86" s="187"/>
      <c r="AF86" s="196"/>
      <c r="AG86" s="196"/>
      <c r="AH86" s="196"/>
      <c r="AI86" s="196"/>
      <c r="AJ86" s="201"/>
      <c r="AK8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6" s="198" t="e">
        <f>(1 - ((1 - VLOOKUP(Table4[[#This Row],[ConfidentialityP]],'Reference - CVSSv3.0'!$B$15:$C$17,2,FALSE)) * (1 - VLOOKUP(Table4[[#This Row],[IntegrityP]],'Reference - CVSSv3.0'!$B$15:$C$17,2,FALSE)) *  (1 - VLOOKUP(Table4[[#This Row],[AvailabilityP]],'Reference - CVSSv3.0'!$B$15:$C$17,2,FALSE))))</f>
        <v>#N/A</v>
      </c>
      <c r="AM86" s="198" t="e">
        <f>IF(Table4[[#This Row],[ScopeP]]="Unchanged",6.42*Table4[[#This Row],[ISC BaseP]],IF(Table4[[#This Row],[ScopeP]]="Changed",7.52*(Table4[[#This Row],[ISC BaseP]] - 0.029) - 3.25 * POWER(Table4[[#This Row],[ISC BaseP]] - 0.02,15),NA()))</f>
        <v>#N/A</v>
      </c>
      <c r="AN8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187"/>
    </row>
    <row r="87" spans="1:43" ht="57" x14ac:dyDescent="0.25">
      <c r="A87" s="70">
        <v>83</v>
      </c>
      <c r="B87" s="182" t="s">
        <v>267</v>
      </c>
      <c r="C87" s="195" t="str">
        <f>IF(VLOOKUP(Table4[[#This Row],[T ID]],Table5[#All],5,FALSE)="No","Not in scope",VLOOKUP(Table4[[#This Row],[T ID]],Table5[#All],2,FALSE))</f>
        <v>Information disclosure
(STR(I)DE)</v>
      </c>
      <c r="D87" s="210" t="s">
        <v>259</v>
      </c>
      <c r="E87" s="195" t="str">
        <f>IF(VLOOKUP(Table4[[#This Row],[V ID]],Vulnerabilities[#All],3,FALSE)="No","Not in scope",VLOOKUP(Table4[[#This Row],[V ID]],Vulnerabilities[#All],2,FALSE))</f>
        <v>Weak Algorthim implementation with respect cipher key size</v>
      </c>
      <c r="F87" s="42" t="s">
        <v>107</v>
      </c>
      <c r="G87" s="195" t="str">
        <f>VLOOKUP(Table4[[#This Row],[A ID]],Assets[#All],3,FALSE)</f>
        <v>Data in Motion</v>
      </c>
      <c r="H87" s="49" t="s">
        <v>295</v>
      </c>
      <c r="I87" s="49"/>
      <c r="J87" s="87" t="s">
        <v>66</v>
      </c>
      <c r="K87" s="87" t="s">
        <v>66</v>
      </c>
      <c r="L87" s="87" t="s">
        <v>57</v>
      </c>
      <c r="M87" s="196" t="s">
        <v>79</v>
      </c>
      <c r="N87" s="157" t="s">
        <v>66</v>
      </c>
      <c r="O87" s="157" t="s">
        <v>57</v>
      </c>
      <c r="P87" s="196" t="s">
        <v>78</v>
      </c>
      <c r="Q87" s="196" t="s">
        <v>75</v>
      </c>
      <c r="R8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7" s="198">
        <f>(1 - ((1 - VLOOKUP(Table4[[#This Row],[Confidentiality]],'Reference - CVSSv3.0'!$B$15:$C$17,2,FALSE)) * (1 - VLOOKUP(Table4[[#This Row],[Integrity]],'Reference - CVSSv3.0'!$B$15:$C$17,2,FALSE)) *  (1 - VLOOKUP(Table4[[#This Row],[Availability]],'Reference - CVSSv3.0'!$B$15:$C$17,2,FALSE))))</f>
        <v>0.84899199999999997</v>
      </c>
      <c r="T87" s="198">
        <f>IF(Table4[[#This Row],[Scope]]="Unchanged",6.42*Table4[[#This Row],[ISC Base]],IF(Table4[[#This Row],[Scope]]="Changed",7.52*(Table4[[#This Row],[ISC Base]] - 0.029) - 3.25 * POWER(Table4[[#This Row],[ISC Base]] - 0.02,15),NA()))</f>
        <v>5.4505286399999999</v>
      </c>
      <c r="U87"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7" s="182" t="s">
        <v>56</v>
      </c>
      <c r="W87" s="198">
        <f>VLOOKUP(Table4[[#This Row],[Threat Event Initiation]],NIST_Scale_LOAI[],2,FALSE)</f>
        <v>0.5</v>
      </c>
      <c r="X8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7" s="49" t="s">
        <v>323</v>
      </c>
      <c r="AA87" s="187"/>
      <c r="AB87" s="206"/>
      <c r="AC87" s="187"/>
      <c r="AD87" s="187"/>
      <c r="AE87" s="187"/>
      <c r="AF87" s="196"/>
      <c r="AG87" s="196"/>
      <c r="AH87" s="196"/>
      <c r="AI87" s="196"/>
      <c r="AJ87" s="201"/>
      <c r="AK8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7" s="198" t="e">
        <f>(1 - ((1 - VLOOKUP(Table4[[#This Row],[ConfidentialityP]],'Reference - CVSSv3.0'!$B$15:$C$17,2,FALSE)) * (1 - VLOOKUP(Table4[[#This Row],[IntegrityP]],'Reference - CVSSv3.0'!$B$15:$C$17,2,FALSE)) *  (1 - VLOOKUP(Table4[[#This Row],[AvailabilityP]],'Reference - CVSSv3.0'!$B$15:$C$17,2,FALSE))))</f>
        <v>#N/A</v>
      </c>
      <c r="AM87" s="198" t="e">
        <f>IF(Table4[[#This Row],[ScopeP]]="Unchanged",6.42*Table4[[#This Row],[ISC BaseP]],IF(Table4[[#This Row],[ScopeP]]="Changed",7.52*(Table4[[#This Row],[ISC BaseP]] - 0.029) - 3.25 * POWER(Table4[[#This Row],[ISC BaseP]] - 0.02,15),NA()))</f>
        <v>#N/A</v>
      </c>
      <c r="AN8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187"/>
    </row>
    <row r="88" spans="1:43" ht="57" x14ac:dyDescent="0.25">
      <c r="A88" s="70">
        <v>84</v>
      </c>
      <c r="B88" s="182" t="s">
        <v>267</v>
      </c>
      <c r="C88" s="195" t="str">
        <f>IF(VLOOKUP(Table4[[#This Row],[T ID]],Table5[#All],5,FALSE)="No","Not in scope",VLOOKUP(Table4[[#This Row],[T ID]],Table5[#All],2,FALSE))</f>
        <v>Information disclosure
(STR(I)DE)</v>
      </c>
      <c r="D88" s="210" t="s">
        <v>143</v>
      </c>
      <c r="E88" s="195" t="str">
        <f>IF(VLOOKUP(Table4[[#This Row],[V ID]],Vulnerabilities[#All],3,FALSE)="No","Not in scope",VLOOKUP(Table4[[#This Row],[V ID]],Vulnerabilities[#All],2,FALSE))</f>
        <v>InSecure Configuration for Software/OS on Mobile Devices, Laptops, Workstations, and Servers</v>
      </c>
      <c r="F88" s="216" t="s">
        <v>112</v>
      </c>
      <c r="G88" s="195" t="str">
        <f>VLOOKUP(Table4[[#This Row],[A ID]],Assets[#All],3,FALSE)</f>
        <v>Tablet Resources - web cam, microphone, OTG devices, Removable USB, Tablet Application,</v>
      </c>
      <c r="H88" s="49" t="s">
        <v>295</v>
      </c>
      <c r="I88" s="49"/>
      <c r="J88" s="87" t="s">
        <v>66</v>
      </c>
      <c r="K88" s="87" t="s">
        <v>66</v>
      </c>
      <c r="L88" s="87" t="s">
        <v>57</v>
      </c>
      <c r="M88" s="196" t="s">
        <v>79</v>
      </c>
      <c r="N88" s="157" t="s">
        <v>66</v>
      </c>
      <c r="O88" s="157" t="s">
        <v>57</v>
      </c>
      <c r="P88" s="196" t="s">
        <v>78</v>
      </c>
      <c r="Q88" s="196" t="s">
        <v>75</v>
      </c>
      <c r="R8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8" s="198">
        <f>(1 - ((1 - VLOOKUP(Table4[[#This Row],[Confidentiality]],'Reference - CVSSv3.0'!$B$15:$C$17,2,FALSE)) * (1 - VLOOKUP(Table4[[#This Row],[Integrity]],'Reference - CVSSv3.0'!$B$15:$C$17,2,FALSE)) *  (1 - VLOOKUP(Table4[[#This Row],[Availability]],'Reference - CVSSv3.0'!$B$15:$C$17,2,FALSE))))</f>
        <v>0.84899199999999997</v>
      </c>
      <c r="T88" s="198">
        <f>IF(Table4[[#This Row],[Scope]]="Unchanged",6.42*Table4[[#This Row],[ISC Base]],IF(Table4[[#This Row],[Scope]]="Changed",7.52*(Table4[[#This Row],[ISC Base]] - 0.029) - 3.25 * POWER(Table4[[#This Row],[ISC Base]] - 0.02,15),NA()))</f>
        <v>5.4505286399999999</v>
      </c>
      <c r="U88"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8" s="182" t="s">
        <v>56</v>
      </c>
      <c r="W88" s="198">
        <f>VLOOKUP(Table4[[#This Row],[Threat Event Initiation]],NIST_Scale_LOAI[],2,FALSE)</f>
        <v>0.5</v>
      </c>
      <c r="X8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8" s="49" t="s">
        <v>311</v>
      </c>
      <c r="AA88" s="187"/>
      <c r="AB88" s="206"/>
      <c r="AC88" s="187"/>
      <c r="AD88" s="187"/>
      <c r="AE88" s="187"/>
      <c r="AF88" s="196"/>
      <c r="AG88" s="196"/>
      <c r="AH88" s="196"/>
      <c r="AI88" s="196"/>
      <c r="AJ88" s="201"/>
      <c r="AK8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8" s="198" t="e">
        <f>(1 - ((1 - VLOOKUP(Table4[[#This Row],[ConfidentialityP]],'Reference - CVSSv3.0'!$B$15:$C$17,2,FALSE)) * (1 - VLOOKUP(Table4[[#This Row],[IntegrityP]],'Reference - CVSSv3.0'!$B$15:$C$17,2,FALSE)) *  (1 - VLOOKUP(Table4[[#This Row],[AvailabilityP]],'Reference - CVSSv3.0'!$B$15:$C$17,2,FALSE))))</f>
        <v>#N/A</v>
      </c>
      <c r="AM88" s="198" t="e">
        <f>IF(Table4[[#This Row],[ScopeP]]="Unchanged",6.42*Table4[[#This Row],[ISC BaseP]],IF(Table4[[#This Row],[ScopeP]]="Changed",7.52*(Table4[[#This Row],[ISC BaseP]] - 0.029) - 3.25 * POWER(Table4[[#This Row],[ISC BaseP]] - 0.02,15),NA()))</f>
        <v>#N/A</v>
      </c>
      <c r="AN8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187"/>
    </row>
    <row r="89" spans="1:43" ht="57" x14ac:dyDescent="0.25">
      <c r="A89" s="70">
        <v>85</v>
      </c>
      <c r="B89" s="182" t="s">
        <v>267</v>
      </c>
      <c r="C89" s="195" t="str">
        <f>IF(VLOOKUP(Table4[[#This Row],[T ID]],Table5[#All],5,FALSE)="No","Not in scope",VLOOKUP(Table4[[#This Row],[T ID]],Table5[#All],2,FALSE))</f>
        <v>Information disclosure
(STR(I)DE)</v>
      </c>
      <c r="D89" s="210" t="s">
        <v>249</v>
      </c>
      <c r="E89" s="195" t="str">
        <f>IF(VLOOKUP(Table4[[#This Row],[V ID]],Vulnerabilities[#All],3,FALSE)="No","Not in scope",VLOOKUP(Table4[[#This Row],[V ID]],Vulnerabilities[#All],2,FALSE))</f>
        <v>Unencrypted Network segment throught the information flow</v>
      </c>
      <c r="F89" s="216" t="s">
        <v>107</v>
      </c>
      <c r="G89" s="195" t="str">
        <f>VLOOKUP(Table4[[#This Row],[A ID]],Assets[#All],3,FALSE)</f>
        <v>Data in Motion</v>
      </c>
      <c r="H89" s="49" t="s">
        <v>295</v>
      </c>
      <c r="I89" s="49"/>
      <c r="J89" s="87" t="s">
        <v>66</v>
      </c>
      <c r="K89" s="87" t="s">
        <v>66</v>
      </c>
      <c r="L89" s="87" t="s">
        <v>57</v>
      </c>
      <c r="M89" s="196" t="s">
        <v>79</v>
      </c>
      <c r="N89" s="157" t="s">
        <v>66</v>
      </c>
      <c r="O89" s="157" t="s">
        <v>57</v>
      </c>
      <c r="P89" s="196" t="s">
        <v>78</v>
      </c>
      <c r="Q89" s="196" t="s">
        <v>75</v>
      </c>
      <c r="R8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89" s="198">
        <f>(1 - ((1 - VLOOKUP(Table4[[#This Row],[Confidentiality]],'Reference - CVSSv3.0'!$B$15:$C$17,2,FALSE)) * (1 - VLOOKUP(Table4[[#This Row],[Integrity]],'Reference - CVSSv3.0'!$B$15:$C$17,2,FALSE)) *  (1 - VLOOKUP(Table4[[#This Row],[Availability]],'Reference - CVSSv3.0'!$B$15:$C$17,2,FALSE))))</f>
        <v>0.84899199999999997</v>
      </c>
      <c r="T89" s="198">
        <f>IF(Table4[[#This Row],[Scope]]="Unchanged",6.42*Table4[[#This Row],[ISC Base]],IF(Table4[[#This Row],[Scope]]="Changed",7.52*(Table4[[#This Row],[ISC Base]] - 0.029) - 3.25 * POWER(Table4[[#This Row],[ISC Base]] - 0.02,15),NA()))</f>
        <v>5.4505286399999999</v>
      </c>
      <c r="U89"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89" s="182" t="s">
        <v>56</v>
      </c>
      <c r="W89" s="198">
        <f>VLOOKUP(Table4[[#This Row],[Threat Event Initiation]],NIST_Scale_LOAI[],2,FALSE)</f>
        <v>0.5</v>
      </c>
      <c r="X8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8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9" s="49" t="s">
        <v>324</v>
      </c>
      <c r="AA89" s="187"/>
      <c r="AB89" s="206"/>
      <c r="AC89" s="187"/>
      <c r="AD89" s="187"/>
      <c r="AE89" s="187"/>
      <c r="AF89" s="196"/>
      <c r="AG89" s="196"/>
      <c r="AH89" s="196"/>
      <c r="AI89" s="196"/>
      <c r="AJ89" s="201"/>
      <c r="AK8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89" s="198" t="e">
        <f>(1 - ((1 - VLOOKUP(Table4[[#This Row],[ConfidentialityP]],'Reference - CVSSv3.0'!$B$15:$C$17,2,FALSE)) * (1 - VLOOKUP(Table4[[#This Row],[IntegrityP]],'Reference - CVSSv3.0'!$B$15:$C$17,2,FALSE)) *  (1 - VLOOKUP(Table4[[#This Row],[AvailabilityP]],'Reference - CVSSv3.0'!$B$15:$C$17,2,FALSE))))</f>
        <v>#N/A</v>
      </c>
      <c r="AM89" s="198" t="e">
        <f>IF(Table4[[#This Row],[ScopeP]]="Unchanged",6.42*Table4[[#This Row],[ISC BaseP]],IF(Table4[[#This Row],[ScopeP]]="Changed",7.52*(Table4[[#This Row],[ISC BaseP]] - 0.029) - 3.25 * POWER(Table4[[#This Row],[ISC BaseP]] - 0.02,15),NA()))</f>
        <v>#N/A</v>
      </c>
      <c r="AN8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187"/>
    </row>
    <row r="90" spans="1:43" ht="114" x14ac:dyDescent="0.25">
      <c r="A90" s="70">
        <v>86</v>
      </c>
      <c r="B90" s="182" t="s">
        <v>267</v>
      </c>
      <c r="C90" s="195" t="str">
        <f>IF(VLOOKUP(Table4[[#This Row],[T ID]],Table5[#All],5,FALSE)="No","Not in scope",VLOOKUP(Table4[[#This Row],[T ID]],Table5[#All],2,FALSE))</f>
        <v>Information disclosure
(STR(I)DE)</v>
      </c>
      <c r="D90" s="210" t="s">
        <v>227</v>
      </c>
      <c r="E90" s="195" t="str">
        <f>IF(VLOOKUP(Table4[[#This Row],[V ID]],Vulnerabilities[#All],3,FALSE)="No","Not in scope",VLOOKUP(Table4[[#This Row],[V ID]],Vulnerabilities[#All],2,FALSE))</f>
        <v>Insecure communications in networks (hospital)</v>
      </c>
      <c r="F90" s="216" t="s">
        <v>107</v>
      </c>
      <c r="G90" s="195" t="str">
        <f>VLOOKUP(Table4[[#This Row],[A ID]],Assets[#All],3,FALSE)</f>
        <v>Data in Motion</v>
      </c>
      <c r="H90" s="49" t="s">
        <v>295</v>
      </c>
      <c r="I90" s="49"/>
      <c r="J90" s="87" t="s">
        <v>66</v>
      </c>
      <c r="K90" s="87" t="s">
        <v>66</v>
      </c>
      <c r="L90" s="87" t="s">
        <v>57</v>
      </c>
      <c r="M90" s="196" t="s">
        <v>79</v>
      </c>
      <c r="N90" s="157" t="s">
        <v>66</v>
      </c>
      <c r="O90" s="157" t="s">
        <v>57</v>
      </c>
      <c r="P90" s="196" t="s">
        <v>78</v>
      </c>
      <c r="Q90" s="196" t="s">
        <v>75</v>
      </c>
      <c r="R9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90" s="198">
        <f>(1 - ((1 - VLOOKUP(Table4[[#This Row],[Confidentiality]],'Reference - CVSSv3.0'!$B$15:$C$17,2,FALSE)) * (1 - VLOOKUP(Table4[[#This Row],[Integrity]],'Reference - CVSSv3.0'!$B$15:$C$17,2,FALSE)) *  (1 - VLOOKUP(Table4[[#This Row],[Availability]],'Reference - CVSSv3.0'!$B$15:$C$17,2,FALSE))))</f>
        <v>0.84899199999999997</v>
      </c>
      <c r="T90" s="198">
        <f>IF(Table4[[#This Row],[Scope]]="Unchanged",6.42*Table4[[#This Row],[ISC Base]],IF(Table4[[#This Row],[Scope]]="Changed",7.52*(Table4[[#This Row],[ISC Base]] - 0.029) - 3.25 * POWER(Table4[[#This Row],[ISC Base]] - 0.02,15),NA()))</f>
        <v>5.4505286399999999</v>
      </c>
      <c r="U90"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90" s="182" t="s">
        <v>56</v>
      </c>
      <c r="W90" s="198">
        <f>VLOOKUP(Table4[[#This Row],[Threat Event Initiation]],NIST_Scale_LOAI[],2,FALSE)</f>
        <v>0.5</v>
      </c>
      <c r="X9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9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0" s="49" t="s">
        <v>325</v>
      </c>
      <c r="AA90" s="187"/>
      <c r="AB90" s="206"/>
      <c r="AC90" s="187"/>
      <c r="AD90" s="187"/>
      <c r="AE90" s="187"/>
      <c r="AF90" s="196"/>
      <c r="AG90" s="196"/>
      <c r="AH90" s="196"/>
      <c r="AI90" s="196"/>
      <c r="AJ90" s="201"/>
      <c r="AK9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0" s="198" t="e">
        <f>(1 - ((1 - VLOOKUP(Table4[[#This Row],[ConfidentialityP]],'Reference - CVSSv3.0'!$B$15:$C$17,2,FALSE)) * (1 - VLOOKUP(Table4[[#This Row],[IntegrityP]],'Reference - CVSSv3.0'!$B$15:$C$17,2,FALSE)) *  (1 - VLOOKUP(Table4[[#This Row],[AvailabilityP]],'Reference - CVSSv3.0'!$B$15:$C$17,2,FALSE))))</f>
        <v>#N/A</v>
      </c>
      <c r="AM90" s="198" t="e">
        <f>IF(Table4[[#This Row],[ScopeP]]="Unchanged",6.42*Table4[[#This Row],[ISC BaseP]],IF(Table4[[#This Row],[ScopeP]]="Changed",7.52*(Table4[[#This Row],[ISC BaseP]] - 0.029) - 3.25 * POWER(Table4[[#This Row],[ISC BaseP]] - 0.02,15),NA()))</f>
        <v>#N/A</v>
      </c>
      <c r="AN9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187"/>
    </row>
    <row r="91" spans="1:43" ht="82.5" customHeight="1" x14ac:dyDescent="0.25">
      <c r="A91" s="70">
        <v>87</v>
      </c>
      <c r="B91" s="182" t="s">
        <v>268</v>
      </c>
      <c r="C91" s="195" t="str">
        <f>IF(VLOOKUP(Table4[[#This Row],[T ID]],Table5[#All],5,FALSE)="No","Not in scope",VLOOKUP(Table4[[#This Row],[T ID]],Table5[#All],2,FALSE))</f>
        <v>Data Access
(STR[I]DE)</v>
      </c>
      <c r="D91" s="212" t="s">
        <v>247</v>
      </c>
      <c r="E91" s="195" t="str">
        <f>IF(VLOOKUP(Table4[[#This Row],[V ID]],Vulnerabilities[#All],3,FALSE)="No","Not in scope",VLOOKUP(Table4[[#This Row],[V ID]],Vulnerabilities[#All],2,FALSE))</f>
        <v>Unprotected network port(s) on network devices and connection points</v>
      </c>
      <c r="F91" s="216" t="s">
        <v>112</v>
      </c>
      <c r="G91" s="195" t="str">
        <f>VLOOKUP(Table4[[#This Row],[A ID]],Assets[#All],3,FALSE)</f>
        <v>Tablet Resources - web cam, microphone, OTG devices, Removable USB, Tablet Application,</v>
      </c>
      <c r="H91" s="49" t="s">
        <v>288</v>
      </c>
      <c r="I91" s="49"/>
      <c r="J91" s="87" t="s">
        <v>66</v>
      </c>
      <c r="K91" s="87" t="s">
        <v>66</v>
      </c>
      <c r="L91" s="87" t="s">
        <v>57</v>
      </c>
      <c r="M91" s="196" t="s">
        <v>79</v>
      </c>
      <c r="N91" s="157" t="s">
        <v>66</v>
      </c>
      <c r="O91" s="157" t="s">
        <v>66</v>
      </c>
      <c r="P91" s="196" t="s">
        <v>78</v>
      </c>
      <c r="Q91" s="196" t="s">
        <v>75</v>
      </c>
      <c r="R9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1" s="198">
        <f>(1 - ((1 - VLOOKUP(Table4[[#This Row],[Confidentiality]],'Reference - CVSSv3.0'!$B$15:$C$17,2,FALSE)) * (1 - VLOOKUP(Table4[[#This Row],[Integrity]],'Reference - CVSSv3.0'!$B$15:$C$17,2,FALSE)) *  (1 - VLOOKUP(Table4[[#This Row],[Availability]],'Reference - CVSSv3.0'!$B$15:$C$17,2,FALSE))))</f>
        <v>0.84899199999999997</v>
      </c>
      <c r="T91" s="198">
        <f>IF(Table4[[#This Row],[Scope]]="Unchanged",6.42*Table4[[#This Row],[ISC Base]],IF(Table4[[#This Row],[Scope]]="Changed",7.52*(Table4[[#This Row],[ISC Base]] - 0.029) - 3.25 * POWER(Table4[[#This Row],[ISC Base]] - 0.02,15),NA()))</f>
        <v>5.4505286399999999</v>
      </c>
      <c r="U91"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1" s="182" t="s">
        <v>57</v>
      </c>
      <c r="W91" s="198">
        <f>VLOOKUP(Table4[[#This Row],[Threat Event Initiation]],NIST_Scale_LOAI[],2,FALSE)</f>
        <v>0.2</v>
      </c>
      <c r="X9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1" s="49" t="s">
        <v>311</v>
      </c>
      <c r="AA91" s="187"/>
      <c r="AB91" s="206"/>
      <c r="AC91" s="187"/>
      <c r="AD91" s="187"/>
      <c r="AE91" s="187"/>
      <c r="AF91" s="196"/>
      <c r="AG91" s="196"/>
      <c r="AH91" s="196"/>
      <c r="AI91" s="196"/>
      <c r="AJ91" s="201"/>
      <c r="AK9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1" s="198" t="e">
        <f>(1 - ((1 - VLOOKUP(Table4[[#This Row],[ConfidentialityP]],'Reference - CVSSv3.0'!$B$15:$C$17,2,FALSE)) * (1 - VLOOKUP(Table4[[#This Row],[IntegrityP]],'Reference - CVSSv3.0'!$B$15:$C$17,2,FALSE)) *  (1 - VLOOKUP(Table4[[#This Row],[AvailabilityP]],'Reference - CVSSv3.0'!$B$15:$C$17,2,FALSE))))</f>
        <v>#N/A</v>
      </c>
      <c r="AM91" s="198" t="e">
        <f>IF(Table4[[#This Row],[ScopeP]]="Unchanged",6.42*Table4[[#This Row],[ISC BaseP]],IF(Table4[[#This Row],[ScopeP]]="Changed",7.52*(Table4[[#This Row],[ISC BaseP]] - 0.029) - 3.25 * POWER(Table4[[#This Row],[ISC BaseP]] - 0.02,15),NA()))</f>
        <v>#N/A</v>
      </c>
      <c r="AN9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187"/>
    </row>
    <row r="92" spans="1:43" ht="71.25" x14ac:dyDescent="0.25">
      <c r="A92" s="70">
        <v>88</v>
      </c>
      <c r="B92" s="182" t="s">
        <v>268</v>
      </c>
      <c r="C92" s="195" t="str">
        <f>IF(VLOOKUP(Table4[[#This Row],[T ID]],Table5[#All],5,FALSE)="No","Not in scope",VLOOKUP(Table4[[#This Row],[T ID]],Table5[#All],2,FALSE))</f>
        <v>Data Access
(STR[I]DE)</v>
      </c>
      <c r="D92" s="212" t="s">
        <v>247</v>
      </c>
      <c r="E92" s="195" t="str">
        <f>IF(VLOOKUP(Table4[[#This Row],[V ID]],Vulnerabilities[#All],3,FALSE)="No","Not in scope",VLOOKUP(Table4[[#This Row],[V ID]],Vulnerabilities[#All],2,FALSE))</f>
        <v>Unprotected network port(s) on network devices and connection points</v>
      </c>
      <c r="F92" s="216" t="s">
        <v>119</v>
      </c>
      <c r="G92" s="195" t="str">
        <f>VLOOKUP(Table4[[#This Row],[A ID]],Assets[#All],3,FALSE)</f>
        <v>Wireless Network device</v>
      </c>
      <c r="H92" s="49" t="s">
        <v>288</v>
      </c>
      <c r="I92" s="49"/>
      <c r="J92" s="87" t="s">
        <v>66</v>
      </c>
      <c r="K92" s="87" t="s">
        <v>66</v>
      </c>
      <c r="L92" s="87" t="s">
        <v>57</v>
      </c>
      <c r="M92" s="196" t="s">
        <v>79</v>
      </c>
      <c r="N92" s="157" t="s">
        <v>66</v>
      </c>
      <c r="O92" s="157" t="s">
        <v>66</v>
      </c>
      <c r="P92" s="196" t="s">
        <v>78</v>
      </c>
      <c r="Q92" s="196" t="s">
        <v>75</v>
      </c>
      <c r="R9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2" s="198">
        <f>(1 - ((1 - VLOOKUP(Table4[[#This Row],[Confidentiality]],'Reference - CVSSv3.0'!$B$15:$C$17,2,FALSE)) * (1 - VLOOKUP(Table4[[#This Row],[Integrity]],'Reference - CVSSv3.0'!$B$15:$C$17,2,FALSE)) *  (1 - VLOOKUP(Table4[[#This Row],[Availability]],'Reference - CVSSv3.0'!$B$15:$C$17,2,FALSE))))</f>
        <v>0.84899199999999997</v>
      </c>
      <c r="T92" s="198">
        <f>IF(Table4[[#This Row],[Scope]]="Unchanged",6.42*Table4[[#This Row],[ISC Base]],IF(Table4[[#This Row],[Scope]]="Changed",7.52*(Table4[[#This Row],[ISC Base]] - 0.029) - 3.25 * POWER(Table4[[#This Row],[ISC Base]] - 0.02,15),NA()))</f>
        <v>5.4505286399999999</v>
      </c>
      <c r="U92"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2" s="182" t="s">
        <v>57</v>
      </c>
      <c r="W92" s="198">
        <f>VLOOKUP(Table4[[#This Row],[Threat Event Initiation]],NIST_Scale_LOAI[],2,FALSE)</f>
        <v>0.2</v>
      </c>
      <c r="X9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2" s="49" t="s">
        <v>305</v>
      </c>
      <c r="AA92" s="187"/>
      <c r="AB92" s="206"/>
      <c r="AC92" s="187"/>
      <c r="AD92" s="187"/>
      <c r="AE92" s="187"/>
      <c r="AF92" s="196"/>
      <c r="AG92" s="196"/>
      <c r="AH92" s="196"/>
      <c r="AI92" s="196"/>
      <c r="AJ92" s="201"/>
      <c r="AK9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2" s="198" t="e">
        <f>(1 - ((1 - VLOOKUP(Table4[[#This Row],[ConfidentialityP]],'Reference - CVSSv3.0'!$B$15:$C$17,2,FALSE)) * (1 - VLOOKUP(Table4[[#This Row],[IntegrityP]],'Reference - CVSSv3.0'!$B$15:$C$17,2,FALSE)) *  (1 - VLOOKUP(Table4[[#This Row],[AvailabilityP]],'Reference - CVSSv3.0'!$B$15:$C$17,2,FALSE))))</f>
        <v>#N/A</v>
      </c>
      <c r="AM92" s="198" t="e">
        <f>IF(Table4[[#This Row],[ScopeP]]="Unchanged",6.42*Table4[[#This Row],[ISC BaseP]],IF(Table4[[#This Row],[ScopeP]]="Changed",7.52*(Table4[[#This Row],[ISC BaseP]] - 0.029) - 3.25 * POWER(Table4[[#This Row],[ISC BaseP]] - 0.02,15),NA()))</f>
        <v>#N/A</v>
      </c>
      <c r="AN9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187"/>
    </row>
    <row r="93" spans="1:43" ht="71.25" x14ac:dyDescent="0.25">
      <c r="A93" s="70">
        <v>89</v>
      </c>
      <c r="B93" s="182" t="s">
        <v>268</v>
      </c>
      <c r="C93" s="195" t="str">
        <f>IF(VLOOKUP(Table4[[#This Row],[T ID]],Table5[#All],5,FALSE)="No","Not in scope",VLOOKUP(Table4[[#This Row],[T ID]],Table5[#All],2,FALSE))</f>
        <v>Data Access
(STR[I]DE)</v>
      </c>
      <c r="D93" s="212" t="s">
        <v>247</v>
      </c>
      <c r="E93" s="195" t="str">
        <f>IF(VLOOKUP(Table4[[#This Row],[V ID]],Vulnerabilities[#All],3,FALSE)="No","Not in scope",VLOOKUP(Table4[[#This Row],[V ID]],Vulnerabilities[#All],2,FALSE))</f>
        <v>Unprotected network port(s) on network devices and connection points</v>
      </c>
      <c r="F93" s="216" t="s">
        <v>113</v>
      </c>
      <c r="G93" s="195" t="str">
        <f>VLOOKUP(Table4[[#This Row],[A ID]],Assets[#All],3,FALSE)</f>
        <v>Tablet OS/network details &amp; Tablet Application</v>
      </c>
      <c r="H93" s="49" t="s">
        <v>288</v>
      </c>
      <c r="I93" s="49"/>
      <c r="J93" s="87" t="s">
        <v>66</v>
      </c>
      <c r="K93" s="87" t="s">
        <v>66</v>
      </c>
      <c r="L93" s="87" t="s">
        <v>57</v>
      </c>
      <c r="M93" s="196" t="s">
        <v>79</v>
      </c>
      <c r="N93" s="157" t="s">
        <v>66</v>
      </c>
      <c r="O93" s="157" t="s">
        <v>66</v>
      </c>
      <c r="P93" s="196" t="s">
        <v>78</v>
      </c>
      <c r="Q93" s="196" t="s">
        <v>75</v>
      </c>
      <c r="R9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3" s="198">
        <f>(1 - ((1 - VLOOKUP(Table4[[#This Row],[Confidentiality]],'Reference - CVSSv3.0'!$B$15:$C$17,2,FALSE)) * (1 - VLOOKUP(Table4[[#This Row],[Integrity]],'Reference - CVSSv3.0'!$B$15:$C$17,2,FALSE)) *  (1 - VLOOKUP(Table4[[#This Row],[Availability]],'Reference - CVSSv3.0'!$B$15:$C$17,2,FALSE))))</f>
        <v>0.84899199999999997</v>
      </c>
      <c r="T93" s="198">
        <f>IF(Table4[[#This Row],[Scope]]="Unchanged",6.42*Table4[[#This Row],[ISC Base]],IF(Table4[[#This Row],[Scope]]="Changed",7.52*(Table4[[#This Row],[ISC Base]] - 0.029) - 3.25 * POWER(Table4[[#This Row],[ISC Base]] - 0.02,15),NA()))</f>
        <v>5.4505286399999999</v>
      </c>
      <c r="U93"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3" s="182" t="s">
        <v>57</v>
      </c>
      <c r="W93" s="198">
        <f>VLOOKUP(Table4[[#This Row],[Threat Event Initiation]],NIST_Scale_LOAI[],2,FALSE)</f>
        <v>0.2</v>
      </c>
      <c r="X9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49" t="s">
        <v>311</v>
      </c>
      <c r="AA93" s="187"/>
      <c r="AB93" s="206"/>
      <c r="AC93" s="187"/>
      <c r="AD93" s="187"/>
      <c r="AE93" s="187"/>
      <c r="AF93" s="196"/>
      <c r="AG93" s="196"/>
      <c r="AH93" s="196"/>
      <c r="AI93" s="196"/>
      <c r="AJ93" s="201"/>
      <c r="AK9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3" s="198" t="e">
        <f>(1 - ((1 - VLOOKUP(Table4[[#This Row],[ConfidentialityP]],'Reference - CVSSv3.0'!$B$15:$C$17,2,FALSE)) * (1 - VLOOKUP(Table4[[#This Row],[IntegrityP]],'Reference - CVSSv3.0'!$B$15:$C$17,2,FALSE)) *  (1 - VLOOKUP(Table4[[#This Row],[AvailabilityP]],'Reference - CVSSv3.0'!$B$15:$C$17,2,FALSE))))</f>
        <v>#N/A</v>
      </c>
      <c r="AM93" s="198" t="e">
        <f>IF(Table4[[#This Row],[ScopeP]]="Unchanged",6.42*Table4[[#This Row],[ISC BaseP]],IF(Table4[[#This Row],[ScopeP]]="Changed",7.52*(Table4[[#This Row],[ISC BaseP]] - 0.029) - 3.25 * POWER(Table4[[#This Row],[ISC BaseP]] - 0.02,15),NA()))</f>
        <v>#N/A</v>
      </c>
      <c r="AN9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187"/>
    </row>
    <row r="94" spans="1:43" ht="99.75" x14ac:dyDescent="0.25">
      <c r="A94" s="70">
        <v>90</v>
      </c>
      <c r="B94" s="182" t="s">
        <v>268</v>
      </c>
      <c r="C94" s="195" t="str">
        <f>IF(VLOOKUP(Table4[[#This Row],[T ID]],Table5[#All],5,FALSE)="No","Not in scope",VLOOKUP(Table4[[#This Row],[T ID]],Table5[#All],2,FALSE))</f>
        <v>Data Access
(STR[I]DE)</v>
      </c>
      <c r="D94" s="212" t="s">
        <v>121</v>
      </c>
      <c r="E94" s="195" t="str">
        <f>IF(VLOOKUP(Table4[[#This Row],[V ID]],Vulnerabilities[#All],3,FALSE)="No","Not in scope",VLOOKUP(Table4[[#This Row],[V ID]],Vulnerabilities[#All],2,FALSE))</f>
        <v>Devices with default passwords needs to be checked for bruteforce attacks</v>
      </c>
      <c r="F94" s="42" t="s">
        <v>120</v>
      </c>
      <c r="G94" s="195" t="str">
        <f>VLOOKUP(Table4[[#This Row],[A ID]],Assets[#All],3,FALSE)</f>
        <v>Data at Rest</v>
      </c>
      <c r="H94" s="49" t="s">
        <v>288</v>
      </c>
      <c r="I94" s="49"/>
      <c r="J94" s="87" t="s">
        <v>66</v>
      </c>
      <c r="K94" s="87" t="s">
        <v>66</v>
      </c>
      <c r="L94" s="87" t="s">
        <v>57</v>
      </c>
      <c r="M94" s="196" t="s">
        <v>79</v>
      </c>
      <c r="N94" s="157" t="s">
        <v>66</v>
      </c>
      <c r="O94" s="157" t="s">
        <v>66</v>
      </c>
      <c r="P94" s="196" t="s">
        <v>78</v>
      </c>
      <c r="Q94" s="196" t="s">
        <v>75</v>
      </c>
      <c r="R9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4" s="198">
        <f>(1 - ((1 - VLOOKUP(Table4[[#This Row],[Confidentiality]],'Reference - CVSSv3.0'!$B$15:$C$17,2,FALSE)) * (1 - VLOOKUP(Table4[[#This Row],[Integrity]],'Reference - CVSSv3.0'!$B$15:$C$17,2,FALSE)) *  (1 - VLOOKUP(Table4[[#This Row],[Availability]],'Reference - CVSSv3.0'!$B$15:$C$17,2,FALSE))))</f>
        <v>0.84899199999999997</v>
      </c>
      <c r="T94" s="198">
        <f>IF(Table4[[#This Row],[Scope]]="Unchanged",6.42*Table4[[#This Row],[ISC Base]],IF(Table4[[#This Row],[Scope]]="Changed",7.52*(Table4[[#This Row],[ISC Base]] - 0.029) - 3.25 * POWER(Table4[[#This Row],[ISC Base]] - 0.02,15),NA()))</f>
        <v>5.4505286399999999</v>
      </c>
      <c r="U94"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4" s="182" t="s">
        <v>57</v>
      </c>
      <c r="W94" s="198">
        <f>VLOOKUP(Table4[[#This Row],[Threat Event Initiation]],NIST_Scale_LOAI[],2,FALSE)</f>
        <v>0.2</v>
      </c>
      <c r="X9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225" t="s">
        <v>326</v>
      </c>
      <c r="AA94" s="187"/>
      <c r="AB94" s="206"/>
      <c r="AC94" s="187"/>
      <c r="AD94" s="187"/>
      <c r="AE94" s="187"/>
      <c r="AF94" s="196"/>
      <c r="AG94" s="196"/>
      <c r="AH94" s="196"/>
      <c r="AI94" s="196"/>
      <c r="AJ94" s="201"/>
      <c r="AK9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4" s="198" t="e">
        <f>(1 - ((1 - VLOOKUP(Table4[[#This Row],[ConfidentialityP]],'Reference - CVSSv3.0'!$B$15:$C$17,2,FALSE)) * (1 - VLOOKUP(Table4[[#This Row],[IntegrityP]],'Reference - CVSSv3.0'!$B$15:$C$17,2,FALSE)) *  (1 - VLOOKUP(Table4[[#This Row],[AvailabilityP]],'Reference - CVSSv3.0'!$B$15:$C$17,2,FALSE))))</f>
        <v>#N/A</v>
      </c>
      <c r="AM94" s="198" t="e">
        <f>IF(Table4[[#This Row],[ScopeP]]="Unchanged",6.42*Table4[[#This Row],[ISC BaseP]],IF(Table4[[#This Row],[ScopeP]]="Changed",7.52*(Table4[[#This Row],[ISC BaseP]] - 0.029) - 3.25 * POWER(Table4[[#This Row],[ISC BaseP]] - 0.02,15),NA()))</f>
        <v>#N/A</v>
      </c>
      <c r="AN9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187"/>
    </row>
    <row r="95" spans="1:43" ht="114" x14ac:dyDescent="0.25">
      <c r="A95" s="70">
        <v>91</v>
      </c>
      <c r="B95" s="182" t="s">
        <v>268</v>
      </c>
      <c r="C95" s="195" t="str">
        <f>IF(VLOOKUP(Table4[[#This Row],[T ID]],Table5[#All],5,FALSE)="No","Not in scope",VLOOKUP(Table4[[#This Row],[T ID]],Table5[#All],2,FALSE))</f>
        <v>Data Access
(STR[I]DE)</v>
      </c>
      <c r="D95" s="212" t="s">
        <v>121</v>
      </c>
      <c r="E95" s="195" t="str">
        <f>IF(VLOOKUP(Table4[[#This Row],[V ID]],Vulnerabilities[#All],3,FALSE)="No","Not in scope",VLOOKUP(Table4[[#This Row],[V ID]],Vulnerabilities[#All],2,FALSE))</f>
        <v>Devices with default passwords needs to be checked for bruteforce attacks</v>
      </c>
      <c r="F95" s="213" t="s">
        <v>115</v>
      </c>
      <c r="G95" s="195" t="str">
        <f>VLOOKUP(Table4[[#This Row],[A ID]],Assets[#All],3,FALSE)</f>
        <v xml:space="preserve">Authenication/Authorisation data </v>
      </c>
      <c r="H95" s="49" t="s">
        <v>338</v>
      </c>
      <c r="I95" s="49"/>
      <c r="J95" s="87" t="s">
        <v>66</v>
      </c>
      <c r="K95" s="87" t="s">
        <v>66</v>
      </c>
      <c r="L95" s="87" t="s">
        <v>57</v>
      </c>
      <c r="M95" s="196" t="s">
        <v>79</v>
      </c>
      <c r="N95" s="157" t="s">
        <v>66</v>
      </c>
      <c r="O95" s="157" t="s">
        <v>66</v>
      </c>
      <c r="P95" s="196" t="s">
        <v>78</v>
      </c>
      <c r="Q95" s="196" t="s">
        <v>75</v>
      </c>
      <c r="R9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5" s="198">
        <f>(1 - ((1 - VLOOKUP(Table4[[#This Row],[Confidentiality]],'Reference - CVSSv3.0'!$B$15:$C$17,2,FALSE)) * (1 - VLOOKUP(Table4[[#This Row],[Integrity]],'Reference - CVSSv3.0'!$B$15:$C$17,2,FALSE)) *  (1 - VLOOKUP(Table4[[#This Row],[Availability]],'Reference - CVSSv3.0'!$B$15:$C$17,2,FALSE))))</f>
        <v>0.84899199999999997</v>
      </c>
      <c r="T95" s="198">
        <f>IF(Table4[[#This Row],[Scope]]="Unchanged",6.42*Table4[[#This Row],[ISC Base]],IF(Table4[[#This Row],[Scope]]="Changed",7.52*(Table4[[#This Row],[ISC Base]] - 0.029) - 3.25 * POWER(Table4[[#This Row],[ISC Base]] - 0.02,15),NA()))</f>
        <v>5.4505286399999999</v>
      </c>
      <c r="U95"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5" s="182" t="s">
        <v>66</v>
      </c>
      <c r="W95" s="198">
        <f>VLOOKUP(Table4[[#This Row],[Threat Event Initiation]],NIST_Scale_LOAI[],2,FALSE)</f>
        <v>0.8</v>
      </c>
      <c r="X9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9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5" s="225" t="s">
        <v>326</v>
      </c>
      <c r="AA95" s="187"/>
      <c r="AB95" s="206"/>
      <c r="AC95" s="187"/>
      <c r="AD95" s="187"/>
      <c r="AE95" s="187"/>
      <c r="AF95" s="196"/>
      <c r="AG95" s="196"/>
      <c r="AH95" s="196"/>
      <c r="AI95" s="196"/>
      <c r="AJ95" s="201"/>
      <c r="AK9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5" s="198" t="e">
        <f>(1 - ((1 - VLOOKUP(Table4[[#This Row],[ConfidentialityP]],'Reference - CVSSv3.0'!$B$15:$C$17,2,FALSE)) * (1 - VLOOKUP(Table4[[#This Row],[IntegrityP]],'Reference - CVSSv3.0'!$B$15:$C$17,2,FALSE)) *  (1 - VLOOKUP(Table4[[#This Row],[AvailabilityP]],'Reference - CVSSv3.0'!$B$15:$C$17,2,FALSE))))</f>
        <v>#N/A</v>
      </c>
      <c r="AM95" s="198" t="e">
        <f>IF(Table4[[#This Row],[ScopeP]]="Unchanged",6.42*Table4[[#This Row],[ISC BaseP]],IF(Table4[[#This Row],[ScopeP]]="Changed",7.52*(Table4[[#This Row],[ISC BaseP]] - 0.029) - 3.25 * POWER(Table4[[#This Row],[ISC BaseP]] - 0.02,15),NA()))</f>
        <v>#N/A</v>
      </c>
      <c r="AN9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187"/>
    </row>
    <row r="96" spans="1:43" ht="114" x14ac:dyDescent="0.25">
      <c r="A96" s="70">
        <v>92</v>
      </c>
      <c r="B96" s="182" t="s">
        <v>268</v>
      </c>
      <c r="C96" s="195" t="str">
        <f>IF(VLOOKUP(Table4[[#This Row],[T ID]],Table5[#All],5,FALSE)="No","Not in scope",VLOOKUP(Table4[[#This Row],[T ID]],Table5[#All],2,FALSE))</f>
        <v>Data Access
(STR[I]DE)</v>
      </c>
      <c r="D96" s="212" t="s">
        <v>121</v>
      </c>
      <c r="E96" s="195" t="str">
        <f>IF(VLOOKUP(Table4[[#This Row],[V ID]],Vulnerabilities[#All],3,FALSE)="No","Not in scope",VLOOKUP(Table4[[#This Row],[V ID]],Vulnerabilities[#All],2,FALSE))</f>
        <v>Devices with default passwords needs to be checked for bruteforce attacks</v>
      </c>
      <c r="F96" s="42" t="s">
        <v>107</v>
      </c>
      <c r="G96" s="195" t="str">
        <f>VLOOKUP(Table4[[#This Row],[A ID]],Assets[#All],3,FALSE)</f>
        <v>Data in Motion</v>
      </c>
      <c r="H96" s="49" t="s">
        <v>338</v>
      </c>
      <c r="I96" s="49"/>
      <c r="J96" s="87" t="s">
        <v>66</v>
      </c>
      <c r="K96" s="87" t="s">
        <v>66</v>
      </c>
      <c r="L96" s="87" t="s">
        <v>57</v>
      </c>
      <c r="M96" s="196" t="s">
        <v>79</v>
      </c>
      <c r="N96" s="157" t="s">
        <v>66</v>
      </c>
      <c r="O96" s="157" t="s">
        <v>66</v>
      </c>
      <c r="P96" s="196" t="s">
        <v>78</v>
      </c>
      <c r="Q96" s="196" t="s">
        <v>75</v>
      </c>
      <c r="R9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6" s="198">
        <f>(1 - ((1 - VLOOKUP(Table4[[#This Row],[Confidentiality]],'Reference - CVSSv3.0'!$B$15:$C$17,2,FALSE)) * (1 - VLOOKUP(Table4[[#This Row],[Integrity]],'Reference - CVSSv3.0'!$B$15:$C$17,2,FALSE)) *  (1 - VLOOKUP(Table4[[#This Row],[Availability]],'Reference - CVSSv3.0'!$B$15:$C$17,2,FALSE))))</f>
        <v>0.84899199999999997</v>
      </c>
      <c r="T96" s="198">
        <f>IF(Table4[[#This Row],[Scope]]="Unchanged",6.42*Table4[[#This Row],[ISC Base]],IF(Table4[[#This Row],[Scope]]="Changed",7.52*(Table4[[#This Row],[ISC Base]] - 0.029) - 3.25 * POWER(Table4[[#This Row],[ISC Base]] - 0.02,15),NA()))</f>
        <v>5.4505286399999999</v>
      </c>
      <c r="U96"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6" s="182" t="s">
        <v>57</v>
      </c>
      <c r="W96" s="198">
        <f>VLOOKUP(Table4[[#This Row],[Threat Event Initiation]],NIST_Scale_LOAI[],2,FALSE)</f>
        <v>0.2</v>
      </c>
      <c r="X9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6" s="225" t="s">
        <v>326</v>
      </c>
      <c r="AA96" s="187"/>
      <c r="AB96" s="206"/>
      <c r="AC96" s="187"/>
      <c r="AD96" s="187"/>
      <c r="AE96" s="187"/>
      <c r="AF96" s="196"/>
      <c r="AG96" s="196"/>
      <c r="AH96" s="196"/>
      <c r="AI96" s="196"/>
      <c r="AJ96" s="201"/>
      <c r="AK9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6" s="198" t="e">
        <f>(1 - ((1 - VLOOKUP(Table4[[#This Row],[ConfidentialityP]],'Reference - CVSSv3.0'!$B$15:$C$17,2,FALSE)) * (1 - VLOOKUP(Table4[[#This Row],[IntegrityP]],'Reference - CVSSv3.0'!$B$15:$C$17,2,FALSE)) *  (1 - VLOOKUP(Table4[[#This Row],[AvailabilityP]],'Reference - CVSSv3.0'!$B$15:$C$17,2,FALSE))))</f>
        <v>#N/A</v>
      </c>
      <c r="AM96" s="198" t="e">
        <f>IF(Table4[[#This Row],[ScopeP]]="Unchanged",6.42*Table4[[#This Row],[ISC BaseP]],IF(Table4[[#This Row],[ScopeP]]="Changed",7.52*(Table4[[#This Row],[ISC BaseP]] - 0.029) - 3.25 * POWER(Table4[[#This Row],[ISC BaseP]] - 0.02,15),NA()))</f>
        <v>#N/A</v>
      </c>
      <c r="AN9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187"/>
    </row>
    <row r="97" spans="1:43" ht="66" customHeight="1" x14ac:dyDescent="0.25">
      <c r="A97" s="70">
        <v>93</v>
      </c>
      <c r="B97" s="182" t="s">
        <v>268</v>
      </c>
      <c r="C97" s="195" t="str">
        <f>IF(VLOOKUP(Table4[[#This Row],[T ID]],Table5[#All],5,FALSE)="No","Not in scope",VLOOKUP(Table4[[#This Row],[T ID]],Table5[#All],2,FALSE))</f>
        <v>Data Access
(STR[I]DE)</v>
      </c>
      <c r="D97" s="212" t="s">
        <v>225</v>
      </c>
      <c r="E97" s="195" t="str">
        <f>IF(VLOOKUP(Table4[[#This Row],[V ID]],Vulnerabilities[#All],3,FALSE)="No","Not in scope",VLOOKUP(Table4[[#This Row],[V ID]],Vulnerabilities[#All],2,FALSE))</f>
        <v>The password complexity or location vulnerability. Like weak passwords and hardcoded passwords.</v>
      </c>
      <c r="F97" s="42" t="s">
        <v>120</v>
      </c>
      <c r="G97" s="195" t="str">
        <f>VLOOKUP(Table4[[#This Row],[A ID]],Assets[#All],3,FALSE)</f>
        <v>Data at Rest</v>
      </c>
      <c r="H97" s="49" t="s">
        <v>338</v>
      </c>
      <c r="I97" s="49"/>
      <c r="J97" s="87" t="s">
        <v>66</v>
      </c>
      <c r="K97" s="87" t="s">
        <v>66</v>
      </c>
      <c r="L97" s="87" t="s">
        <v>57</v>
      </c>
      <c r="M97" s="196" t="s">
        <v>79</v>
      </c>
      <c r="N97" s="157" t="s">
        <v>66</v>
      </c>
      <c r="O97" s="157" t="s">
        <v>66</v>
      </c>
      <c r="P97" s="196" t="s">
        <v>78</v>
      </c>
      <c r="Q97" s="196" t="s">
        <v>75</v>
      </c>
      <c r="R9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7" s="198">
        <f>(1 - ((1 - VLOOKUP(Table4[[#This Row],[Confidentiality]],'Reference - CVSSv3.0'!$B$15:$C$17,2,FALSE)) * (1 - VLOOKUP(Table4[[#This Row],[Integrity]],'Reference - CVSSv3.0'!$B$15:$C$17,2,FALSE)) *  (1 - VLOOKUP(Table4[[#This Row],[Availability]],'Reference - CVSSv3.0'!$B$15:$C$17,2,FALSE))))</f>
        <v>0.84899199999999997</v>
      </c>
      <c r="T97" s="198">
        <f>IF(Table4[[#This Row],[Scope]]="Unchanged",6.42*Table4[[#This Row],[ISC Base]],IF(Table4[[#This Row],[Scope]]="Changed",7.52*(Table4[[#This Row],[ISC Base]] - 0.029) - 3.25 * POWER(Table4[[#This Row],[ISC Base]] - 0.02,15),NA()))</f>
        <v>5.4505286399999999</v>
      </c>
      <c r="U97"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7" s="182" t="s">
        <v>57</v>
      </c>
      <c r="W97" s="198">
        <f>VLOOKUP(Table4[[#This Row],[Threat Event Initiation]],NIST_Scale_LOAI[],2,FALSE)</f>
        <v>0.2</v>
      </c>
      <c r="X9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49" t="s">
        <v>327</v>
      </c>
      <c r="AA97" s="187"/>
      <c r="AB97" s="206"/>
      <c r="AC97" s="187"/>
      <c r="AD97" s="187"/>
      <c r="AE97" s="187"/>
      <c r="AF97" s="196"/>
      <c r="AG97" s="196"/>
      <c r="AH97" s="196"/>
      <c r="AI97" s="196"/>
      <c r="AJ97" s="201"/>
      <c r="AK9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7" s="198" t="e">
        <f>(1 - ((1 - VLOOKUP(Table4[[#This Row],[ConfidentialityP]],'Reference - CVSSv3.0'!$B$15:$C$17,2,FALSE)) * (1 - VLOOKUP(Table4[[#This Row],[IntegrityP]],'Reference - CVSSv3.0'!$B$15:$C$17,2,FALSE)) *  (1 - VLOOKUP(Table4[[#This Row],[AvailabilityP]],'Reference - CVSSv3.0'!$B$15:$C$17,2,FALSE))))</f>
        <v>#N/A</v>
      </c>
      <c r="AM97" s="198" t="e">
        <f>IF(Table4[[#This Row],[ScopeP]]="Unchanged",6.42*Table4[[#This Row],[ISC BaseP]],IF(Table4[[#This Row],[ScopeP]]="Changed",7.52*(Table4[[#This Row],[ISC BaseP]] - 0.029) - 3.25 * POWER(Table4[[#This Row],[ISC BaseP]] - 0.02,15),NA()))</f>
        <v>#N/A</v>
      </c>
      <c r="AN9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187"/>
    </row>
    <row r="98" spans="1:43" ht="80.25" customHeight="1" x14ac:dyDescent="0.25">
      <c r="A98" s="70">
        <v>94</v>
      </c>
      <c r="B98" s="182" t="s">
        <v>268</v>
      </c>
      <c r="C98" s="195" t="str">
        <f>IF(VLOOKUP(Table4[[#This Row],[T ID]],Table5[#All],5,FALSE)="No","Not in scope",VLOOKUP(Table4[[#This Row],[T ID]],Table5[#All],2,FALSE))</f>
        <v>Data Access
(STR[I]DE)</v>
      </c>
      <c r="D98" s="212" t="s">
        <v>225</v>
      </c>
      <c r="E98" s="195" t="str">
        <f>IF(VLOOKUP(Table4[[#This Row],[V ID]],Vulnerabilities[#All],3,FALSE)="No","Not in scope",VLOOKUP(Table4[[#This Row],[V ID]],Vulnerabilities[#All],2,FALSE))</f>
        <v>The password complexity or location vulnerability. Like weak passwords and hardcoded passwords.</v>
      </c>
      <c r="F98" s="216" t="s">
        <v>109</v>
      </c>
      <c r="G98" s="195" t="str">
        <f>VLOOKUP(Table4[[#This Row],[A ID]],Assets[#All],3,FALSE)</f>
        <v>Smart medic app (Azure Portal Administrator)</v>
      </c>
      <c r="H98" s="49" t="s">
        <v>338</v>
      </c>
      <c r="I98" s="49"/>
      <c r="J98" s="87" t="s">
        <v>66</v>
      </c>
      <c r="K98" s="87" t="s">
        <v>66</v>
      </c>
      <c r="L98" s="87" t="s">
        <v>57</v>
      </c>
      <c r="M98" s="196" t="s">
        <v>79</v>
      </c>
      <c r="N98" s="157" t="s">
        <v>66</v>
      </c>
      <c r="O98" s="157" t="s">
        <v>66</v>
      </c>
      <c r="P98" s="196" t="s">
        <v>78</v>
      </c>
      <c r="Q98" s="196" t="s">
        <v>75</v>
      </c>
      <c r="R9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8" s="198">
        <f>(1 - ((1 - VLOOKUP(Table4[[#This Row],[Confidentiality]],'Reference - CVSSv3.0'!$B$15:$C$17,2,FALSE)) * (1 - VLOOKUP(Table4[[#This Row],[Integrity]],'Reference - CVSSv3.0'!$B$15:$C$17,2,FALSE)) *  (1 - VLOOKUP(Table4[[#This Row],[Availability]],'Reference - CVSSv3.0'!$B$15:$C$17,2,FALSE))))</f>
        <v>0.84899199999999997</v>
      </c>
      <c r="T98" s="198">
        <f>IF(Table4[[#This Row],[Scope]]="Unchanged",6.42*Table4[[#This Row],[ISC Base]],IF(Table4[[#This Row],[Scope]]="Changed",7.52*(Table4[[#This Row],[ISC Base]] - 0.029) - 3.25 * POWER(Table4[[#This Row],[ISC Base]] - 0.02,15),NA()))</f>
        <v>5.4505286399999999</v>
      </c>
      <c r="U98"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8" s="182" t="s">
        <v>57</v>
      </c>
      <c r="W98" s="198">
        <f>VLOOKUP(Table4[[#This Row],[Threat Event Initiation]],NIST_Scale_LOAI[],2,FALSE)</f>
        <v>0.2</v>
      </c>
      <c r="X9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49" t="s">
        <v>327</v>
      </c>
      <c r="AA98" s="187"/>
      <c r="AB98" s="206"/>
      <c r="AC98" s="187"/>
      <c r="AD98" s="187"/>
      <c r="AE98" s="187"/>
      <c r="AF98" s="196"/>
      <c r="AG98" s="196"/>
      <c r="AH98" s="196"/>
      <c r="AI98" s="196"/>
      <c r="AJ98" s="201"/>
      <c r="AK9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8" s="198" t="e">
        <f>(1 - ((1 - VLOOKUP(Table4[[#This Row],[ConfidentialityP]],'Reference - CVSSv3.0'!$B$15:$C$17,2,FALSE)) * (1 - VLOOKUP(Table4[[#This Row],[IntegrityP]],'Reference - CVSSv3.0'!$B$15:$C$17,2,FALSE)) *  (1 - VLOOKUP(Table4[[#This Row],[AvailabilityP]],'Reference - CVSSv3.0'!$B$15:$C$17,2,FALSE))))</f>
        <v>#N/A</v>
      </c>
      <c r="AM98" s="198" t="e">
        <f>IF(Table4[[#This Row],[ScopeP]]="Unchanged",6.42*Table4[[#This Row],[ISC BaseP]],IF(Table4[[#This Row],[ScopeP]]="Changed",7.52*(Table4[[#This Row],[ISC BaseP]] - 0.029) - 3.25 * POWER(Table4[[#This Row],[ISC BaseP]] - 0.02,15),NA()))</f>
        <v>#N/A</v>
      </c>
      <c r="AN9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187"/>
    </row>
    <row r="99" spans="1:43" ht="171" x14ac:dyDescent="0.25">
      <c r="A99" s="70">
        <v>95</v>
      </c>
      <c r="B99" s="182" t="s">
        <v>268</v>
      </c>
      <c r="C99" s="195" t="str">
        <f>IF(VLOOKUP(Table4[[#This Row],[T ID]],Table5[#All],5,FALSE)="No","Not in scope",VLOOKUP(Table4[[#This Row],[T ID]],Table5[#All],2,FALSE))</f>
        <v>Data Access
(STR[I]DE)</v>
      </c>
      <c r="D99" s="212" t="s">
        <v>250</v>
      </c>
      <c r="E99" s="195" t="str">
        <f>IF(VLOOKUP(Table4[[#This Row],[V ID]],Vulnerabilities[#All],3,FALSE)="No","Not in scope",VLOOKUP(Table4[[#This Row],[V ID]],Vulnerabilities[#All],2,FALSE))</f>
        <v>Controlled Use of Administrative Privileges over the network</v>
      </c>
      <c r="F99" s="216" t="s">
        <v>109</v>
      </c>
      <c r="G99" s="195" t="str">
        <f>VLOOKUP(Table4[[#This Row],[A ID]],Assets[#All],3,FALSE)</f>
        <v>Smart medic app (Azure Portal Administrator)</v>
      </c>
      <c r="H99" s="49" t="s">
        <v>338</v>
      </c>
      <c r="I99" s="49"/>
      <c r="J99" s="87" t="s">
        <v>66</v>
      </c>
      <c r="K99" s="87" t="s">
        <v>66</v>
      </c>
      <c r="L99" s="87" t="s">
        <v>57</v>
      </c>
      <c r="M99" s="196" t="s">
        <v>79</v>
      </c>
      <c r="N99" s="157" t="s">
        <v>66</v>
      </c>
      <c r="O99" s="157" t="s">
        <v>66</v>
      </c>
      <c r="P99" s="196" t="s">
        <v>78</v>
      </c>
      <c r="Q99" s="196" t="s">
        <v>75</v>
      </c>
      <c r="R9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99" s="198">
        <f>(1 - ((1 - VLOOKUP(Table4[[#This Row],[Confidentiality]],'Reference - CVSSv3.0'!$B$15:$C$17,2,FALSE)) * (1 - VLOOKUP(Table4[[#This Row],[Integrity]],'Reference - CVSSv3.0'!$B$15:$C$17,2,FALSE)) *  (1 - VLOOKUP(Table4[[#This Row],[Availability]],'Reference - CVSSv3.0'!$B$15:$C$17,2,FALSE))))</f>
        <v>0.84899199999999997</v>
      </c>
      <c r="T99" s="198">
        <f>IF(Table4[[#This Row],[Scope]]="Unchanged",6.42*Table4[[#This Row],[ISC Base]],IF(Table4[[#This Row],[Scope]]="Changed",7.52*(Table4[[#This Row],[ISC Base]] - 0.029) - 3.25 * POWER(Table4[[#This Row],[ISC Base]] - 0.02,15),NA()))</f>
        <v>5.4505286399999999</v>
      </c>
      <c r="U99"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99" s="182" t="s">
        <v>57</v>
      </c>
      <c r="W99" s="198">
        <f>VLOOKUP(Table4[[#This Row],[Threat Event Initiation]],NIST_Scale_LOAI[],2,FALSE)</f>
        <v>0.2</v>
      </c>
      <c r="X9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49" t="s">
        <v>334</v>
      </c>
      <c r="AA99" s="187"/>
      <c r="AB99" s="206"/>
      <c r="AC99" s="187"/>
      <c r="AD99" s="187"/>
      <c r="AE99" s="187"/>
      <c r="AF99" s="196"/>
      <c r="AG99" s="196"/>
      <c r="AH99" s="196"/>
      <c r="AI99" s="196"/>
      <c r="AJ99" s="201"/>
      <c r="AK9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99" s="198" t="e">
        <f>(1 - ((1 - VLOOKUP(Table4[[#This Row],[ConfidentialityP]],'Reference - CVSSv3.0'!$B$15:$C$17,2,FALSE)) * (1 - VLOOKUP(Table4[[#This Row],[IntegrityP]],'Reference - CVSSv3.0'!$B$15:$C$17,2,FALSE)) *  (1 - VLOOKUP(Table4[[#This Row],[AvailabilityP]],'Reference - CVSSv3.0'!$B$15:$C$17,2,FALSE))))</f>
        <v>#N/A</v>
      </c>
      <c r="AM99" s="198" t="e">
        <f>IF(Table4[[#This Row],[ScopeP]]="Unchanged",6.42*Table4[[#This Row],[ISC BaseP]],IF(Table4[[#This Row],[ScopeP]]="Changed",7.52*(Table4[[#This Row],[ISC BaseP]] - 0.029) - 3.25 * POWER(Table4[[#This Row],[ISC BaseP]] - 0.02,15),NA()))</f>
        <v>#N/A</v>
      </c>
      <c r="AN9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187"/>
    </row>
    <row r="100" spans="1:43" ht="74.25" customHeight="1" x14ac:dyDescent="0.25">
      <c r="A100" s="70">
        <v>96</v>
      </c>
      <c r="B100" s="182" t="s">
        <v>268</v>
      </c>
      <c r="C100" s="195" t="str">
        <f>IF(VLOOKUP(Table4[[#This Row],[T ID]],Table5[#All],5,FALSE)="No","Not in scope",VLOOKUP(Table4[[#This Row],[T ID]],Table5[#All],2,FALSE))</f>
        <v>Data Access
(STR[I]DE)</v>
      </c>
      <c r="D100" s="212" t="s">
        <v>248</v>
      </c>
      <c r="E100" s="195" t="str">
        <f>IF(VLOOKUP(Table4[[#This Row],[V ID]],Vulnerabilities[#All],3,FALSE)="No","Not in scope",VLOOKUP(Table4[[#This Row],[V ID]],Vulnerabilities[#All],2,FALSE))</f>
        <v>Unprotected external USB Port on the tablet/devices.</v>
      </c>
      <c r="F100" s="216" t="s">
        <v>112</v>
      </c>
      <c r="G100" s="195" t="str">
        <f>VLOOKUP(Table4[[#This Row],[A ID]],Assets[#All],3,FALSE)</f>
        <v>Tablet Resources - web cam, microphone, OTG devices, Removable USB, Tablet Application,</v>
      </c>
      <c r="H100" s="49" t="s">
        <v>338</v>
      </c>
      <c r="I100" s="49"/>
      <c r="J100" s="87" t="s">
        <v>66</v>
      </c>
      <c r="K100" s="87" t="s">
        <v>66</v>
      </c>
      <c r="L100" s="87" t="s">
        <v>57</v>
      </c>
      <c r="M100" s="196" t="s">
        <v>76</v>
      </c>
      <c r="N100" s="157" t="s">
        <v>66</v>
      </c>
      <c r="O100" s="157" t="s">
        <v>66</v>
      </c>
      <c r="P100" s="196" t="s">
        <v>78</v>
      </c>
      <c r="Q100" s="196" t="s">
        <v>75</v>
      </c>
      <c r="R10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0.16601112000000004</v>
      </c>
      <c r="S100" s="198">
        <f>(1 - ((1 - VLOOKUP(Table4[[#This Row],[Confidentiality]],'Reference - CVSSv3.0'!$B$15:$C$17,2,FALSE)) * (1 - VLOOKUP(Table4[[#This Row],[Integrity]],'Reference - CVSSv3.0'!$B$15:$C$17,2,FALSE)) *  (1 - VLOOKUP(Table4[[#This Row],[Availability]],'Reference - CVSSv3.0'!$B$15:$C$17,2,FALSE))))</f>
        <v>0.84899199999999997</v>
      </c>
      <c r="T100" s="198">
        <f>IF(Table4[[#This Row],[Scope]]="Unchanged",6.42*Table4[[#This Row],[ISC Base]],IF(Table4[[#This Row],[Scope]]="Changed",7.52*(Table4[[#This Row],[ISC Base]] - 0.029) - 3.25 * POWER(Table4[[#This Row],[ISC Base]] - 0.02,15),NA()))</f>
        <v>5.4505286399999999</v>
      </c>
      <c r="U100" s="198">
        <f>IF(Table4[[#This Row],[Impact Sub Score]]&lt;=0,0,IF(Table4[[#This Row],[Scope]]="Unchanged",ROUNDUP(MIN((Table4[[#This Row],[Impact Sub Score]]+Table4[[#This Row],[Exploitability Sub Score]]),10),1),IF(Table4[[#This Row],[Scope]]="Changed",ROUNDUP(MIN((1.08*(Table4[[#This Row],[Impact Sub Score]]+Table4[[#This Row],[Exploitability Sub Score]])),10),1),NA())))</f>
        <v>5.6999999999999993</v>
      </c>
      <c r="V100" s="182" t="s">
        <v>66</v>
      </c>
      <c r="W100" s="198">
        <f>VLOOKUP(Table4[[#This Row],[Threat Event Initiation]],NIST_Scale_LOAI[],2,FALSE)</f>
        <v>0.8</v>
      </c>
      <c r="X10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49" t="s">
        <v>311</v>
      </c>
      <c r="AA100" s="187"/>
      <c r="AB100" s="206"/>
      <c r="AC100" s="187"/>
      <c r="AD100" s="187"/>
      <c r="AE100" s="187"/>
      <c r="AF100" s="196"/>
      <c r="AG100" s="196"/>
      <c r="AH100" s="196"/>
      <c r="AI100" s="196"/>
      <c r="AJ100" s="201"/>
      <c r="AK10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0" s="198" t="e">
        <f>(1 - ((1 - VLOOKUP(Table4[[#This Row],[ConfidentialityP]],'Reference - CVSSv3.0'!$B$15:$C$17,2,FALSE)) * (1 - VLOOKUP(Table4[[#This Row],[IntegrityP]],'Reference - CVSSv3.0'!$B$15:$C$17,2,FALSE)) *  (1 - VLOOKUP(Table4[[#This Row],[AvailabilityP]],'Reference - CVSSv3.0'!$B$15:$C$17,2,FALSE))))</f>
        <v>#N/A</v>
      </c>
      <c r="AM100" s="198" t="e">
        <f>IF(Table4[[#This Row],[ScopeP]]="Unchanged",6.42*Table4[[#This Row],[ISC BaseP]],IF(Table4[[#This Row],[ScopeP]]="Changed",7.52*(Table4[[#This Row],[ISC BaseP]] - 0.029) - 3.25 * POWER(Table4[[#This Row],[ISC BaseP]] - 0.02,15),NA()))</f>
        <v>#N/A</v>
      </c>
      <c r="AN10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187"/>
    </row>
    <row r="101" spans="1:43" ht="69" customHeight="1" x14ac:dyDescent="0.25">
      <c r="A101" s="70">
        <v>97</v>
      </c>
      <c r="B101" s="182" t="s">
        <v>269</v>
      </c>
      <c r="C101" s="195" t="str">
        <f>IF(VLOOKUP(Table4[[#This Row],[T ID]],Table5[#All],5,FALSE)="No","Not in scope",VLOOKUP(Table4[[#This Row],[T ID]],Table5[#All],2,FALSE))</f>
        <v>Open network port exploit
(TTP)</v>
      </c>
      <c r="D101" s="210" t="s">
        <v>247</v>
      </c>
      <c r="E101" s="195" t="str">
        <f>IF(VLOOKUP(Table4[[#This Row],[V ID]],Vulnerabilities[#All],3,FALSE)="No","Not in scope",VLOOKUP(Table4[[#This Row],[V ID]],Vulnerabilities[#All],2,FALSE))</f>
        <v>Unprotected network port(s) on network devices and connection points</v>
      </c>
      <c r="F101" s="216" t="s">
        <v>113</v>
      </c>
      <c r="G101" s="195" t="str">
        <f>VLOOKUP(Table4[[#This Row],[A ID]],Assets[#All],3,FALSE)</f>
        <v>Tablet OS/network details &amp; Tablet Application</v>
      </c>
      <c r="H101" s="49" t="s">
        <v>339</v>
      </c>
      <c r="I101" s="49"/>
      <c r="J101" s="87" t="s">
        <v>66</v>
      </c>
      <c r="K101" s="87" t="s">
        <v>66</v>
      </c>
      <c r="L101" s="87" t="s">
        <v>57</v>
      </c>
      <c r="M101" s="196" t="s">
        <v>79</v>
      </c>
      <c r="N101" s="157" t="s">
        <v>66</v>
      </c>
      <c r="O101" s="157" t="s">
        <v>57</v>
      </c>
      <c r="P101" s="196" t="s">
        <v>78</v>
      </c>
      <c r="Q101" s="196" t="s">
        <v>75</v>
      </c>
      <c r="R10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1" s="198">
        <f>(1 - ((1 - VLOOKUP(Table4[[#This Row],[Confidentiality]],'Reference - CVSSv3.0'!$B$15:$C$17,2,FALSE)) * (1 - VLOOKUP(Table4[[#This Row],[Integrity]],'Reference - CVSSv3.0'!$B$15:$C$17,2,FALSE)) *  (1 - VLOOKUP(Table4[[#This Row],[Availability]],'Reference - CVSSv3.0'!$B$15:$C$17,2,FALSE))))</f>
        <v>0.84899199999999997</v>
      </c>
      <c r="T101" s="198">
        <f>IF(Table4[[#This Row],[Scope]]="Unchanged",6.42*Table4[[#This Row],[ISC Base]],IF(Table4[[#This Row],[Scope]]="Changed",7.52*(Table4[[#This Row],[ISC Base]] - 0.029) - 3.25 * POWER(Table4[[#This Row],[ISC Base]] - 0.02,15),NA()))</f>
        <v>5.4505286399999999</v>
      </c>
      <c r="U101"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1" s="182" t="s">
        <v>56</v>
      </c>
      <c r="W101" s="198">
        <f>VLOOKUP(Table4[[#This Row],[Threat Event Initiation]],NIST_Scale_LOAI[],2,FALSE)</f>
        <v>0.5</v>
      </c>
      <c r="X10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49" t="s">
        <v>311</v>
      </c>
      <c r="AA101" s="187"/>
      <c r="AB101" s="206"/>
      <c r="AC101" s="187"/>
      <c r="AD101" s="187"/>
      <c r="AE101" s="187"/>
      <c r="AF101" s="196"/>
      <c r="AG101" s="196"/>
      <c r="AH101" s="196"/>
      <c r="AI101" s="196"/>
      <c r="AJ101" s="201"/>
      <c r="AK10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1" s="198" t="e">
        <f>(1 - ((1 - VLOOKUP(Table4[[#This Row],[ConfidentialityP]],'Reference - CVSSv3.0'!$B$15:$C$17,2,FALSE)) * (1 - VLOOKUP(Table4[[#This Row],[IntegrityP]],'Reference - CVSSv3.0'!$B$15:$C$17,2,FALSE)) *  (1 - VLOOKUP(Table4[[#This Row],[AvailabilityP]],'Reference - CVSSv3.0'!$B$15:$C$17,2,FALSE))))</f>
        <v>#N/A</v>
      </c>
      <c r="AM101" s="198" t="e">
        <f>IF(Table4[[#This Row],[ScopeP]]="Unchanged",6.42*Table4[[#This Row],[ISC BaseP]],IF(Table4[[#This Row],[ScopeP]]="Changed",7.52*(Table4[[#This Row],[ISC BaseP]] - 0.029) - 3.25 * POWER(Table4[[#This Row],[ISC BaseP]] - 0.02,15),NA()))</f>
        <v>#N/A</v>
      </c>
      <c r="AN10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187"/>
    </row>
    <row r="102" spans="1:43" ht="90" customHeight="1" x14ac:dyDescent="0.25">
      <c r="A102" s="70">
        <v>98</v>
      </c>
      <c r="B102" s="182" t="s">
        <v>269</v>
      </c>
      <c r="C102" s="195" t="str">
        <f>IF(VLOOKUP(Table4[[#This Row],[T ID]],Table5[#All],5,FALSE)="No","Not in scope",VLOOKUP(Table4[[#This Row],[T ID]],Table5[#All],2,FALSE))</f>
        <v>Open network port exploit
(TTP)</v>
      </c>
      <c r="D102" s="210" t="s">
        <v>247</v>
      </c>
      <c r="E102" s="195" t="str">
        <f>IF(VLOOKUP(Table4[[#This Row],[V ID]],Vulnerabilities[#All],3,FALSE)="No","Not in scope",VLOOKUP(Table4[[#This Row],[V ID]],Vulnerabilities[#All],2,FALSE))</f>
        <v>Unprotected network port(s) on network devices and connection points</v>
      </c>
      <c r="F102" s="216" t="s">
        <v>119</v>
      </c>
      <c r="G102" s="195" t="str">
        <f>VLOOKUP(Table4[[#This Row],[A ID]],Assets[#All],3,FALSE)</f>
        <v>Wireless Network device</v>
      </c>
      <c r="H102" s="49" t="s">
        <v>339</v>
      </c>
      <c r="I102" s="49"/>
      <c r="J102" s="87" t="s">
        <v>66</v>
      </c>
      <c r="K102" s="87" t="s">
        <v>66</v>
      </c>
      <c r="L102" s="87" t="s">
        <v>57</v>
      </c>
      <c r="M102" s="196" t="s">
        <v>79</v>
      </c>
      <c r="N102" s="157" t="s">
        <v>66</v>
      </c>
      <c r="O102" s="157" t="s">
        <v>57</v>
      </c>
      <c r="P102" s="196" t="s">
        <v>78</v>
      </c>
      <c r="Q102" s="196" t="s">
        <v>75</v>
      </c>
      <c r="R10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2" s="198">
        <f>(1 - ((1 - VLOOKUP(Table4[[#This Row],[Confidentiality]],'Reference - CVSSv3.0'!$B$15:$C$17,2,FALSE)) * (1 - VLOOKUP(Table4[[#This Row],[Integrity]],'Reference - CVSSv3.0'!$B$15:$C$17,2,FALSE)) *  (1 - VLOOKUP(Table4[[#This Row],[Availability]],'Reference - CVSSv3.0'!$B$15:$C$17,2,FALSE))))</f>
        <v>0.84899199999999997</v>
      </c>
      <c r="T102" s="198">
        <f>IF(Table4[[#This Row],[Scope]]="Unchanged",6.42*Table4[[#This Row],[ISC Base]],IF(Table4[[#This Row],[Scope]]="Changed",7.52*(Table4[[#This Row],[ISC Base]] - 0.029) - 3.25 * POWER(Table4[[#This Row],[ISC Base]] - 0.02,15),NA()))</f>
        <v>5.4505286399999999</v>
      </c>
      <c r="U102"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2" s="182" t="s">
        <v>56</v>
      </c>
      <c r="W102" s="198">
        <f>VLOOKUP(Table4[[#This Row],[Threat Event Initiation]],NIST_Scale_LOAI[],2,FALSE)</f>
        <v>0.5</v>
      </c>
      <c r="X10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225" t="s">
        <v>314</v>
      </c>
      <c r="AA102" s="187"/>
      <c r="AB102" s="206"/>
      <c r="AC102" s="187"/>
      <c r="AD102" s="187"/>
      <c r="AE102" s="187"/>
      <c r="AF102" s="196"/>
      <c r="AG102" s="196"/>
      <c r="AH102" s="196"/>
      <c r="AI102" s="196"/>
      <c r="AJ102" s="201"/>
      <c r="AK10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2" s="198" t="e">
        <f>(1 - ((1 - VLOOKUP(Table4[[#This Row],[ConfidentialityP]],'Reference - CVSSv3.0'!$B$15:$C$17,2,FALSE)) * (1 - VLOOKUP(Table4[[#This Row],[IntegrityP]],'Reference - CVSSv3.0'!$B$15:$C$17,2,FALSE)) *  (1 - VLOOKUP(Table4[[#This Row],[AvailabilityP]],'Reference - CVSSv3.0'!$B$15:$C$17,2,FALSE))))</f>
        <v>#N/A</v>
      </c>
      <c r="AM102" s="198" t="e">
        <f>IF(Table4[[#This Row],[ScopeP]]="Unchanged",6.42*Table4[[#This Row],[ISC BaseP]],IF(Table4[[#This Row],[ScopeP]]="Changed",7.52*(Table4[[#This Row],[ISC BaseP]] - 0.029) - 3.25 * POWER(Table4[[#This Row],[ISC BaseP]] - 0.02,15),NA()))</f>
        <v>#N/A</v>
      </c>
      <c r="AN10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187"/>
    </row>
    <row r="103" spans="1:43" ht="66" customHeight="1" x14ac:dyDescent="0.25">
      <c r="A103" s="70">
        <v>99</v>
      </c>
      <c r="B103" s="182" t="s">
        <v>269</v>
      </c>
      <c r="C103" s="195" t="str">
        <f>IF(VLOOKUP(Table4[[#This Row],[T ID]],Table5[#All],5,FALSE)="No","Not in scope",VLOOKUP(Table4[[#This Row],[T ID]],Table5[#All],2,FALSE))</f>
        <v>Open network port exploit
(TTP)</v>
      </c>
      <c r="D103" s="210" t="s">
        <v>249</v>
      </c>
      <c r="E103" s="195" t="str">
        <f>IF(VLOOKUP(Table4[[#This Row],[V ID]],Vulnerabilities[#All],3,FALSE)="No","Not in scope",VLOOKUP(Table4[[#This Row],[V ID]],Vulnerabilities[#All],2,FALSE))</f>
        <v>Unencrypted Network segment throught the information flow</v>
      </c>
      <c r="F103" s="216" t="s">
        <v>113</v>
      </c>
      <c r="G103" s="195" t="str">
        <f>VLOOKUP(Table4[[#This Row],[A ID]],Assets[#All],3,FALSE)</f>
        <v>Tablet OS/network details &amp; Tablet Application</v>
      </c>
      <c r="H103" s="49" t="s">
        <v>339</v>
      </c>
      <c r="I103" s="49"/>
      <c r="J103" s="87" t="s">
        <v>66</v>
      </c>
      <c r="K103" s="87" t="s">
        <v>66</v>
      </c>
      <c r="L103" s="87" t="s">
        <v>57</v>
      </c>
      <c r="M103" s="196" t="s">
        <v>79</v>
      </c>
      <c r="N103" s="157" t="s">
        <v>66</v>
      </c>
      <c r="O103" s="157" t="s">
        <v>57</v>
      </c>
      <c r="P103" s="196" t="s">
        <v>78</v>
      </c>
      <c r="Q103" s="196" t="s">
        <v>75</v>
      </c>
      <c r="R10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3" s="198">
        <f>(1 - ((1 - VLOOKUP(Table4[[#This Row],[Confidentiality]],'Reference - CVSSv3.0'!$B$15:$C$17,2,FALSE)) * (1 - VLOOKUP(Table4[[#This Row],[Integrity]],'Reference - CVSSv3.0'!$B$15:$C$17,2,FALSE)) *  (1 - VLOOKUP(Table4[[#This Row],[Availability]],'Reference - CVSSv3.0'!$B$15:$C$17,2,FALSE))))</f>
        <v>0.84899199999999997</v>
      </c>
      <c r="T103" s="198">
        <f>IF(Table4[[#This Row],[Scope]]="Unchanged",6.42*Table4[[#This Row],[ISC Base]],IF(Table4[[#This Row],[Scope]]="Changed",7.52*(Table4[[#This Row],[ISC Base]] - 0.029) - 3.25 * POWER(Table4[[#This Row],[ISC Base]] - 0.02,15),NA()))</f>
        <v>5.4505286399999999</v>
      </c>
      <c r="U103"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3" s="182" t="s">
        <v>56</v>
      </c>
      <c r="W103" s="198">
        <f>VLOOKUP(Table4[[#This Row],[Threat Event Initiation]],NIST_Scale_LOAI[],2,FALSE)</f>
        <v>0.5</v>
      </c>
      <c r="X10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3" s="49" t="s">
        <v>311</v>
      </c>
      <c r="AA103" s="187"/>
      <c r="AB103" s="206"/>
      <c r="AC103" s="187"/>
      <c r="AD103" s="187"/>
      <c r="AE103" s="187"/>
      <c r="AF103" s="196"/>
      <c r="AG103" s="196"/>
      <c r="AH103" s="196"/>
      <c r="AI103" s="196"/>
      <c r="AJ103" s="201"/>
      <c r="AK10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3" s="198" t="e">
        <f>(1 - ((1 - VLOOKUP(Table4[[#This Row],[ConfidentialityP]],'Reference - CVSSv3.0'!$B$15:$C$17,2,FALSE)) * (1 - VLOOKUP(Table4[[#This Row],[IntegrityP]],'Reference - CVSSv3.0'!$B$15:$C$17,2,FALSE)) *  (1 - VLOOKUP(Table4[[#This Row],[AvailabilityP]],'Reference - CVSSv3.0'!$B$15:$C$17,2,FALSE))))</f>
        <v>#N/A</v>
      </c>
      <c r="AM103" s="198" t="e">
        <f>IF(Table4[[#This Row],[ScopeP]]="Unchanged",6.42*Table4[[#This Row],[ISC BaseP]],IF(Table4[[#This Row],[ScopeP]]="Changed",7.52*(Table4[[#This Row],[ISC BaseP]] - 0.029) - 3.25 * POWER(Table4[[#This Row],[ISC BaseP]] - 0.02,15),NA()))</f>
        <v>#N/A</v>
      </c>
      <c r="AN10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187"/>
    </row>
    <row r="104" spans="1:43" ht="102" customHeight="1" x14ac:dyDescent="0.25">
      <c r="A104" s="70">
        <v>100</v>
      </c>
      <c r="B104" s="182" t="s">
        <v>269</v>
      </c>
      <c r="C104" s="195" t="str">
        <f>IF(VLOOKUP(Table4[[#This Row],[T ID]],Table5[#All],5,FALSE)="No","Not in scope",VLOOKUP(Table4[[#This Row],[T ID]],Table5[#All],2,FALSE))</f>
        <v>Open network port exploit
(TTP)</v>
      </c>
      <c r="D104" s="210" t="s">
        <v>249</v>
      </c>
      <c r="E104" s="195" t="str">
        <f>IF(VLOOKUP(Table4[[#This Row],[V ID]],Vulnerabilities[#All],3,FALSE)="No","Not in scope",VLOOKUP(Table4[[#This Row],[V ID]],Vulnerabilities[#All],2,FALSE))</f>
        <v>Unencrypted Network segment throught the information flow</v>
      </c>
      <c r="F104" s="216" t="s">
        <v>119</v>
      </c>
      <c r="G104" s="195" t="str">
        <f>VLOOKUP(Table4[[#This Row],[A ID]],Assets[#All],3,FALSE)</f>
        <v>Wireless Network device</v>
      </c>
      <c r="H104" s="49" t="s">
        <v>339</v>
      </c>
      <c r="I104" s="49"/>
      <c r="J104" s="87" t="s">
        <v>66</v>
      </c>
      <c r="K104" s="87" t="s">
        <v>66</v>
      </c>
      <c r="L104" s="87" t="s">
        <v>57</v>
      </c>
      <c r="M104" s="196" t="s">
        <v>79</v>
      </c>
      <c r="N104" s="157" t="s">
        <v>66</v>
      </c>
      <c r="O104" s="157" t="s">
        <v>57</v>
      </c>
      <c r="P104" s="196" t="s">
        <v>78</v>
      </c>
      <c r="Q104" s="196" t="s">
        <v>75</v>
      </c>
      <c r="R10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4" s="198">
        <f>(1 - ((1 - VLOOKUP(Table4[[#This Row],[Confidentiality]],'Reference - CVSSv3.0'!$B$15:$C$17,2,FALSE)) * (1 - VLOOKUP(Table4[[#This Row],[Integrity]],'Reference - CVSSv3.0'!$B$15:$C$17,2,FALSE)) *  (1 - VLOOKUP(Table4[[#This Row],[Availability]],'Reference - CVSSv3.0'!$B$15:$C$17,2,FALSE))))</f>
        <v>0.84899199999999997</v>
      </c>
      <c r="T104" s="198">
        <f>IF(Table4[[#This Row],[Scope]]="Unchanged",6.42*Table4[[#This Row],[ISC Base]],IF(Table4[[#This Row],[Scope]]="Changed",7.52*(Table4[[#This Row],[ISC Base]] - 0.029) - 3.25 * POWER(Table4[[#This Row],[ISC Base]] - 0.02,15),NA()))</f>
        <v>5.4505286399999999</v>
      </c>
      <c r="U104"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4" s="182" t="s">
        <v>56</v>
      </c>
      <c r="W104" s="198">
        <f>VLOOKUP(Table4[[#This Row],[Threat Event Initiation]],NIST_Scale_LOAI[],2,FALSE)</f>
        <v>0.5</v>
      </c>
      <c r="X10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4" s="225" t="s">
        <v>315</v>
      </c>
      <c r="AA104" s="187"/>
      <c r="AB104" s="206"/>
      <c r="AC104" s="187"/>
      <c r="AD104" s="187"/>
      <c r="AE104" s="187"/>
      <c r="AF104" s="196"/>
      <c r="AG104" s="196"/>
      <c r="AH104" s="196"/>
      <c r="AI104" s="196"/>
      <c r="AJ104" s="201"/>
      <c r="AK10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4" s="198" t="e">
        <f>(1 - ((1 - VLOOKUP(Table4[[#This Row],[ConfidentialityP]],'Reference - CVSSv3.0'!$B$15:$C$17,2,FALSE)) * (1 - VLOOKUP(Table4[[#This Row],[IntegrityP]],'Reference - CVSSv3.0'!$B$15:$C$17,2,FALSE)) *  (1 - VLOOKUP(Table4[[#This Row],[AvailabilityP]],'Reference - CVSSv3.0'!$B$15:$C$17,2,FALSE))))</f>
        <v>#N/A</v>
      </c>
      <c r="AM104" s="198" t="e">
        <f>IF(Table4[[#This Row],[ScopeP]]="Unchanged",6.42*Table4[[#This Row],[ISC BaseP]],IF(Table4[[#This Row],[ScopeP]]="Changed",7.52*(Table4[[#This Row],[ISC BaseP]] - 0.029) - 3.25 * POWER(Table4[[#This Row],[ISC BaseP]] - 0.02,15),NA()))</f>
        <v>#N/A</v>
      </c>
      <c r="AN10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187"/>
    </row>
    <row r="105" spans="1:43" ht="171" x14ac:dyDescent="0.25">
      <c r="A105" s="70">
        <v>101</v>
      </c>
      <c r="B105" s="182" t="s">
        <v>269</v>
      </c>
      <c r="C105" s="195" t="str">
        <f>IF(VLOOKUP(Table4[[#This Row],[T ID]],Table5[#All],5,FALSE)="No","Not in scope",VLOOKUP(Table4[[#This Row],[T ID]],Table5[#All],2,FALSE))</f>
        <v>Open network port exploit
(TTP)</v>
      </c>
      <c r="D105" s="210" t="s">
        <v>250</v>
      </c>
      <c r="E105" s="195" t="str">
        <f>IF(VLOOKUP(Table4[[#This Row],[V ID]],Vulnerabilities[#All],3,FALSE)="No","Not in scope",VLOOKUP(Table4[[#This Row],[V ID]],Vulnerabilities[#All],2,FALSE))</f>
        <v>Controlled Use of Administrative Privileges over the network</v>
      </c>
      <c r="F105" s="216" t="s">
        <v>109</v>
      </c>
      <c r="G105" s="195" t="str">
        <f>VLOOKUP(Table4[[#This Row],[A ID]],Assets[#All],3,FALSE)</f>
        <v>Smart medic app (Azure Portal Administrator)</v>
      </c>
      <c r="H105" s="49" t="s">
        <v>339</v>
      </c>
      <c r="I105" s="49"/>
      <c r="J105" s="87" t="s">
        <v>66</v>
      </c>
      <c r="K105" s="87" t="s">
        <v>66</v>
      </c>
      <c r="L105" s="87" t="s">
        <v>57</v>
      </c>
      <c r="M105" s="196" t="s">
        <v>79</v>
      </c>
      <c r="N105" s="157" t="s">
        <v>66</v>
      </c>
      <c r="O105" s="157" t="s">
        <v>57</v>
      </c>
      <c r="P105" s="196" t="s">
        <v>78</v>
      </c>
      <c r="Q105" s="196" t="s">
        <v>75</v>
      </c>
      <c r="R10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5" s="198">
        <f>(1 - ((1 - VLOOKUP(Table4[[#This Row],[Confidentiality]],'Reference - CVSSv3.0'!$B$15:$C$17,2,FALSE)) * (1 - VLOOKUP(Table4[[#This Row],[Integrity]],'Reference - CVSSv3.0'!$B$15:$C$17,2,FALSE)) *  (1 - VLOOKUP(Table4[[#This Row],[Availability]],'Reference - CVSSv3.0'!$B$15:$C$17,2,FALSE))))</f>
        <v>0.84899199999999997</v>
      </c>
      <c r="T105" s="198">
        <f>IF(Table4[[#This Row],[Scope]]="Unchanged",6.42*Table4[[#This Row],[ISC Base]],IF(Table4[[#This Row],[Scope]]="Changed",7.52*(Table4[[#This Row],[ISC Base]] - 0.029) - 3.25 * POWER(Table4[[#This Row],[ISC Base]] - 0.02,15),NA()))</f>
        <v>5.4505286399999999</v>
      </c>
      <c r="U105"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5" s="182" t="s">
        <v>56</v>
      </c>
      <c r="W105" s="198">
        <f>VLOOKUP(Table4[[#This Row],[Threat Event Initiation]],NIST_Scale_LOAI[],2,FALSE)</f>
        <v>0.5</v>
      </c>
      <c r="X10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5" s="49" t="s">
        <v>334</v>
      </c>
      <c r="AA105" s="187"/>
      <c r="AB105" s="206"/>
      <c r="AC105" s="187"/>
      <c r="AD105" s="187"/>
      <c r="AE105" s="187"/>
      <c r="AF105" s="196"/>
      <c r="AG105" s="196"/>
      <c r="AH105" s="196"/>
      <c r="AI105" s="196"/>
      <c r="AJ105" s="201"/>
      <c r="AK10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5" s="198" t="e">
        <f>(1 - ((1 - VLOOKUP(Table4[[#This Row],[ConfidentialityP]],'Reference - CVSSv3.0'!$B$15:$C$17,2,FALSE)) * (1 - VLOOKUP(Table4[[#This Row],[IntegrityP]],'Reference - CVSSv3.0'!$B$15:$C$17,2,FALSE)) *  (1 - VLOOKUP(Table4[[#This Row],[AvailabilityP]],'Reference - CVSSv3.0'!$B$15:$C$17,2,FALSE))))</f>
        <v>#N/A</v>
      </c>
      <c r="AM105" s="198" t="e">
        <f>IF(Table4[[#This Row],[ScopeP]]="Unchanged",6.42*Table4[[#This Row],[ISC BaseP]],IF(Table4[[#This Row],[ScopeP]]="Changed",7.52*(Table4[[#This Row],[ISC BaseP]] - 0.029) - 3.25 * POWER(Table4[[#This Row],[ISC BaseP]] - 0.02,15),NA()))</f>
        <v>#N/A</v>
      </c>
      <c r="AN10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5" s="187"/>
    </row>
    <row r="106" spans="1:43" ht="127.5" customHeight="1" x14ac:dyDescent="0.25">
      <c r="A106" s="70">
        <v>102</v>
      </c>
      <c r="B106" s="182" t="s">
        <v>269</v>
      </c>
      <c r="C106" s="195" t="str">
        <f>IF(VLOOKUP(Table4[[#This Row],[T ID]],Table5[#All],5,FALSE)="No","Not in scope",VLOOKUP(Table4[[#This Row],[T ID]],Table5[#All],2,FALSE))</f>
        <v>Open network port exploit
(TTP)</v>
      </c>
      <c r="D106" s="210" t="s">
        <v>257</v>
      </c>
      <c r="E106" s="195" t="str">
        <f>IF(VLOOKUP(Table4[[#This Row],[V ID]],Vulnerabilities[#All],3,FALSE)="No","Not in scope",VLOOKUP(Table4[[#This Row],[V ID]],Vulnerabilities[#All],2,FALSE))</f>
        <v>Unencrypted data in flight in all flowchannels</v>
      </c>
      <c r="F106" s="216" t="s">
        <v>107</v>
      </c>
      <c r="G106" s="195" t="str">
        <f>VLOOKUP(Table4[[#This Row],[A ID]],Assets[#All],3,FALSE)</f>
        <v>Data in Motion</v>
      </c>
      <c r="H106" s="49" t="s">
        <v>340</v>
      </c>
      <c r="I106" s="49"/>
      <c r="J106" s="87" t="s">
        <v>66</v>
      </c>
      <c r="K106" s="87" t="s">
        <v>66</v>
      </c>
      <c r="L106" s="87" t="s">
        <v>57</v>
      </c>
      <c r="M106" s="196" t="s">
        <v>79</v>
      </c>
      <c r="N106" s="157" t="s">
        <v>66</v>
      </c>
      <c r="O106" s="157" t="s">
        <v>57</v>
      </c>
      <c r="P106" s="196" t="s">
        <v>78</v>
      </c>
      <c r="Q106" s="196" t="s">
        <v>75</v>
      </c>
      <c r="R10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6" s="198">
        <f>(1 - ((1 - VLOOKUP(Table4[[#This Row],[Confidentiality]],'Reference - CVSSv3.0'!$B$15:$C$17,2,FALSE)) * (1 - VLOOKUP(Table4[[#This Row],[Integrity]],'Reference - CVSSv3.0'!$B$15:$C$17,2,FALSE)) *  (1 - VLOOKUP(Table4[[#This Row],[Availability]],'Reference - CVSSv3.0'!$B$15:$C$17,2,FALSE))))</f>
        <v>0.84899199999999997</v>
      </c>
      <c r="T106" s="198">
        <f>IF(Table4[[#This Row],[Scope]]="Unchanged",6.42*Table4[[#This Row],[ISC Base]],IF(Table4[[#This Row],[Scope]]="Changed",7.52*(Table4[[#This Row],[ISC Base]] - 0.029) - 3.25 * POWER(Table4[[#This Row],[ISC Base]] - 0.02,15),NA()))</f>
        <v>5.4505286399999999</v>
      </c>
      <c r="U106"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6" s="182" t="s">
        <v>56</v>
      </c>
      <c r="W106" s="198">
        <f>VLOOKUP(Table4[[#This Row],[Threat Event Initiation]],NIST_Scale_LOAI[],2,FALSE)</f>
        <v>0.5</v>
      </c>
      <c r="X106"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6"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6" s="49" t="s">
        <v>306</v>
      </c>
      <c r="AA106" s="187"/>
      <c r="AB106" s="206"/>
      <c r="AC106" s="187"/>
      <c r="AD106" s="187"/>
      <c r="AE106" s="187"/>
      <c r="AF106" s="196"/>
      <c r="AG106" s="196"/>
      <c r="AH106" s="196"/>
      <c r="AI106" s="196"/>
      <c r="AJ106" s="201"/>
      <c r="AK10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6" s="198" t="e">
        <f>(1 - ((1 - VLOOKUP(Table4[[#This Row],[ConfidentialityP]],'Reference - CVSSv3.0'!$B$15:$C$17,2,FALSE)) * (1 - VLOOKUP(Table4[[#This Row],[IntegrityP]],'Reference - CVSSv3.0'!$B$15:$C$17,2,FALSE)) *  (1 - VLOOKUP(Table4[[#This Row],[AvailabilityP]],'Reference - CVSSv3.0'!$B$15:$C$17,2,FALSE))))</f>
        <v>#N/A</v>
      </c>
      <c r="AM106" s="198" t="e">
        <f>IF(Table4[[#This Row],[ScopeP]]="Unchanged",6.42*Table4[[#This Row],[ISC BaseP]],IF(Table4[[#This Row],[ScopeP]]="Changed",7.52*(Table4[[#This Row],[ISC BaseP]] - 0.029) - 3.25 * POWER(Table4[[#This Row],[ISC BaseP]] - 0.02,15),NA()))</f>
        <v>#N/A</v>
      </c>
      <c r="AN106"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6"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6"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6" s="187"/>
    </row>
    <row r="107" spans="1:43" ht="90" customHeight="1" x14ac:dyDescent="0.25">
      <c r="A107" s="70">
        <v>103</v>
      </c>
      <c r="B107" s="182" t="s">
        <v>269</v>
      </c>
      <c r="C107" s="195" t="str">
        <f>IF(VLOOKUP(Table4[[#This Row],[T ID]],Table5[#All],5,FALSE)="No","Not in scope",VLOOKUP(Table4[[#This Row],[T ID]],Table5[#All],2,FALSE))</f>
        <v>Open network port exploit
(TTP)</v>
      </c>
      <c r="D107" s="211" t="s">
        <v>227</v>
      </c>
      <c r="E107" s="195" t="str">
        <f>IF(VLOOKUP(Table4[[#This Row],[V ID]],Vulnerabilities[#All],3,FALSE)="No","Not in scope",VLOOKUP(Table4[[#This Row],[V ID]],Vulnerabilities[#All],2,FALSE))</f>
        <v>Insecure communications in networks (hospital)</v>
      </c>
      <c r="F107" s="216" t="s">
        <v>113</v>
      </c>
      <c r="G107" s="195" t="str">
        <f>VLOOKUP(Table4[[#This Row],[A ID]],Assets[#All],3,FALSE)</f>
        <v>Tablet OS/network details &amp; Tablet Application</v>
      </c>
      <c r="H107" s="49" t="s">
        <v>339</v>
      </c>
      <c r="I107" s="49"/>
      <c r="J107" s="87" t="s">
        <v>66</v>
      </c>
      <c r="K107" s="87" t="s">
        <v>66</v>
      </c>
      <c r="L107" s="87" t="s">
        <v>57</v>
      </c>
      <c r="M107" s="196" t="s">
        <v>79</v>
      </c>
      <c r="N107" s="157" t="s">
        <v>66</v>
      </c>
      <c r="O107" s="157" t="s">
        <v>57</v>
      </c>
      <c r="P107" s="196" t="s">
        <v>78</v>
      </c>
      <c r="Q107" s="196" t="s">
        <v>75</v>
      </c>
      <c r="R10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1.6201455599999999</v>
      </c>
      <c r="S107" s="198">
        <f>(1 - ((1 - VLOOKUP(Table4[[#This Row],[Confidentiality]],'Reference - CVSSv3.0'!$B$15:$C$17,2,FALSE)) * (1 - VLOOKUP(Table4[[#This Row],[Integrity]],'Reference - CVSSv3.0'!$B$15:$C$17,2,FALSE)) *  (1 - VLOOKUP(Table4[[#This Row],[Availability]],'Reference - CVSSv3.0'!$B$15:$C$17,2,FALSE))))</f>
        <v>0.84899199999999997</v>
      </c>
      <c r="T107" s="198">
        <f>IF(Table4[[#This Row],[Scope]]="Unchanged",6.42*Table4[[#This Row],[ISC Base]],IF(Table4[[#This Row],[Scope]]="Changed",7.52*(Table4[[#This Row],[ISC Base]] - 0.029) - 3.25 * POWER(Table4[[#This Row],[ISC Base]] - 0.02,15),NA()))</f>
        <v>5.4505286399999999</v>
      </c>
      <c r="U107" s="198">
        <f>IF(Table4[[#This Row],[Impact Sub Score]]&lt;=0,0,IF(Table4[[#This Row],[Scope]]="Unchanged",ROUNDUP(MIN((Table4[[#This Row],[Impact Sub Score]]+Table4[[#This Row],[Exploitability Sub Score]]),10),1),IF(Table4[[#This Row],[Scope]]="Changed",ROUNDUP(MIN((1.08*(Table4[[#This Row],[Impact Sub Score]]+Table4[[#This Row],[Exploitability Sub Score]])),10),1),NA())))</f>
        <v>7.1</v>
      </c>
      <c r="V107" s="182" t="s">
        <v>56</v>
      </c>
      <c r="W107" s="198">
        <f>VLOOKUP(Table4[[#This Row],[Threat Event Initiation]],NIST_Scale_LOAI[],2,FALSE)</f>
        <v>0.5</v>
      </c>
      <c r="X107"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6.3</v>
      </c>
      <c r="Y107"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7" s="49" t="s">
        <v>311</v>
      </c>
      <c r="AA107" s="187"/>
      <c r="AB107" s="206"/>
      <c r="AC107" s="187"/>
      <c r="AD107" s="187"/>
      <c r="AE107" s="187"/>
      <c r="AF107" s="196"/>
      <c r="AG107" s="196"/>
      <c r="AH107" s="196"/>
      <c r="AI107" s="196"/>
      <c r="AJ107" s="201"/>
      <c r="AK10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7" s="198" t="e">
        <f>(1 - ((1 - VLOOKUP(Table4[[#This Row],[ConfidentialityP]],'Reference - CVSSv3.0'!$B$15:$C$17,2,FALSE)) * (1 - VLOOKUP(Table4[[#This Row],[IntegrityP]],'Reference - CVSSv3.0'!$B$15:$C$17,2,FALSE)) *  (1 - VLOOKUP(Table4[[#This Row],[AvailabilityP]],'Reference - CVSSv3.0'!$B$15:$C$17,2,FALSE))))</f>
        <v>#N/A</v>
      </c>
      <c r="AM107" s="198" t="e">
        <f>IF(Table4[[#This Row],[ScopeP]]="Unchanged",6.42*Table4[[#This Row],[ISC BaseP]],IF(Table4[[#This Row],[ScopeP]]="Changed",7.52*(Table4[[#This Row],[ISC BaseP]] - 0.029) - 3.25 * POWER(Table4[[#This Row],[ISC BaseP]] - 0.02,15),NA()))</f>
        <v>#N/A</v>
      </c>
      <c r="AN107"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7"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7"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7" s="187"/>
    </row>
    <row r="108" spans="1:43" ht="71.25" x14ac:dyDescent="0.25">
      <c r="A108" s="70">
        <v>104</v>
      </c>
      <c r="B108" s="182" t="s">
        <v>270</v>
      </c>
      <c r="C108" s="195" t="str">
        <f>IF(VLOOKUP(Table4[[#This Row],[T ID]],Table5[#All],5,FALSE)="No","Not in scope",VLOOKUP(Table4[[#This Row],[T ID]],Table5[#All],2,FALSE))</f>
        <v>Brute-force Attack
(CAPEC-112)</v>
      </c>
      <c r="D108" s="212" t="s">
        <v>121</v>
      </c>
      <c r="E108" s="195" t="str">
        <f>IF(VLOOKUP(Table4[[#This Row],[V ID]],Vulnerabilities[#All],3,FALSE)="No","Not in scope",VLOOKUP(Table4[[#This Row],[V ID]],Vulnerabilities[#All],2,FALSE))</f>
        <v>Devices with default passwords needs to be checked for bruteforce attacks</v>
      </c>
      <c r="F108" s="216" t="s">
        <v>108</v>
      </c>
      <c r="G108" s="195" t="str">
        <f>VLOOKUP(Table4[[#This Row],[A ID]],Assets[#All],3,FALSE)</f>
        <v>Smart medic app (Stryker Azure Cloud Web Application)</v>
      </c>
      <c r="H108" s="49" t="s">
        <v>341</v>
      </c>
      <c r="I108" s="49"/>
      <c r="J108" s="87" t="s">
        <v>66</v>
      </c>
      <c r="K108" s="87" t="s">
        <v>66</v>
      </c>
      <c r="L108" s="87" t="s">
        <v>57</v>
      </c>
      <c r="M108" s="196" t="s">
        <v>79</v>
      </c>
      <c r="N108" s="157" t="s">
        <v>66</v>
      </c>
      <c r="O108" s="157" t="s">
        <v>66</v>
      </c>
      <c r="P108" s="196" t="s">
        <v>78</v>
      </c>
      <c r="Q108" s="196" t="s">
        <v>75</v>
      </c>
      <c r="R10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08" s="198">
        <f>(1 - ((1 - VLOOKUP(Table4[[#This Row],[Confidentiality]],'Reference - CVSSv3.0'!$B$15:$C$17,2,FALSE)) * (1 - VLOOKUP(Table4[[#This Row],[Integrity]],'Reference - CVSSv3.0'!$B$15:$C$17,2,FALSE)) *  (1 - VLOOKUP(Table4[[#This Row],[Availability]],'Reference - CVSSv3.0'!$B$15:$C$17,2,FALSE))))</f>
        <v>0.84899199999999997</v>
      </c>
      <c r="T108" s="198">
        <f>IF(Table4[[#This Row],[Scope]]="Unchanged",6.42*Table4[[#This Row],[ISC Base]],IF(Table4[[#This Row],[Scope]]="Changed",7.52*(Table4[[#This Row],[ISC Base]] - 0.029) - 3.25 * POWER(Table4[[#This Row],[ISC Base]] - 0.02,15),NA()))</f>
        <v>5.4505286399999999</v>
      </c>
      <c r="U108"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08" s="182" t="s">
        <v>56</v>
      </c>
      <c r="W108" s="198">
        <f>VLOOKUP(Table4[[#This Row],[Threat Event Initiation]],NIST_Scale_LOAI[],2,FALSE)</f>
        <v>0.5</v>
      </c>
      <c r="X10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0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8" s="49" t="s">
        <v>342</v>
      </c>
      <c r="AA108" s="187"/>
      <c r="AB108" s="206"/>
      <c r="AC108" s="187"/>
      <c r="AD108" s="187"/>
      <c r="AE108" s="187"/>
      <c r="AF108" s="196"/>
      <c r="AG108" s="196"/>
      <c r="AH108" s="196"/>
      <c r="AI108" s="196"/>
      <c r="AJ108" s="201"/>
      <c r="AK10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8" s="198" t="e">
        <f>(1 - ((1 - VLOOKUP(Table4[[#This Row],[ConfidentialityP]],'Reference - CVSSv3.0'!$B$15:$C$17,2,FALSE)) * (1 - VLOOKUP(Table4[[#This Row],[IntegrityP]],'Reference - CVSSv3.0'!$B$15:$C$17,2,FALSE)) *  (1 - VLOOKUP(Table4[[#This Row],[AvailabilityP]],'Reference - CVSSv3.0'!$B$15:$C$17,2,FALSE))))</f>
        <v>#N/A</v>
      </c>
      <c r="AM108" s="198" t="e">
        <f>IF(Table4[[#This Row],[ScopeP]]="Unchanged",6.42*Table4[[#This Row],[ISC BaseP]],IF(Table4[[#This Row],[ScopeP]]="Changed",7.52*(Table4[[#This Row],[ISC BaseP]] - 0.029) - 3.25 * POWER(Table4[[#This Row],[ISC BaseP]] - 0.02,15),NA()))</f>
        <v>#N/A</v>
      </c>
      <c r="AN10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8" s="187"/>
    </row>
    <row r="109" spans="1:43" ht="71.25" x14ac:dyDescent="0.25">
      <c r="A109" s="70">
        <v>105</v>
      </c>
      <c r="B109" s="182" t="s">
        <v>270</v>
      </c>
      <c r="C109" s="195" t="str">
        <f>IF(VLOOKUP(Table4[[#This Row],[T ID]],Table5[#All],5,FALSE)="No","Not in scope",VLOOKUP(Table4[[#This Row],[T ID]],Table5[#All],2,FALSE))</f>
        <v>Brute-force Attack
(CAPEC-112)</v>
      </c>
      <c r="D109" s="212" t="s">
        <v>121</v>
      </c>
      <c r="E109" s="195" t="str">
        <f>IF(VLOOKUP(Table4[[#This Row],[V ID]],Vulnerabilities[#All],3,FALSE)="No","Not in scope",VLOOKUP(Table4[[#This Row],[V ID]],Vulnerabilities[#All],2,FALSE))</f>
        <v>Devices with default passwords needs to be checked for bruteforce attacks</v>
      </c>
      <c r="F109" s="216" t="s">
        <v>109</v>
      </c>
      <c r="G109" s="195" t="str">
        <f>VLOOKUP(Table4[[#This Row],[A ID]],Assets[#All],3,FALSE)</f>
        <v>Smart medic app (Azure Portal Administrator)</v>
      </c>
      <c r="H109" s="49" t="s">
        <v>341</v>
      </c>
      <c r="I109" s="49"/>
      <c r="J109" s="87" t="s">
        <v>66</v>
      </c>
      <c r="K109" s="87" t="s">
        <v>66</v>
      </c>
      <c r="L109" s="87" t="s">
        <v>57</v>
      </c>
      <c r="M109" s="196" t="s">
        <v>79</v>
      </c>
      <c r="N109" s="157" t="s">
        <v>66</v>
      </c>
      <c r="O109" s="157" t="s">
        <v>66</v>
      </c>
      <c r="P109" s="196" t="s">
        <v>78</v>
      </c>
      <c r="Q109" s="196" t="s">
        <v>75</v>
      </c>
      <c r="R10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09" s="198">
        <f>(1 - ((1 - VLOOKUP(Table4[[#This Row],[Confidentiality]],'Reference - CVSSv3.0'!$B$15:$C$17,2,FALSE)) * (1 - VLOOKUP(Table4[[#This Row],[Integrity]],'Reference - CVSSv3.0'!$B$15:$C$17,2,FALSE)) *  (1 - VLOOKUP(Table4[[#This Row],[Availability]],'Reference - CVSSv3.0'!$B$15:$C$17,2,FALSE))))</f>
        <v>0.84899199999999997</v>
      </c>
      <c r="T109" s="198">
        <f>IF(Table4[[#This Row],[Scope]]="Unchanged",6.42*Table4[[#This Row],[ISC Base]],IF(Table4[[#This Row],[Scope]]="Changed",7.52*(Table4[[#This Row],[ISC Base]] - 0.029) - 3.25 * POWER(Table4[[#This Row],[ISC Base]] - 0.02,15),NA()))</f>
        <v>5.4505286399999999</v>
      </c>
      <c r="U109"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09" s="182" t="s">
        <v>56</v>
      </c>
      <c r="W109" s="198">
        <f>VLOOKUP(Table4[[#This Row],[Threat Event Initiation]],NIST_Scale_LOAI[],2,FALSE)</f>
        <v>0.5</v>
      </c>
      <c r="X10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0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9" s="49" t="s">
        <v>342</v>
      </c>
      <c r="AA109" s="187"/>
      <c r="AB109" s="206"/>
      <c r="AC109" s="187"/>
      <c r="AD109" s="187"/>
      <c r="AE109" s="187"/>
      <c r="AF109" s="196"/>
      <c r="AG109" s="196"/>
      <c r="AH109" s="196"/>
      <c r="AI109" s="196"/>
      <c r="AJ109" s="201"/>
      <c r="AK10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09" s="198" t="e">
        <f>(1 - ((1 - VLOOKUP(Table4[[#This Row],[ConfidentialityP]],'Reference - CVSSv3.0'!$B$15:$C$17,2,FALSE)) * (1 - VLOOKUP(Table4[[#This Row],[IntegrityP]],'Reference - CVSSv3.0'!$B$15:$C$17,2,FALSE)) *  (1 - VLOOKUP(Table4[[#This Row],[AvailabilityP]],'Reference - CVSSv3.0'!$B$15:$C$17,2,FALSE))))</f>
        <v>#N/A</v>
      </c>
      <c r="AM109" s="198" t="e">
        <f>IF(Table4[[#This Row],[ScopeP]]="Unchanged",6.42*Table4[[#This Row],[ISC BaseP]],IF(Table4[[#This Row],[ScopeP]]="Changed",7.52*(Table4[[#This Row],[ISC BaseP]] - 0.029) - 3.25 * POWER(Table4[[#This Row],[ISC BaseP]] - 0.02,15),NA()))</f>
        <v>#N/A</v>
      </c>
      <c r="AN10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9" s="187"/>
    </row>
    <row r="110" spans="1:43" ht="71.25" x14ac:dyDescent="0.25">
      <c r="A110" s="70">
        <v>106</v>
      </c>
      <c r="B110" s="182" t="s">
        <v>270</v>
      </c>
      <c r="C110" s="195" t="str">
        <f>IF(VLOOKUP(Table4[[#This Row],[T ID]],Table5[#All],5,FALSE)="No","Not in scope",VLOOKUP(Table4[[#This Row],[T ID]],Table5[#All],2,FALSE))</f>
        <v>Brute-force Attack
(CAPEC-112)</v>
      </c>
      <c r="D110" s="212" t="s">
        <v>121</v>
      </c>
      <c r="E110" s="195" t="str">
        <f>IF(VLOOKUP(Table4[[#This Row],[V ID]],Vulnerabilities[#All],3,FALSE)="No","Not in scope",VLOOKUP(Table4[[#This Row],[V ID]],Vulnerabilities[#All],2,FALSE))</f>
        <v>Devices with default passwords needs to be checked for bruteforce attacks</v>
      </c>
      <c r="F110" s="216" t="s">
        <v>110</v>
      </c>
      <c r="G110" s="195" t="str">
        <f>VLOOKUP(Table4[[#This Row],[A ID]],Assets[#All],3,FALSE)</f>
        <v>Azure Cloud DataBase</v>
      </c>
      <c r="H110" s="49" t="s">
        <v>341</v>
      </c>
      <c r="I110" s="49"/>
      <c r="J110" s="87" t="s">
        <v>66</v>
      </c>
      <c r="K110" s="87" t="s">
        <v>66</v>
      </c>
      <c r="L110" s="87" t="s">
        <v>57</v>
      </c>
      <c r="M110" s="196" t="s">
        <v>79</v>
      </c>
      <c r="N110" s="157" t="s">
        <v>66</v>
      </c>
      <c r="O110" s="157" t="s">
        <v>66</v>
      </c>
      <c r="P110" s="196" t="s">
        <v>78</v>
      </c>
      <c r="Q110" s="196" t="s">
        <v>75</v>
      </c>
      <c r="R11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0" s="198">
        <f>(1 - ((1 - VLOOKUP(Table4[[#This Row],[Confidentiality]],'Reference - CVSSv3.0'!$B$15:$C$17,2,FALSE)) * (1 - VLOOKUP(Table4[[#This Row],[Integrity]],'Reference - CVSSv3.0'!$B$15:$C$17,2,FALSE)) *  (1 - VLOOKUP(Table4[[#This Row],[Availability]],'Reference - CVSSv3.0'!$B$15:$C$17,2,FALSE))))</f>
        <v>0.84899199999999997</v>
      </c>
      <c r="T110" s="198">
        <f>IF(Table4[[#This Row],[Scope]]="Unchanged",6.42*Table4[[#This Row],[ISC Base]],IF(Table4[[#This Row],[Scope]]="Changed",7.52*(Table4[[#This Row],[ISC Base]] - 0.029) - 3.25 * POWER(Table4[[#This Row],[ISC Base]] - 0.02,15),NA()))</f>
        <v>5.4505286399999999</v>
      </c>
      <c r="U110"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0" s="182" t="s">
        <v>56</v>
      </c>
      <c r="W110" s="198">
        <f>VLOOKUP(Table4[[#This Row],[Threat Event Initiation]],NIST_Scale_LOAI[],2,FALSE)</f>
        <v>0.5</v>
      </c>
      <c r="X11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0" s="49" t="s">
        <v>342</v>
      </c>
      <c r="AA110" s="187"/>
      <c r="AB110" s="206"/>
      <c r="AC110" s="187"/>
      <c r="AD110" s="187"/>
      <c r="AE110" s="187"/>
      <c r="AF110" s="196"/>
      <c r="AG110" s="196"/>
      <c r="AH110" s="196"/>
      <c r="AI110" s="196"/>
      <c r="AJ110" s="201"/>
      <c r="AK11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0" s="198" t="e">
        <f>(1 - ((1 - VLOOKUP(Table4[[#This Row],[ConfidentialityP]],'Reference - CVSSv3.0'!$B$15:$C$17,2,FALSE)) * (1 - VLOOKUP(Table4[[#This Row],[IntegrityP]],'Reference - CVSSv3.0'!$B$15:$C$17,2,FALSE)) *  (1 - VLOOKUP(Table4[[#This Row],[AvailabilityP]],'Reference - CVSSv3.0'!$B$15:$C$17,2,FALSE))))</f>
        <v>#N/A</v>
      </c>
      <c r="AM110" s="198" t="e">
        <f>IF(Table4[[#This Row],[ScopeP]]="Unchanged",6.42*Table4[[#This Row],[ISC BaseP]],IF(Table4[[#This Row],[ScopeP]]="Changed",7.52*(Table4[[#This Row],[ISC BaseP]] - 0.029) - 3.25 * POWER(Table4[[#This Row],[ISC BaseP]] - 0.02,15),NA()))</f>
        <v>#N/A</v>
      </c>
      <c r="AN11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0" s="187"/>
    </row>
    <row r="111" spans="1:43" ht="71.25" x14ac:dyDescent="0.25">
      <c r="A111" s="70">
        <v>107</v>
      </c>
      <c r="B111" s="182" t="s">
        <v>270</v>
      </c>
      <c r="C111" s="195" t="str">
        <f>IF(VLOOKUP(Table4[[#This Row],[T ID]],Table5[#All],5,FALSE)="No","Not in scope",VLOOKUP(Table4[[#This Row],[T ID]],Table5[#All],2,FALSE))</f>
        <v>Brute-force Attack
(CAPEC-112)</v>
      </c>
      <c r="D111" s="212" t="s">
        <v>225</v>
      </c>
      <c r="E111" s="195" t="str">
        <f>IF(VLOOKUP(Table4[[#This Row],[V ID]],Vulnerabilities[#All],3,FALSE)="No","Not in scope",VLOOKUP(Table4[[#This Row],[V ID]],Vulnerabilities[#All],2,FALSE))</f>
        <v>The password complexity or location vulnerability. Like weak passwords and hardcoded passwords.</v>
      </c>
      <c r="F111" s="216" t="s">
        <v>108</v>
      </c>
      <c r="G111" s="195" t="str">
        <f>VLOOKUP(Table4[[#This Row],[A ID]],Assets[#All],3,FALSE)</f>
        <v>Smart medic app (Stryker Azure Cloud Web Application)</v>
      </c>
      <c r="H111" s="49" t="s">
        <v>341</v>
      </c>
      <c r="I111" s="49"/>
      <c r="J111" s="87" t="s">
        <v>66</v>
      </c>
      <c r="K111" s="87" t="s">
        <v>66</v>
      </c>
      <c r="L111" s="87" t="s">
        <v>57</v>
      </c>
      <c r="M111" s="196" t="s">
        <v>79</v>
      </c>
      <c r="N111" s="157" t="s">
        <v>66</v>
      </c>
      <c r="O111" s="157" t="s">
        <v>66</v>
      </c>
      <c r="P111" s="196" t="s">
        <v>78</v>
      </c>
      <c r="Q111" s="196" t="s">
        <v>75</v>
      </c>
      <c r="R11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1" s="198">
        <f>(1 - ((1 - VLOOKUP(Table4[[#This Row],[Confidentiality]],'Reference - CVSSv3.0'!$B$15:$C$17,2,FALSE)) * (1 - VLOOKUP(Table4[[#This Row],[Integrity]],'Reference - CVSSv3.0'!$B$15:$C$17,2,FALSE)) *  (1 - VLOOKUP(Table4[[#This Row],[Availability]],'Reference - CVSSv3.0'!$B$15:$C$17,2,FALSE))))</f>
        <v>0.84899199999999997</v>
      </c>
      <c r="T111" s="198">
        <f>IF(Table4[[#This Row],[Scope]]="Unchanged",6.42*Table4[[#This Row],[ISC Base]],IF(Table4[[#This Row],[Scope]]="Changed",7.52*(Table4[[#This Row],[ISC Base]] - 0.029) - 3.25 * POWER(Table4[[#This Row],[ISC Base]] - 0.02,15),NA()))</f>
        <v>5.4505286399999999</v>
      </c>
      <c r="U111"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1" s="182" t="s">
        <v>56</v>
      </c>
      <c r="W111" s="198">
        <f>VLOOKUP(Table4[[#This Row],[Threat Event Initiation]],NIST_Scale_LOAI[],2,FALSE)</f>
        <v>0.5</v>
      </c>
      <c r="X11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1" s="49" t="s">
        <v>328</v>
      </c>
      <c r="AA111" s="187"/>
      <c r="AB111" s="206"/>
      <c r="AC111" s="187"/>
      <c r="AD111" s="187"/>
      <c r="AE111" s="187"/>
      <c r="AF111" s="196"/>
      <c r="AG111" s="196"/>
      <c r="AH111" s="196"/>
      <c r="AI111" s="196"/>
      <c r="AJ111" s="201"/>
      <c r="AK11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1" s="198" t="e">
        <f>(1 - ((1 - VLOOKUP(Table4[[#This Row],[ConfidentialityP]],'Reference - CVSSv3.0'!$B$15:$C$17,2,FALSE)) * (1 - VLOOKUP(Table4[[#This Row],[IntegrityP]],'Reference - CVSSv3.0'!$B$15:$C$17,2,FALSE)) *  (1 - VLOOKUP(Table4[[#This Row],[AvailabilityP]],'Reference - CVSSv3.0'!$B$15:$C$17,2,FALSE))))</f>
        <v>#N/A</v>
      </c>
      <c r="AM111" s="198" t="e">
        <f>IF(Table4[[#This Row],[ScopeP]]="Unchanged",6.42*Table4[[#This Row],[ISC BaseP]],IF(Table4[[#This Row],[ScopeP]]="Changed",7.52*(Table4[[#This Row],[ISC BaseP]] - 0.029) - 3.25 * POWER(Table4[[#This Row],[ISC BaseP]] - 0.02,15),NA()))</f>
        <v>#N/A</v>
      </c>
      <c r="AN11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1" s="187"/>
    </row>
    <row r="112" spans="1:43" ht="71.25" x14ac:dyDescent="0.25">
      <c r="A112" s="70">
        <v>108</v>
      </c>
      <c r="B112" s="182" t="s">
        <v>270</v>
      </c>
      <c r="C112" s="195" t="str">
        <f>IF(VLOOKUP(Table4[[#This Row],[T ID]],Table5[#All],5,FALSE)="No","Not in scope",VLOOKUP(Table4[[#This Row],[T ID]],Table5[#All],2,FALSE))</f>
        <v>Brute-force Attack
(CAPEC-112)</v>
      </c>
      <c r="D112" s="212" t="s">
        <v>225</v>
      </c>
      <c r="E112" s="195" t="str">
        <f>IF(VLOOKUP(Table4[[#This Row],[V ID]],Vulnerabilities[#All],3,FALSE)="No","Not in scope",VLOOKUP(Table4[[#This Row],[V ID]],Vulnerabilities[#All],2,FALSE))</f>
        <v>The password complexity or location vulnerability. Like weak passwords and hardcoded passwords.</v>
      </c>
      <c r="F112" s="216" t="s">
        <v>109</v>
      </c>
      <c r="G112" s="195" t="str">
        <f>VLOOKUP(Table4[[#This Row],[A ID]],Assets[#All],3,FALSE)</f>
        <v>Smart medic app (Azure Portal Administrator)</v>
      </c>
      <c r="H112" s="49" t="s">
        <v>341</v>
      </c>
      <c r="I112" s="49"/>
      <c r="J112" s="87" t="s">
        <v>66</v>
      </c>
      <c r="K112" s="87" t="s">
        <v>66</v>
      </c>
      <c r="L112" s="87" t="s">
        <v>57</v>
      </c>
      <c r="M112" s="196" t="s">
        <v>79</v>
      </c>
      <c r="N112" s="157" t="s">
        <v>66</v>
      </c>
      <c r="O112" s="157" t="s">
        <v>66</v>
      </c>
      <c r="P112" s="196" t="s">
        <v>78</v>
      </c>
      <c r="Q112" s="196" t="s">
        <v>75</v>
      </c>
      <c r="R11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2" s="198">
        <f>(1 - ((1 - VLOOKUP(Table4[[#This Row],[Confidentiality]],'Reference - CVSSv3.0'!$B$15:$C$17,2,FALSE)) * (1 - VLOOKUP(Table4[[#This Row],[Integrity]],'Reference - CVSSv3.0'!$B$15:$C$17,2,FALSE)) *  (1 - VLOOKUP(Table4[[#This Row],[Availability]],'Reference - CVSSv3.0'!$B$15:$C$17,2,FALSE))))</f>
        <v>0.84899199999999997</v>
      </c>
      <c r="T112" s="198">
        <f>IF(Table4[[#This Row],[Scope]]="Unchanged",6.42*Table4[[#This Row],[ISC Base]],IF(Table4[[#This Row],[Scope]]="Changed",7.52*(Table4[[#This Row],[ISC Base]] - 0.029) - 3.25 * POWER(Table4[[#This Row],[ISC Base]] - 0.02,15),NA()))</f>
        <v>5.4505286399999999</v>
      </c>
      <c r="U112"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2" s="182" t="s">
        <v>56</v>
      </c>
      <c r="W112" s="198">
        <f>VLOOKUP(Table4[[#This Row],[Threat Event Initiation]],NIST_Scale_LOAI[],2,FALSE)</f>
        <v>0.5</v>
      </c>
      <c r="X11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2" s="49" t="s">
        <v>328</v>
      </c>
      <c r="AA112" s="187"/>
      <c r="AB112" s="206"/>
      <c r="AC112" s="187"/>
      <c r="AD112" s="187"/>
      <c r="AE112" s="187"/>
      <c r="AF112" s="196"/>
      <c r="AG112" s="196"/>
      <c r="AH112" s="196"/>
      <c r="AI112" s="196"/>
      <c r="AJ112" s="201"/>
      <c r="AK11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2" s="198" t="e">
        <f>(1 - ((1 - VLOOKUP(Table4[[#This Row],[ConfidentialityP]],'Reference - CVSSv3.0'!$B$15:$C$17,2,FALSE)) * (1 - VLOOKUP(Table4[[#This Row],[IntegrityP]],'Reference - CVSSv3.0'!$B$15:$C$17,2,FALSE)) *  (1 - VLOOKUP(Table4[[#This Row],[AvailabilityP]],'Reference - CVSSv3.0'!$B$15:$C$17,2,FALSE))))</f>
        <v>#N/A</v>
      </c>
      <c r="AM112" s="198" t="e">
        <f>IF(Table4[[#This Row],[ScopeP]]="Unchanged",6.42*Table4[[#This Row],[ISC BaseP]],IF(Table4[[#This Row],[ScopeP]]="Changed",7.52*(Table4[[#This Row],[ISC BaseP]] - 0.029) - 3.25 * POWER(Table4[[#This Row],[ISC BaseP]] - 0.02,15),NA()))</f>
        <v>#N/A</v>
      </c>
      <c r="AN11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2" s="187"/>
    </row>
    <row r="113" spans="1:44" ht="71.25" x14ac:dyDescent="0.25">
      <c r="A113" s="70">
        <v>109</v>
      </c>
      <c r="B113" s="182" t="s">
        <v>270</v>
      </c>
      <c r="C113" s="195" t="str">
        <f>IF(VLOOKUP(Table4[[#This Row],[T ID]],Table5[#All],5,FALSE)="No","Not in scope",VLOOKUP(Table4[[#This Row],[T ID]],Table5[#All],2,FALSE))</f>
        <v>Brute-force Attack
(CAPEC-112)</v>
      </c>
      <c r="D113" s="212" t="s">
        <v>225</v>
      </c>
      <c r="E113" s="195" t="str">
        <f>IF(VLOOKUP(Table4[[#This Row],[V ID]],Vulnerabilities[#All],3,FALSE)="No","Not in scope",VLOOKUP(Table4[[#This Row],[V ID]],Vulnerabilities[#All],2,FALSE))</f>
        <v>The password complexity or location vulnerability. Like weak passwords and hardcoded passwords.</v>
      </c>
      <c r="F113" s="216" t="s">
        <v>110</v>
      </c>
      <c r="G113" s="195" t="str">
        <f>VLOOKUP(Table4[[#This Row],[A ID]],Assets[#All],3,FALSE)</f>
        <v>Azure Cloud DataBase</v>
      </c>
      <c r="H113" s="49" t="s">
        <v>341</v>
      </c>
      <c r="I113" s="49"/>
      <c r="J113" s="87" t="s">
        <v>66</v>
      </c>
      <c r="K113" s="87" t="s">
        <v>66</v>
      </c>
      <c r="L113" s="87" t="s">
        <v>57</v>
      </c>
      <c r="M113" s="196" t="s">
        <v>79</v>
      </c>
      <c r="N113" s="157" t="s">
        <v>66</v>
      </c>
      <c r="O113" s="157" t="s">
        <v>66</v>
      </c>
      <c r="P113" s="196" t="s">
        <v>78</v>
      </c>
      <c r="Q113" s="196" t="s">
        <v>75</v>
      </c>
      <c r="R11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3" s="198">
        <f>(1 - ((1 - VLOOKUP(Table4[[#This Row],[Confidentiality]],'Reference - CVSSv3.0'!$B$15:$C$17,2,FALSE)) * (1 - VLOOKUP(Table4[[#This Row],[Integrity]],'Reference - CVSSv3.0'!$B$15:$C$17,2,FALSE)) *  (1 - VLOOKUP(Table4[[#This Row],[Availability]],'Reference - CVSSv3.0'!$B$15:$C$17,2,FALSE))))</f>
        <v>0.84899199999999997</v>
      </c>
      <c r="T113" s="198">
        <f>IF(Table4[[#This Row],[Scope]]="Unchanged",6.42*Table4[[#This Row],[ISC Base]],IF(Table4[[#This Row],[Scope]]="Changed",7.52*(Table4[[#This Row],[ISC Base]] - 0.029) - 3.25 * POWER(Table4[[#This Row],[ISC Base]] - 0.02,15),NA()))</f>
        <v>5.4505286399999999</v>
      </c>
      <c r="U113"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3" s="182" t="s">
        <v>56</v>
      </c>
      <c r="W113" s="198">
        <f>VLOOKUP(Table4[[#This Row],[Threat Event Initiation]],NIST_Scale_LOAI[],2,FALSE)</f>
        <v>0.5</v>
      </c>
      <c r="X11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3" s="49" t="s">
        <v>329</v>
      </c>
      <c r="AA113" s="187"/>
      <c r="AB113" s="206"/>
      <c r="AC113" s="187"/>
      <c r="AD113" s="187"/>
      <c r="AE113" s="187"/>
      <c r="AF113" s="196"/>
      <c r="AG113" s="196"/>
      <c r="AH113" s="196"/>
      <c r="AI113" s="196"/>
      <c r="AJ113" s="201"/>
      <c r="AK11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3" s="198" t="e">
        <f>(1 - ((1 - VLOOKUP(Table4[[#This Row],[ConfidentialityP]],'Reference - CVSSv3.0'!$B$15:$C$17,2,FALSE)) * (1 - VLOOKUP(Table4[[#This Row],[IntegrityP]],'Reference - CVSSv3.0'!$B$15:$C$17,2,FALSE)) *  (1 - VLOOKUP(Table4[[#This Row],[AvailabilityP]],'Reference - CVSSv3.0'!$B$15:$C$17,2,FALSE))))</f>
        <v>#N/A</v>
      </c>
      <c r="AM113" s="198" t="e">
        <f>IF(Table4[[#This Row],[ScopeP]]="Unchanged",6.42*Table4[[#This Row],[ISC BaseP]],IF(Table4[[#This Row],[ScopeP]]="Changed",7.52*(Table4[[#This Row],[ISC BaseP]] - 0.029) - 3.25 * POWER(Table4[[#This Row],[ISC BaseP]] - 0.02,15),NA()))</f>
        <v>#N/A</v>
      </c>
      <c r="AN11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3" s="187"/>
    </row>
    <row r="114" spans="1:44" ht="71.25" x14ac:dyDescent="0.25">
      <c r="A114" s="70">
        <v>110</v>
      </c>
      <c r="B114" s="182" t="s">
        <v>270</v>
      </c>
      <c r="C114" s="195" t="str">
        <f>IF(VLOOKUP(Table4[[#This Row],[T ID]],Table5[#All],5,FALSE)="No","Not in scope",VLOOKUP(Table4[[#This Row],[T ID]],Table5[#All],2,FALSE))</f>
        <v>Brute-force Attack
(CAPEC-112)</v>
      </c>
      <c r="D114" s="212" t="s">
        <v>226</v>
      </c>
      <c r="E114" s="195" t="str">
        <f>IF(VLOOKUP(Table4[[#This Row],[V ID]],Vulnerabilities[#All],3,FALSE)="No","Not in scope",VLOOKUP(Table4[[#This Row],[V ID]],Vulnerabilities[#All],2,FALSE))</f>
        <v>Checking authentication modes for possible hacks and bypasses</v>
      </c>
      <c r="F114" s="216" t="s">
        <v>108</v>
      </c>
      <c r="G114" s="195" t="str">
        <f>VLOOKUP(Table4[[#This Row],[A ID]],Assets[#All],3,FALSE)</f>
        <v>Smart medic app (Stryker Azure Cloud Web Application)</v>
      </c>
      <c r="H114" s="49" t="s">
        <v>341</v>
      </c>
      <c r="I114" s="49"/>
      <c r="J114" s="87" t="s">
        <v>66</v>
      </c>
      <c r="K114" s="87" t="s">
        <v>66</v>
      </c>
      <c r="L114" s="87" t="s">
        <v>57</v>
      </c>
      <c r="M114" s="196" t="s">
        <v>79</v>
      </c>
      <c r="N114" s="157" t="s">
        <v>66</v>
      </c>
      <c r="O114" s="157" t="s">
        <v>66</v>
      </c>
      <c r="P114" s="196" t="s">
        <v>78</v>
      </c>
      <c r="Q114" s="196" t="s">
        <v>75</v>
      </c>
      <c r="R11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4" s="198">
        <f>(1 - ((1 - VLOOKUP(Table4[[#This Row],[Confidentiality]],'Reference - CVSSv3.0'!$B$15:$C$17,2,FALSE)) * (1 - VLOOKUP(Table4[[#This Row],[Integrity]],'Reference - CVSSv3.0'!$B$15:$C$17,2,FALSE)) *  (1 - VLOOKUP(Table4[[#This Row],[Availability]],'Reference - CVSSv3.0'!$B$15:$C$17,2,FALSE))))</f>
        <v>0.84899199999999997</v>
      </c>
      <c r="T114" s="198">
        <f>IF(Table4[[#This Row],[Scope]]="Unchanged",6.42*Table4[[#This Row],[ISC Base]],IF(Table4[[#This Row],[Scope]]="Changed",7.52*(Table4[[#This Row],[ISC Base]] - 0.029) - 3.25 * POWER(Table4[[#This Row],[ISC Base]] - 0.02,15),NA()))</f>
        <v>5.4505286399999999</v>
      </c>
      <c r="U114"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4" s="182" t="s">
        <v>56</v>
      </c>
      <c r="W114" s="198">
        <f>VLOOKUP(Table4[[#This Row],[Threat Event Initiation]],NIST_Scale_LOAI[],2,FALSE)</f>
        <v>0.5</v>
      </c>
      <c r="X11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4" s="225" t="s">
        <v>307</v>
      </c>
      <c r="AA114" s="187"/>
      <c r="AB114" s="206"/>
      <c r="AC114" s="187"/>
      <c r="AD114" s="187"/>
      <c r="AE114" s="187"/>
      <c r="AF114" s="196"/>
      <c r="AG114" s="196"/>
      <c r="AH114" s="196"/>
      <c r="AI114" s="196"/>
      <c r="AJ114" s="201"/>
      <c r="AK11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4" s="198" t="e">
        <f>(1 - ((1 - VLOOKUP(Table4[[#This Row],[ConfidentialityP]],'Reference - CVSSv3.0'!$B$15:$C$17,2,FALSE)) * (1 - VLOOKUP(Table4[[#This Row],[IntegrityP]],'Reference - CVSSv3.0'!$B$15:$C$17,2,FALSE)) *  (1 - VLOOKUP(Table4[[#This Row],[AvailabilityP]],'Reference - CVSSv3.0'!$B$15:$C$17,2,FALSE))))</f>
        <v>#N/A</v>
      </c>
      <c r="AM114" s="198" t="e">
        <f>IF(Table4[[#This Row],[ScopeP]]="Unchanged",6.42*Table4[[#This Row],[ISC BaseP]],IF(Table4[[#This Row],[ScopeP]]="Changed",7.52*(Table4[[#This Row],[ISC BaseP]] - 0.029) - 3.25 * POWER(Table4[[#This Row],[ISC BaseP]] - 0.02,15),NA()))</f>
        <v>#N/A</v>
      </c>
      <c r="AN11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4" s="187"/>
    </row>
    <row r="115" spans="1:44" ht="71.25" x14ac:dyDescent="0.25">
      <c r="A115" s="70">
        <v>111</v>
      </c>
      <c r="B115" s="182" t="s">
        <v>270</v>
      </c>
      <c r="C115" s="195" t="str">
        <f>IF(VLOOKUP(Table4[[#This Row],[T ID]],Table5[#All],5,FALSE)="No","Not in scope",VLOOKUP(Table4[[#This Row],[T ID]],Table5[#All],2,FALSE))</f>
        <v>Brute-force Attack
(CAPEC-112)</v>
      </c>
      <c r="D115" s="212" t="s">
        <v>226</v>
      </c>
      <c r="E115" s="195" t="str">
        <f>IF(VLOOKUP(Table4[[#This Row],[V ID]],Vulnerabilities[#All],3,FALSE)="No","Not in scope",VLOOKUP(Table4[[#This Row],[V ID]],Vulnerabilities[#All],2,FALSE))</f>
        <v>Checking authentication modes for possible hacks and bypasses</v>
      </c>
      <c r="F115" s="216" t="s">
        <v>109</v>
      </c>
      <c r="G115" s="195" t="str">
        <f>VLOOKUP(Table4[[#This Row],[A ID]],Assets[#All],3,FALSE)</f>
        <v>Smart medic app (Azure Portal Administrator)</v>
      </c>
      <c r="H115" s="49" t="s">
        <v>341</v>
      </c>
      <c r="I115" s="49"/>
      <c r="J115" s="87" t="s">
        <v>66</v>
      </c>
      <c r="K115" s="87" t="s">
        <v>66</v>
      </c>
      <c r="L115" s="87" t="s">
        <v>57</v>
      </c>
      <c r="M115" s="196" t="s">
        <v>79</v>
      </c>
      <c r="N115" s="157" t="s">
        <v>66</v>
      </c>
      <c r="O115" s="157" t="s">
        <v>66</v>
      </c>
      <c r="P115" s="196" t="s">
        <v>78</v>
      </c>
      <c r="Q115" s="196" t="s">
        <v>75</v>
      </c>
      <c r="R115"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5" s="198">
        <f>(1 - ((1 - VLOOKUP(Table4[[#This Row],[Confidentiality]],'Reference - CVSSv3.0'!$B$15:$C$17,2,FALSE)) * (1 - VLOOKUP(Table4[[#This Row],[Integrity]],'Reference - CVSSv3.0'!$B$15:$C$17,2,FALSE)) *  (1 - VLOOKUP(Table4[[#This Row],[Availability]],'Reference - CVSSv3.0'!$B$15:$C$17,2,FALSE))))</f>
        <v>0.84899199999999997</v>
      </c>
      <c r="T115" s="198">
        <f>IF(Table4[[#This Row],[Scope]]="Unchanged",6.42*Table4[[#This Row],[ISC Base]],IF(Table4[[#This Row],[Scope]]="Changed",7.52*(Table4[[#This Row],[ISC Base]] - 0.029) - 3.25 * POWER(Table4[[#This Row],[ISC Base]] - 0.02,15),NA()))</f>
        <v>5.4505286399999999</v>
      </c>
      <c r="U115" s="19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5" s="182" t="s">
        <v>56</v>
      </c>
      <c r="W115" s="198">
        <f>VLOOKUP(Table4[[#This Row],[Threat Event Initiation]],NIST_Scale_LOAI[],2,FALSE)</f>
        <v>0.5</v>
      </c>
      <c r="X115"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5"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5" s="225" t="s">
        <v>308</v>
      </c>
      <c r="AA115" s="187"/>
      <c r="AB115" s="206"/>
      <c r="AC115" s="187"/>
      <c r="AD115" s="187"/>
      <c r="AE115" s="187"/>
      <c r="AF115" s="196"/>
      <c r="AG115" s="196"/>
      <c r="AH115" s="196"/>
      <c r="AI115" s="196"/>
      <c r="AJ115" s="201"/>
      <c r="AK115"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5" s="198" t="e">
        <f>(1 - ((1 - VLOOKUP(Table4[[#This Row],[ConfidentialityP]],'Reference - CVSSv3.0'!$B$15:$C$17,2,FALSE)) * (1 - VLOOKUP(Table4[[#This Row],[IntegrityP]],'Reference - CVSSv3.0'!$B$15:$C$17,2,FALSE)) *  (1 - VLOOKUP(Table4[[#This Row],[AvailabilityP]],'Reference - CVSSv3.0'!$B$15:$C$17,2,FALSE))))</f>
        <v>#N/A</v>
      </c>
      <c r="AM115" s="198" t="e">
        <f>IF(Table4[[#This Row],[ScopeP]]="Unchanged",6.42*Table4[[#This Row],[ISC BaseP]],IF(Table4[[#This Row],[ScopeP]]="Changed",7.52*(Table4[[#This Row],[ISC BaseP]] - 0.029) - 3.25 * POWER(Table4[[#This Row],[ISC BaseP]] - 0.02,15),NA()))</f>
        <v>#N/A</v>
      </c>
      <c r="AN115"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5"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5"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5" s="187"/>
    </row>
    <row r="116" spans="1:44" s="235" customFormat="1" ht="128.25" x14ac:dyDescent="0.25">
      <c r="A116" s="70">
        <v>112</v>
      </c>
      <c r="B116" s="222" t="s">
        <v>270</v>
      </c>
      <c r="C116" s="195" t="str">
        <f>IF(VLOOKUP(Table4[[#This Row],[T ID]],Table5[#All],5,FALSE)="No","Not in scope",VLOOKUP(Table4[[#This Row],[T ID]],Table5[#All],2,FALSE))</f>
        <v>Brute-force Attack
(CAPEC-112)</v>
      </c>
      <c r="D116" s="223" t="s">
        <v>258</v>
      </c>
      <c r="E116" s="195" t="str">
        <f>IF(VLOOKUP(Table4[[#This Row],[V ID]],Vulnerabilities[#All],3,FALSE)="No","Not in scope",VLOOKUP(Table4[[#This Row],[V ID]],Vulnerabilities[#All],2,FALSE))</f>
        <v>Weak Encryption Implementaion in data at rest and in motion tactical and design wise</v>
      </c>
      <c r="F116" s="224" t="s">
        <v>120</v>
      </c>
      <c r="G116" s="195" t="str">
        <f>VLOOKUP(Table4[[#This Row],[A ID]],Assets[#All],3,FALSE)</f>
        <v>Data at Rest</v>
      </c>
      <c r="H116" s="225" t="s">
        <v>291</v>
      </c>
      <c r="I116" s="225"/>
      <c r="J116" s="226" t="s">
        <v>66</v>
      </c>
      <c r="K116" s="226" t="s">
        <v>66</v>
      </c>
      <c r="L116" s="226" t="s">
        <v>57</v>
      </c>
      <c r="M116" s="196" t="s">
        <v>80</v>
      </c>
      <c r="N116" s="226" t="s">
        <v>66</v>
      </c>
      <c r="O116" s="157" t="s">
        <v>66</v>
      </c>
      <c r="P116" s="196" t="s">
        <v>78</v>
      </c>
      <c r="Q116" s="227" t="s">
        <v>75</v>
      </c>
      <c r="R116"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0.45653058000000007</v>
      </c>
      <c r="S116" s="198">
        <f>(1 - ((1 - VLOOKUP(Table4[[#This Row],[Confidentiality]],'Reference - CVSSv3.0'!$B$15:$C$17,2,FALSE)) * (1 - VLOOKUP(Table4[[#This Row],[Integrity]],'Reference - CVSSv3.0'!$B$15:$C$17,2,FALSE)) *  (1 - VLOOKUP(Table4[[#This Row],[Availability]],'Reference - CVSSv3.0'!$B$15:$C$17,2,FALSE))))</f>
        <v>0.84899199999999997</v>
      </c>
      <c r="T116" s="198">
        <f>IF(Table4[[#This Row],[Scope]]="Unchanged",6.42*Table4[[#This Row],[ISC Base]],IF(Table4[[#This Row],[Scope]]="Changed",7.52*(Table4[[#This Row],[ISC Base]] - 0.029) - 3.25 * POWER(Table4[[#This Row],[ISC Base]] - 0.02,15),NA()))</f>
        <v>5.4505286399999999</v>
      </c>
      <c r="U116" s="228">
        <f>IF(Table4[[#This Row],[Impact Sub Score]]&lt;=0,0,IF(Table4[[#This Row],[Scope]]="Unchanged",ROUNDUP(MIN((Table4[[#This Row],[Impact Sub Score]]+Table4[[#This Row],[Exploitability Sub Score]]),10),1),IF(Table4[[#This Row],[Scope]]="Changed",ROUNDUP(MIN((1.08*(Table4[[#This Row],[Impact Sub Score]]+Table4[[#This Row],[Exploitability Sub Score]])),10),1),NA())))</f>
        <v>6</v>
      </c>
      <c r="V116" s="182" t="s">
        <v>56</v>
      </c>
      <c r="W116" s="198">
        <f>VLOOKUP(Table4[[#This Row],[Threat Event Initiation]],NIST_Scale_LOAI[],2,FALSE)</f>
        <v>0.5</v>
      </c>
      <c r="X116" s="22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16" s="22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6" s="225" t="s">
        <v>303</v>
      </c>
      <c r="AA116" s="230"/>
      <c r="AB116" s="231"/>
      <c r="AC116" s="230"/>
      <c r="AD116" s="230"/>
      <c r="AE116" s="230"/>
      <c r="AF116" s="227"/>
      <c r="AG116" s="227"/>
      <c r="AH116" s="227"/>
      <c r="AI116" s="227"/>
      <c r="AJ116" s="232"/>
      <c r="AK116"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6" s="198" t="e">
        <f>(1 - ((1 - VLOOKUP(Table4[[#This Row],[ConfidentialityP]],'Reference - CVSSv3.0'!$B$15:$C$17,2,FALSE)) * (1 - VLOOKUP(Table4[[#This Row],[IntegrityP]],'Reference - CVSSv3.0'!$B$15:$C$17,2,FALSE)) *  (1 - VLOOKUP(Table4[[#This Row],[AvailabilityP]],'Reference - CVSSv3.0'!$B$15:$C$17,2,FALSE))))</f>
        <v>#N/A</v>
      </c>
      <c r="AM116" s="198" t="e">
        <f>IF(Table4[[#This Row],[ScopeP]]="Unchanged",6.42*Table4[[#This Row],[ISC BaseP]],IF(Table4[[#This Row],[ScopeP]]="Changed",7.52*(Table4[[#This Row],[ISC BaseP]] - 0.029) - 3.25 * POWER(Table4[[#This Row],[ISC BaseP]] - 0.02,15),NA()))</f>
        <v>#N/A</v>
      </c>
      <c r="AN116" s="22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6" s="22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6" s="23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6" s="230"/>
      <c r="AR116" s="234"/>
    </row>
    <row r="117" spans="1:44" s="235" customFormat="1" ht="85.5" x14ac:dyDescent="0.25">
      <c r="A117" s="70">
        <v>113</v>
      </c>
      <c r="B117" s="222" t="s">
        <v>270</v>
      </c>
      <c r="C117" s="195" t="str">
        <f>IF(VLOOKUP(Table4[[#This Row],[T ID]],Table5[#All],5,FALSE)="No","Not in scope",VLOOKUP(Table4[[#This Row],[T ID]],Table5[#All],2,FALSE))</f>
        <v>Brute-force Attack
(CAPEC-112)</v>
      </c>
      <c r="D117" s="223" t="s">
        <v>258</v>
      </c>
      <c r="E117" s="195" t="str">
        <f>IF(VLOOKUP(Table4[[#This Row],[V ID]],Vulnerabilities[#All],3,FALSE)="No","Not in scope",VLOOKUP(Table4[[#This Row],[V ID]],Vulnerabilities[#All],2,FALSE))</f>
        <v>Weak Encryption Implementaion in data at rest and in motion tactical and design wise</v>
      </c>
      <c r="F117" s="224" t="s">
        <v>107</v>
      </c>
      <c r="G117" s="195" t="str">
        <f>VLOOKUP(Table4[[#This Row],[A ID]],Assets[#All],3,FALSE)</f>
        <v>Data in Motion</v>
      </c>
      <c r="H117" s="225" t="s">
        <v>291</v>
      </c>
      <c r="I117" s="225"/>
      <c r="J117" s="226" t="s">
        <v>66</v>
      </c>
      <c r="K117" s="226" t="s">
        <v>66</v>
      </c>
      <c r="L117" s="226" t="s">
        <v>57</v>
      </c>
      <c r="M117" s="196" t="s">
        <v>79</v>
      </c>
      <c r="N117" s="226" t="s">
        <v>66</v>
      </c>
      <c r="O117" s="157" t="s">
        <v>66</v>
      </c>
      <c r="P117" s="196" t="s">
        <v>78</v>
      </c>
      <c r="Q117" s="227" t="s">
        <v>75</v>
      </c>
      <c r="R117"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0.70554726000000001</v>
      </c>
      <c r="S117" s="198">
        <f>(1 - ((1 - VLOOKUP(Table4[[#This Row],[Confidentiality]],'Reference - CVSSv3.0'!$B$15:$C$17,2,FALSE)) * (1 - VLOOKUP(Table4[[#This Row],[Integrity]],'Reference - CVSSv3.0'!$B$15:$C$17,2,FALSE)) *  (1 - VLOOKUP(Table4[[#This Row],[Availability]],'Reference - CVSSv3.0'!$B$15:$C$17,2,FALSE))))</f>
        <v>0.84899199999999997</v>
      </c>
      <c r="T117" s="198">
        <f>IF(Table4[[#This Row],[Scope]]="Unchanged",6.42*Table4[[#This Row],[ISC Base]],IF(Table4[[#This Row],[Scope]]="Changed",7.52*(Table4[[#This Row],[ISC Base]] - 0.029) - 3.25 * POWER(Table4[[#This Row],[ISC Base]] - 0.02,15),NA()))</f>
        <v>5.4505286399999999</v>
      </c>
      <c r="U117" s="228">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7" s="182" t="s">
        <v>56</v>
      </c>
      <c r="W117" s="198">
        <f>VLOOKUP(Table4[[#This Row],[Threat Event Initiation]],NIST_Scale_LOAI[],2,FALSE)</f>
        <v>0.5</v>
      </c>
      <c r="X117" s="22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5.8999999999999995</v>
      </c>
      <c r="Y117" s="22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7" s="225" t="s">
        <v>309</v>
      </c>
      <c r="AA117" s="230"/>
      <c r="AB117" s="231"/>
      <c r="AC117" s="230"/>
      <c r="AD117" s="230"/>
      <c r="AE117" s="230"/>
      <c r="AF117" s="227"/>
      <c r="AG117" s="227"/>
      <c r="AH117" s="227"/>
      <c r="AI117" s="227"/>
      <c r="AJ117" s="232"/>
      <c r="AK117"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7" s="198" t="e">
        <f>(1 - ((1 - VLOOKUP(Table4[[#This Row],[ConfidentialityP]],'Reference - CVSSv3.0'!$B$15:$C$17,2,FALSE)) * (1 - VLOOKUP(Table4[[#This Row],[IntegrityP]],'Reference - CVSSv3.0'!$B$15:$C$17,2,FALSE)) *  (1 - VLOOKUP(Table4[[#This Row],[AvailabilityP]],'Reference - CVSSv3.0'!$B$15:$C$17,2,FALSE))))</f>
        <v>#N/A</v>
      </c>
      <c r="AM117" s="198" t="e">
        <f>IF(Table4[[#This Row],[ScopeP]]="Unchanged",6.42*Table4[[#This Row],[ISC BaseP]],IF(Table4[[#This Row],[ScopeP]]="Changed",7.52*(Table4[[#This Row],[ISC BaseP]] - 0.029) - 3.25 * POWER(Table4[[#This Row],[ISC BaseP]] - 0.02,15),NA()))</f>
        <v>#N/A</v>
      </c>
      <c r="AN117" s="22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7" s="22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7" s="23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7" s="230"/>
      <c r="AR117" s="234"/>
    </row>
    <row r="118" spans="1:44" ht="73.5" customHeight="1" x14ac:dyDescent="0.25">
      <c r="A118" s="70">
        <v>114</v>
      </c>
      <c r="B118" s="182" t="s">
        <v>271</v>
      </c>
      <c r="C118" s="195" t="str">
        <f>IF(VLOOKUP(Table4[[#This Row],[T ID]],Table5[#All],5,FALSE)="No","Not in scope",VLOOKUP(Table4[[#This Row],[T ID]],Table5[#All],2,FALSE))</f>
        <v>Social Engineering
(TTP)</v>
      </c>
      <c r="D118" s="210" t="s">
        <v>143</v>
      </c>
      <c r="E118" s="195" t="str">
        <f>IF(VLOOKUP(Table4[[#This Row],[V ID]],Vulnerabilities[#All],3,FALSE)="No","Not in scope",VLOOKUP(Table4[[#This Row],[V ID]],Vulnerabilities[#All],2,FALSE))</f>
        <v>InSecure Configuration for Software/OS on Mobile Devices, Laptops, Workstations, and Servers</v>
      </c>
      <c r="F118" s="216" t="s">
        <v>108</v>
      </c>
      <c r="G118" s="195" t="str">
        <f>VLOOKUP(Table4[[#This Row],[A ID]],Assets[#All],3,FALSE)</f>
        <v>Smart medic app (Stryker Azure Cloud Web Application)</v>
      </c>
      <c r="H118" s="49" t="s">
        <v>290</v>
      </c>
      <c r="I118" s="49"/>
      <c r="J118" s="87" t="s">
        <v>66</v>
      </c>
      <c r="K118" s="87" t="s">
        <v>66</v>
      </c>
      <c r="L118" s="87" t="s">
        <v>57</v>
      </c>
      <c r="M118" s="196" t="s">
        <v>81</v>
      </c>
      <c r="N118" s="157" t="s">
        <v>66</v>
      </c>
      <c r="O118" s="157" t="s">
        <v>66</v>
      </c>
      <c r="P118" s="196" t="s">
        <v>77</v>
      </c>
      <c r="Q118" s="196" t="s">
        <v>75</v>
      </c>
      <c r="R118"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18" s="198">
        <f>(1 - ((1 - VLOOKUP(Table4[[#This Row],[Confidentiality]],'Reference - CVSSv3.0'!$B$15:$C$17,2,FALSE)) * (1 - VLOOKUP(Table4[[#This Row],[Integrity]],'Reference - CVSSv3.0'!$B$15:$C$17,2,FALSE)) *  (1 - VLOOKUP(Table4[[#This Row],[Availability]],'Reference - CVSSv3.0'!$B$15:$C$17,2,FALSE))))</f>
        <v>0.84899199999999997</v>
      </c>
      <c r="T118" s="198">
        <f>IF(Table4[[#This Row],[Scope]]="Unchanged",6.42*Table4[[#This Row],[ISC Base]],IF(Table4[[#This Row],[Scope]]="Changed",7.52*(Table4[[#This Row],[ISC Base]] - 0.029) - 3.25 * POWER(Table4[[#This Row],[ISC Base]] - 0.02,15),NA()))</f>
        <v>5.4505286399999999</v>
      </c>
      <c r="U118"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8" s="182" t="s">
        <v>56</v>
      </c>
      <c r="W118" s="198">
        <f>VLOOKUP(Table4[[#This Row],[Threat Event Initiation]],NIST_Scale_LOAI[],2,FALSE)</f>
        <v>0.5</v>
      </c>
      <c r="X118"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18"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8" s="49" t="s">
        <v>316</v>
      </c>
      <c r="AA118" s="59"/>
      <c r="AB118" s="206"/>
      <c r="AC118" s="187"/>
      <c r="AD118" s="187"/>
      <c r="AE118" s="187"/>
      <c r="AF118" s="196"/>
      <c r="AG118" s="196"/>
      <c r="AH118" s="196"/>
      <c r="AI118" s="196"/>
      <c r="AJ118" s="201"/>
      <c r="AK118"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8" s="198" t="e">
        <f>(1 - ((1 - VLOOKUP(Table4[[#This Row],[ConfidentialityP]],'Reference - CVSSv3.0'!$B$15:$C$17,2,FALSE)) * (1 - VLOOKUP(Table4[[#This Row],[IntegrityP]],'Reference - CVSSv3.0'!$B$15:$C$17,2,FALSE)) *  (1 - VLOOKUP(Table4[[#This Row],[AvailabilityP]],'Reference - CVSSv3.0'!$B$15:$C$17,2,FALSE))))</f>
        <v>#N/A</v>
      </c>
      <c r="AM118" s="198" t="e">
        <f>IF(Table4[[#This Row],[ScopeP]]="Unchanged",6.42*Table4[[#This Row],[ISC BaseP]],IF(Table4[[#This Row],[ScopeP]]="Changed",7.52*(Table4[[#This Row],[ISC BaseP]] - 0.029) - 3.25 * POWER(Table4[[#This Row],[ISC BaseP]] - 0.02,15),NA()))</f>
        <v>#N/A</v>
      </c>
      <c r="AN118"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8"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8"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8" s="187"/>
    </row>
    <row r="119" spans="1:44" ht="85.5" x14ac:dyDescent="0.25">
      <c r="A119" s="70">
        <v>115</v>
      </c>
      <c r="B119" s="182" t="s">
        <v>271</v>
      </c>
      <c r="C119" s="195" t="str">
        <f>IF(VLOOKUP(Table4[[#This Row],[T ID]],Table5[#All],5,FALSE)="No","Not in scope",VLOOKUP(Table4[[#This Row],[T ID]],Table5[#All],2,FALSE))</f>
        <v>Social Engineering
(TTP)</v>
      </c>
      <c r="D119" s="210" t="s">
        <v>144</v>
      </c>
      <c r="E119" s="195" t="str">
        <f>IF(VLOOKUP(Table4[[#This Row],[V ID]],Vulnerabilities[#All],3,FALSE)="No","Not in scope",VLOOKUP(Table4[[#This Row],[V ID]],Vulnerabilities[#All],2,FALSE))</f>
        <v>Legacy system identification if any</v>
      </c>
      <c r="F119" s="216" t="s">
        <v>108</v>
      </c>
      <c r="G119" s="195" t="str">
        <f>VLOOKUP(Table4[[#This Row],[A ID]],Assets[#All],3,FALSE)</f>
        <v>Smart medic app (Stryker Azure Cloud Web Application)</v>
      </c>
      <c r="H119" s="49" t="s">
        <v>289</v>
      </c>
      <c r="I119" s="49"/>
      <c r="J119" s="87" t="s">
        <v>66</v>
      </c>
      <c r="K119" s="87" t="s">
        <v>66</v>
      </c>
      <c r="L119" s="87" t="s">
        <v>57</v>
      </c>
      <c r="M119" s="196" t="s">
        <v>81</v>
      </c>
      <c r="N119" s="157" t="s">
        <v>66</v>
      </c>
      <c r="O119" s="157" t="s">
        <v>66</v>
      </c>
      <c r="P119" s="196" t="s">
        <v>77</v>
      </c>
      <c r="Q119" s="196" t="s">
        <v>75</v>
      </c>
      <c r="R119"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19" s="198">
        <f>(1 - ((1 - VLOOKUP(Table4[[#This Row],[Confidentiality]],'Reference - CVSSv3.0'!$B$15:$C$17,2,FALSE)) * (1 - VLOOKUP(Table4[[#This Row],[Integrity]],'Reference - CVSSv3.0'!$B$15:$C$17,2,FALSE)) *  (1 - VLOOKUP(Table4[[#This Row],[Availability]],'Reference - CVSSv3.0'!$B$15:$C$17,2,FALSE))))</f>
        <v>0.84899199999999997</v>
      </c>
      <c r="T119" s="198">
        <f>IF(Table4[[#This Row],[Scope]]="Unchanged",6.42*Table4[[#This Row],[ISC Base]],IF(Table4[[#This Row],[Scope]]="Changed",7.52*(Table4[[#This Row],[ISC Base]] - 0.029) - 3.25 * POWER(Table4[[#This Row],[ISC Base]] - 0.02,15),NA()))</f>
        <v>5.4505286399999999</v>
      </c>
      <c r="U119"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19" s="182" t="s">
        <v>56</v>
      </c>
      <c r="W119" s="198">
        <f>VLOOKUP(Table4[[#This Row],[Threat Event Initiation]],NIST_Scale_LOAI[],2,FALSE)</f>
        <v>0.5</v>
      </c>
      <c r="X119"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19"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9" s="225" t="s">
        <v>330</v>
      </c>
      <c r="AA119" s="187"/>
      <c r="AB119" s="206"/>
      <c r="AC119" s="187"/>
      <c r="AD119" s="187"/>
      <c r="AE119" s="187"/>
      <c r="AF119" s="196"/>
      <c r="AG119" s="196"/>
      <c r="AH119" s="196"/>
      <c r="AI119" s="196"/>
      <c r="AJ119" s="201"/>
      <c r="AK119"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19" s="198" t="e">
        <f>(1 - ((1 - VLOOKUP(Table4[[#This Row],[ConfidentialityP]],'Reference - CVSSv3.0'!$B$15:$C$17,2,FALSE)) * (1 - VLOOKUP(Table4[[#This Row],[IntegrityP]],'Reference - CVSSv3.0'!$B$15:$C$17,2,FALSE)) *  (1 - VLOOKUP(Table4[[#This Row],[AvailabilityP]],'Reference - CVSSv3.0'!$B$15:$C$17,2,FALSE))))</f>
        <v>#N/A</v>
      </c>
      <c r="AM119" s="198" t="e">
        <f>IF(Table4[[#This Row],[ScopeP]]="Unchanged",6.42*Table4[[#This Row],[ISC BaseP]],IF(Table4[[#This Row],[ScopeP]]="Changed",7.52*(Table4[[#This Row],[ISC BaseP]] - 0.029) - 3.25 * POWER(Table4[[#This Row],[ISC BaseP]] - 0.02,15),NA()))</f>
        <v>#N/A</v>
      </c>
      <c r="AN119"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9"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9"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9" s="187"/>
    </row>
    <row r="120" spans="1:44" ht="114" x14ac:dyDescent="0.25">
      <c r="A120" s="70">
        <v>116</v>
      </c>
      <c r="B120" s="182" t="s">
        <v>271</v>
      </c>
      <c r="C120" s="195" t="str">
        <f>IF(VLOOKUP(Table4[[#This Row],[T ID]],Table5[#All],5,FALSE)="No","Not in scope",VLOOKUP(Table4[[#This Row],[T ID]],Table5[#All],2,FALSE))</f>
        <v>Social Engineering
(TTP)</v>
      </c>
      <c r="D120" s="210" t="s">
        <v>225</v>
      </c>
      <c r="E120" s="195" t="str">
        <f>IF(VLOOKUP(Table4[[#This Row],[V ID]],Vulnerabilities[#All],3,FALSE)="No","Not in scope",VLOOKUP(Table4[[#This Row],[V ID]],Vulnerabilities[#All],2,FALSE))</f>
        <v>The password complexity or location vulnerability. Like weak passwords and hardcoded passwords.</v>
      </c>
      <c r="F120" s="216" t="s">
        <v>108</v>
      </c>
      <c r="G120" s="195" t="str">
        <f>VLOOKUP(Table4[[#This Row],[A ID]],Assets[#All],3,FALSE)</f>
        <v>Smart medic app (Stryker Azure Cloud Web Application)</v>
      </c>
      <c r="H120" s="49" t="s">
        <v>290</v>
      </c>
      <c r="I120" s="49"/>
      <c r="J120" s="87" t="s">
        <v>66</v>
      </c>
      <c r="K120" s="87" t="s">
        <v>66</v>
      </c>
      <c r="L120" s="87" t="s">
        <v>57</v>
      </c>
      <c r="M120" s="196" t="s">
        <v>81</v>
      </c>
      <c r="N120" s="157" t="s">
        <v>66</v>
      </c>
      <c r="O120" s="157" t="s">
        <v>66</v>
      </c>
      <c r="P120" s="196" t="s">
        <v>77</v>
      </c>
      <c r="Q120" s="196" t="s">
        <v>75</v>
      </c>
      <c r="R120"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0" s="198">
        <f>(1 - ((1 - VLOOKUP(Table4[[#This Row],[Confidentiality]],'Reference - CVSSv3.0'!$B$15:$C$17,2,FALSE)) * (1 - VLOOKUP(Table4[[#This Row],[Integrity]],'Reference - CVSSv3.0'!$B$15:$C$17,2,FALSE)) *  (1 - VLOOKUP(Table4[[#This Row],[Availability]],'Reference - CVSSv3.0'!$B$15:$C$17,2,FALSE))))</f>
        <v>0.84899199999999997</v>
      </c>
      <c r="T120" s="198">
        <f>IF(Table4[[#This Row],[Scope]]="Unchanged",6.42*Table4[[#This Row],[ISC Base]],IF(Table4[[#This Row],[Scope]]="Changed",7.52*(Table4[[#This Row],[ISC Base]] - 0.029) - 3.25 * POWER(Table4[[#This Row],[ISC Base]] - 0.02,15),NA()))</f>
        <v>5.4505286399999999</v>
      </c>
      <c r="U120"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0" s="182" t="s">
        <v>56</v>
      </c>
      <c r="W120" s="198">
        <f>VLOOKUP(Table4[[#This Row],[Threat Event Initiation]],NIST_Scale_LOAI[],2,FALSE)</f>
        <v>0.5</v>
      </c>
      <c r="X120"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0"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0" s="49" t="s">
        <v>329</v>
      </c>
      <c r="AA120" s="187"/>
      <c r="AB120" s="206"/>
      <c r="AC120" s="187"/>
      <c r="AD120" s="187"/>
      <c r="AE120" s="187"/>
      <c r="AF120" s="196"/>
      <c r="AG120" s="196"/>
      <c r="AH120" s="196"/>
      <c r="AI120" s="196"/>
      <c r="AJ120" s="201"/>
      <c r="AK120"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0" s="198" t="e">
        <f>(1 - ((1 - VLOOKUP(Table4[[#This Row],[ConfidentialityP]],'Reference - CVSSv3.0'!$B$15:$C$17,2,FALSE)) * (1 - VLOOKUP(Table4[[#This Row],[IntegrityP]],'Reference - CVSSv3.0'!$B$15:$C$17,2,FALSE)) *  (1 - VLOOKUP(Table4[[#This Row],[AvailabilityP]],'Reference - CVSSv3.0'!$B$15:$C$17,2,FALSE))))</f>
        <v>#N/A</v>
      </c>
      <c r="AM120" s="198" t="e">
        <f>IF(Table4[[#This Row],[ScopeP]]="Unchanged",6.42*Table4[[#This Row],[ISC BaseP]],IF(Table4[[#This Row],[ScopeP]]="Changed",7.52*(Table4[[#This Row],[ISC BaseP]] - 0.029) - 3.25 * POWER(Table4[[#This Row],[ISC BaseP]] - 0.02,15),NA()))</f>
        <v>#N/A</v>
      </c>
      <c r="AN120"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0"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0"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0" s="187"/>
    </row>
    <row r="121" spans="1:44" ht="114" x14ac:dyDescent="0.25">
      <c r="A121" s="70">
        <v>117</v>
      </c>
      <c r="B121" s="182" t="s">
        <v>271</v>
      </c>
      <c r="C121" s="195" t="str">
        <f>IF(VLOOKUP(Table4[[#This Row],[T ID]],Table5[#All],5,FALSE)="No","Not in scope",VLOOKUP(Table4[[#This Row],[T ID]],Table5[#All],2,FALSE))</f>
        <v>Social Engineering
(TTP)</v>
      </c>
      <c r="D121" s="210" t="s">
        <v>226</v>
      </c>
      <c r="E121" s="195" t="str">
        <f>IF(VLOOKUP(Table4[[#This Row],[V ID]],Vulnerabilities[#All],3,FALSE)="No","Not in scope",VLOOKUP(Table4[[#This Row],[V ID]],Vulnerabilities[#All],2,FALSE))</f>
        <v>Checking authentication modes for possible hacks and bypasses</v>
      </c>
      <c r="F121" s="42" t="s">
        <v>118</v>
      </c>
      <c r="G121" s="195" t="str">
        <f>VLOOKUP(Table4[[#This Row],[A ID]],Assets[#All],3,FALSE)</f>
        <v>Interface/API Communication</v>
      </c>
      <c r="H121" s="49" t="s">
        <v>290</v>
      </c>
      <c r="I121" s="49"/>
      <c r="J121" s="87" t="s">
        <v>66</v>
      </c>
      <c r="K121" s="87" t="s">
        <v>66</v>
      </c>
      <c r="L121" s="87" t="s">
        <v>57</v>
      </c>
      <c r="M121" s="196" t="s">
        <v>81</v>
      </c>
      <c r="N121" s="157" t="s">
        <v>66</v>
      </c>
      <c r="O121" s="157" t="s">
        <v>66</v>
      </c>
      <c r="P121" s="196" t="s">
        <v>77</v>
      </c>
      <c r="Q121" s="196" t="s">
        <v>75</v>
      </c>
      <c r="R121"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1" s="198">
        <f>(1 - ((1 - VLOOKUP(Table4[[#This Row],[Confidentiality]],'Reference - CVSSv3.0'!$B$15:$C$17,2,FALSE)) * (1 - VLOOKUP(Table4[[#This Row],[Integrity]],'Reference - CVSSv3.0'!$B$15:$C$17,2,FALSE)) *  (1 - VLOOKUP(Table4[[#This Row],[Availability]],'Reference - CVSSv3.0'!$B$15:$C$17,2,FALSE))))</f>
        <v>0.84899199999999997</v>
      </c>
      <c r="T121" s="198">
        <f>IF(Table4[[#This Row],[Scope]]="Unchanged",6.42*Table4[[#This Row],[ISC Base]],IF(Table4[[#This Row],[Scope]]="Changed",7.52*(Table4[[#This Row],[ISC Base]] - 0.029) - 3.25 * POWER(Table4[[#This Row],[ISC Base]] - 0.02,15),NA()))</f>
        <v>5.4505286399999999</v>
      </c>
      <c r="U121"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1" s="182" t="s">
        <v>56</v>
      </c>
      <c r="W121" s="198">
        <f>VLOOKUP(Table4[[#This Row],[Threat Event Initiation]],NIST_Scale_LOAI[],2,FALSE)</f>
        <v>0.5</v>
      </c>
      <c r="X121"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1"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1" s="225" t="s">
        <v>310</v>
      </c>
      <c r="AA121" s="187"/>
      <c r="AB121" s="206"/>
      <c r="AC121" s="187"/>
      <c r="AD121" s="187"/>
      <c r="AE121" s="187"/>
      <c r="AF121" s="196"/>
      <c r="AG121" s="196"/>
      <c r="AH121" s="196"/>
      <c r="AI121" s="196"/>
      <c r="AJ121" s="201"/>
      <c r="AK121"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1" s="198" t="e">
        <f>(1 - ((1 - VLOOKUP(Table4[[#This Row],[ConfidentialityP]],'Reference - CVSSv3.0'!$B$15:$C$17,2,FALSE)) * (1 - VLOOKUP(Table4[[#This Row],[IntegrityP]],'Reference - CVSSv3.0'!$B$15:$C$17,2,FALSE)) *  (1 - VLOOKUP(Table4[[#This Row],[AvailabilityP]],'Reference - CVSSv3.0'!$B$15:$C$17,2,FALSE))))</f>
        <v>#N/A</v>
      </c>
      <c r="AM121" s="198" t="e">
        <f>IF(Table4[[#This Row],[ScopeP]]="Unchanged",6.42*Table4[[#This Row],[ISC BaseP]],IF(Table4[[#This Row],[ScopeP]]="Changed",7.52*(Table4[[#This Row],[ISC BaseP]] - 0.029) - 3.25 * POWER(Table4[[#This Row],[ISC BaseP]] - 0.02,15),NA()))</f>
        <v>#N/A</v>
      </c>
      <c r="AN121"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1"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1"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1" s="187"/>
    </row>
    <row r="122" spans="1:44" ht="114" x14ac:dyDescent="0.25">
      <c r="A122" s="70">
        <v>118</v>
      </c>
      <c r="B122" s="182" t="s">
        <v>271</v>
      </c>
      <c r="C122" s="195" t="str">
        <f>IF(VLOOKUP(Table4[[#This Row],[T ID]],Table5[#All],5,FALSE)="No","Not in scope",VLOOKUP(Table4[[#This Row],[T ID]],Table5[#All],2,FALSE))</f>
        <v>Social Engineering
(TTP)</v>
      </c>
      <c r="D122" s="210" t="s">
        <v>226</v>
      </c>
      <c r="E122" s="195" t="str">
        <f>IF(VLOOKUP(Table4[[#This Row],[V ID]],Vulnerabilities[#All],3,FALSE)="No","Not in scope",VLOOKUP(Table4[[#This Row],[V ID]],Vulnerabilities[#All],2,FALSE))</f>
        <v>Checking authentication modes for possible hacks and bypasses</v>
      </c>
      <c r="F122" s="42" t="s">
        <v>108</v>
      </c>
      <c r="G122" s="195" t="str">
        <f>VLOOKUP(Table4[[#This Row],[A ID]],Assets[#All],3,FALSE)</f>
        <v>Smart medic app (Stryker Azure Cloud Web Application)</v>
      </c>
      <c r="H122" s="49" t="s">
        <v>290</v>
      </c>
      <c r="I122" s="49"/>
      <c r="J122" s="87" t="s">
        <v>66</v>
      </c>
      <c r="K122" s="87" t="s">
        <v>66</v>
      </c>
      <c r="L122" s="87" t="s">
        <v>57</v>
      </c>
      <c r="M122" s="196" t="s">
        <v>81</v>
      </c>
      <c r="N122" s="157" t="s">
        <v>66</v>
      </c>
      <c r="O122" s="157" t="s">
        <v>66</v>
      </c>
      <c r="P122" s="196" t="s">
        <v>77</v>
      </c>
      <c r="Q122" s="196" t="s">
        <v>75</v>
      </c>
      <c r="R122"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2" s="198">
        <f>(1 - ((1 - VLOOKUP(Table4[[#This Row],[Confidentiality]],'Reference - CVSSv3.0'!$B$15:$C$17,2,FALSE)) * (1 - VLOOKUP(Table4[[#This Row],[Integrity]],'Reference - CVSSv3.0'!$B$15:$C$17,2,FALSE)) *  (1 - VLOOKUP(Table4[[#This Row],[Availability]],'Reference - CVSSv3.0'!$B$15:$C$17,2,FALSE))))</f>
        <v>0.84899199999999997</v>
      </c>
      <c r="T122" s="198">
        <f>IF(Table4[[#This Row],[Scope]]="Unchanged",6.42*Table4[[#This Row],[ISC Base]],IF(Table4[[#This Row],[Scope]]="Changed",7.52*(Table4[[#This Row],[ISC Base]] - 0.029) - 3.25 * POWER(Table4[[#This Row],[ISC Base]] - 0.02,15),NA()))</f>
        <v>5.4505286399999999</v>
      </c>
      <c r="U122"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2" s="182" t="s">
        <v>56</v>
      </c>
      <c r="W122" s="198">
        <f>VLOOKUP(Table4[[#This Row],[Threat Event Initiation]],NIST_Scale_LOAI[],2,FALSE)</f>
        <v>0.5</v>
      </c>
      <c r="X122"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2"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2" s="225" t="s">
        <v>331</v>
      </c>
      <c r="AA122" s="187"/>
      <c r="AB122" s="206"/>
      <c r="AC122" s="187"/>
      <c r="AD122" s="187"/>
      <c r="AE122" s="187"/>
      <c r="AF122" s="196"/>
      <c r="AG122" s="196"/>
      <c r="AH122" s="196"/>
      <c r="AI122" s="196"/>
      <c r="AJ122" s="201"/>
      <c r="AK122"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2" s="198" t="e">
        <f>(1 - ((1 - VLOOKUP(Table4[[#This Row],[ConfidentialityP]],'Reference - CVSSv3.0'!$B$15:$C$17,2,FALSE)) * (1 - VLOOKUP(Table4[[#This Row],[IntegrityP]],'Reference - CVSSv3.0'!$B$15:$C$17,2,FALSE)) *  (1 - VLOOKUP(Table4[[#This Row],[AvailabilityP]],'Reference - CVSSv3.0'!$B$15:$C$17,2,FALSE))))</f>
        <v>#N/A</v>
      </c>
      <c r="AM122" s="198" t="e">
        <f>IF(Table4[[#This Row],[ScopeP]]="Unchanged",6.42*Table4[[#This Row],[ISC BaseP]],IF(Table4[[#This Row],[ScopeP]]="Changed",7.52*(Table4[[#This Row],[ISC BaseP]] - 0.029) - 3.25 * POWER(Table4[[#This Row],[ISC BaseP]] - 0.02,15),NA()))</f>
        <v>#N/A</v>
      </c>
      <c r="AN122"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2"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2"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2" s="187"/>
    </row>
    <row r="123" spans="1:44" ht="114" x14ac:dyDescent="0.25">
      <c r="A123" s="70">
        <v>119</v>
      </c>
      <c r="B123" s="182" t="s">
        <v>271</v>
      </c>
      <c r="C123" s="195" t="str">
        <f>IF(VLOOKUP(Table4[[#This Row],[T ID]],Table5[#All],5,FALSE)="No","Not in scope",VLOOKUP(Table4[[#This Row],[T ID]],Table5[#All],2,FALSE))</f>
        <v>Social Engineering
(TTP)</v>
      </c>
      <c r="D123" s="210" t="s">
        <v>226</v>
      </c>
      <c r="E123" s="195" t="str">
        <f>IF(VLOOKUP(Table4[[#This Row],[V ID]],Vulnerabilities[#All],3,FALSE)="No","Not in scope",VLOOKUP(Table4[[#This Row],[V ID]],Vulnerabilities[#All],2,FALSE))</f>
        <v>Checking authentication modes for possible hacks and bypasses</v>
      </c>
      <c r="F123" s="216" t="s">
        <v>110</v>
      </c>
      <c r="G123" s="195" t="str">
        <f>VLOOKUP(Table4[[#This Row],[A ID]],Assets[#All],3,FALSE)</f>
        <v>Azure Cloud DataBase</v>
      </c>
      <c r="H123" s="49" t="s">
        <v>290</v>
      </c>
      <c r="I123" s="49"/>
      <c r="J123" s="87" t="s">
        <v>66</v>
      </c>
      <c r="K123" s="87" t="s">
        <v>66</v>
      </c>
      <c r="L123" s="87" t="s">
        <v>57</v>
      </c>
      <c r="M123" s="196" t="s">
        <v>81</v>
      </c>
      <c r="N123" s="157" t="s">
        <v>66</v>
      </c>
      <c r="O123" s="157" t="s">
        <v>66</v>
      </c>
      <c r="P123" s="196" t="s">
        <v>77</v>
      </c>
      <c r="Q123" s="196" t="s">
        <v>75</v>
      </c>
      <c r="R123"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3" s="198">
        <f>(1 - ((1 - VLOOKUP(Table4[[#This Row],[Confidentiality]],'Reference - CVSSv3.0'!$B$15:$C$17,2,FALSE)) * (1 - VLOOKUP(Table4[[#This Row],[Integrity]],'Reference - CVSSv3.0'!$B$15:$C$17,2,FALSE)) *  (1 - VLOOKUP(Table4[[#This Row],[Availability]],'Reference - CVSSv3.0'!$B$15:$C$17,2,FALSE))))</f>
        <v>0.84899199999999997</v>
      </c>
      <c r="T123" s="198">
        <f>IF(Table4[[#This Row],[Scope]]="Unchanged",6.42*Table4[[#This Row],[ISC Base]],IF(Table4[[#This Row],[Scope]]="Changed",7.52*(Table4[[#This Row],[ISC Base]] - 0.029) - 3.25 * POWER(Table4[[#This Row],[ISC Base]] - 0.02,15),NA()))</f>
        <v>5.4505286399999999</v>
      </c>
      <c r="U123"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3" s="182" t="s">
        <v>56</v>
      </c>
      <c r="W123" s="198">
        <f>VLOOKUP(Table4[[#This Row],[Threat Event Initiation]],NIST_Scale_LOAI[],2,FALSE)</f>
        <v>0.5</v>
      </c>
      <c r="X123"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3"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3" s="225" t="s">
        <v>332</v>
      </c>
      <c r="AA123" s="187"/>
      <c r="AB123" s="206"/>
      <c r="AC123" s="187"/>
      <c r="AD123" s="187"/>
      <c r="AE123" s="187"/>
      <c r="AF123" s="196"/>
      <c r="AG123" s="196"/>
      <c r="AH123" s="196"/>
      <c r="AI123" s="196"/>
      <c r="AJ123" s="201"/>
      <c r="AK123"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3" s="198" t="e">
        <f>(1 - ((1 - VLOOKUP(Table4[[#This Row],[ConfidentialityP]],'Reference - CVSSv3.0'!$B$15:$C$17,2,FALSE)) * (1 - VLOOKUP(Table4[[#This Row],[IntegrityP]],'Reference - CVSSv3.0'!$B$15:$C$17,2,FALSE)) *  (1 - VLOOKUP(Table4[[#This Row],[AvailabilityP]],'Reference - CVSSv3.0'!$B$15:$C$17,2,FALSE))))</f>
        <v>#N/A</v>
      </c>
      <c r="AM123" s="198" t="e">
        <f>IF(Table4[[#This Row],[ScopeP]]="Unchanged",6.42*Table4[[#This Row],[ISC BaseP]],IF(Table4[[#This Row],[ScopeP]]="Changed",7.52*(Table4[[#This Row],[ISC BaseP]] - 0.029) - 3.25 * POWER(Table4[[#This Row],[ISC BaseP]] - 0.02,15),NA()))</f>
        <v>#N/A</v>
      </c>
      <c r="AN123"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3"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3"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3" s="187"/>
    </row>
    <row r="124" spans="1:44" ht="114" x14ac:dyDescent="0.25">
      <c r="A124" s="70">
        <v>120</v>
      </c>
      <c r="B124" s="182" t="s">
        <v>271</v>
      </c>
      <c r="C124" s="195" t="str">
        <f>IF(VLOOKUP(Table4[[#This Row],[T ID]],Table5[#All],5,FALSE)="No","Not in scope",VLOOKUP(Table4[[#This Row],[T ID]],Table5[#All],2,FALSE))</f>
        <v>Social Engineering
(TTP)</v>
      </c>
      <c r="D124" s="210" t="s">
        <v>226</v>
      </c>
      <c r="E124" s="195" t="str">
        <f>IF(VLOOKUP(Table4[[#This Row],[V ID]],Vulnerabilities[#All],3,FALSE)="No","Not in scope",VLOOKUP(Table4[[#This Row],[V ID]],Vulnerabilities[#All],2,FALSE))</f>
        <v>Checking authentication modes for possible hacks and bypasses</v>
      </c>
      <c r="F124" s="216" t="s">
        <v>109</v>
      </c>
      <c r="G124" s="195" t="str">
        <f>VLOOKUP(Table4[[#This Row],[A ID]],Assets[#All],3,FALSE)</f>
        <v>Smart medic app (Azure Portal Administrator)</v>
      </c>
      <c r="H124" s="49" t="s">
        <v>290</v>
      </c>
      <c r="I124" s="49"/>
      <c r="J124" s="87" t="s">
        <v>66</v>
      </c>
      <c r="K124" s="87" t="s">
        <v>66</v>
      </c>
      <c r="L124" s="87" t="s">
        <v>57</v>
      </c>
      <c r="M124" s="196" t="s">
        <v>81</v>
      </c>
      <c r="N124" s="157" t="s">
        <v>66</v>
      </c>
      <c r="O124" s="157" t="s">
        <v>66</v>
      </c>
      <c r="P124" s="196" t="s">
        <v>77</v>
      </c>
      <c r="Q124" s="196" t="s">
        <v>75</v>
      </c>
      <c r="R124" s="197">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0.37538043840000002</v>
      </c>
      <c r="S124" s="198">
        <f>(1 - ((1 - VLOOKUP(Table4[[#This Row],[Confidentiality]],'Reference - CVSSv3.0'!$B$15:$C$17,2,FALSE)) * (1 - VLOOKUP(Table4[[#This Row],[Integrity]],'Reference - CVSSv3.0'!$B$15:$C$17,2,FALSE)) *  (1 - VLOOKUP(Table4[[#This Row],[Availability]],'Reference - CVSSv3.0'!$B$15:$C$17,2,FALSE))))</f>
        <v>0.84899199999999997</v>
      </c>
      <c r="T124" s="198">
        <f>IF(Table4[[#This Row],[Scope]]="Unchanged",6.42*Table4[[#This Row],[ISC Base]],IF(Table4[[#This Row],[Scope]]="Changed",7.52*(Table4[[#This Row],[ISC Base]] - 0.029) - 3.25 * POWER(Table4[[#This Row],[ISC Base]] - 0.02,15),NA()))</f>
        <v>5.4505286399999999</v>
      </c>
      <c r="U124" s="19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4" s="182" t="s">
        <v>56</v>
      </c>
      <c r="W124" s="198">
        <f>VLOOKUP(Table4[[#This Row],[Threat Event Initiation]],NIST_Scale_LOAI[],2,FALSE)</f>
        <v>0.5</v>
      </c>
      <c r="X124" s="19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124" s="19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4" s="49" t="s">
        <v>333</v>
      </c>
      <c r="AA124" s="187"/>
      <c r="AB124" s="206"/>
      <c r="AC124" s="187"/>
      <c r="AD124" s="187"/>
      <c r="AE124" s="187"/>
      <c r="AF124" s="196"/>
      <c r="AG124" s="196"/>
      <c r="AH124" s="196"/>
      <c r="AI124" s="196"/>
      <c r="AJ124" s="201"/>
      <c r="AK124" s="198"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4" s="198" t="e">
        <f>(1 - ((1 - VLOOKUP(Table4[[#This Row],[ConfidentialityP]],'Reference - CVSSv3.0'!$B$15:$C$17,2,FALSE)) * (1 - VLOOKUP(Table4[[#This Row],[IntegrityP]],'Reference - CVSSv3.0'!$B$15:$C$17,2,FALSE)) *  (1 - VLOOKUP(Table4[[#This Row],[AvailabilityP]],'Reference - CVSSv3.0'!$B$15:$C$17,2,FALSE))))</f>
        <v>#N/A</v>
      </c>
      <c r="AM124" s="198" t="e">
        <f>IF(Table4[[#This Row],[ScopeP]]="Unchanged",6.42*Table4[[#This Row],[ISC BaseP]],IF(Table4[[#This Row],[ScopeP]]="Changed",7.52*(Table4[[#This Row],[ISC BaseP]] - 0.029) - 3.25 * POWER(Table4[[#This Row],[ISC BaseP]] - 0.02,15),NA()))</f>
        <v>#N/A</v>
      </c>
      <c r="AN124" s="19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4" s="19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4" s="20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4" s="187"/>
    </row>
    <row r="125" spans="1:44" ht="96.75" customHeight="1" x14ac:dyDescent="0.25">
      <c r="A125" s="244">
        <v>121</v>
      </c>
      <c r="B125" s="245" t="s">
        <v>375</v>
      </c>
      <c r="C125" s="246" t="str">
        <f>IF(VLOOKUP(Table4[[#This Row],[T ID]],Table5[#All],5,FALSE)="No","Not in scope",VLOOKUP(Table4[[#This Row],[T ID]],Table5[#All],2,FALSE))</f>
        <v>Lack of evidence to conclude any malicious attempt/attack
(ST[R]IDE)</v>
      </c>
      <c r="D125" s="245" t="s">
        <v>382</v>
      </c>
      <c r="E125" s="246" t="str">
        <f>IF(VLOOKUP(Table4[[#This Row],[V ID]],Vulnerabilities[#All],3,FALSE)="No","Not in scope",VLOOKUP(Table4[[#This Row],[V ID]],Vulnerabilities[#All],2,FALSE))</f>
        <v>Insufficient Logging information</v>
      </c>
      <c r="F125" s="247" t="s">
        <v>113</v>
      </c>
      <c r="G125" s="246" t="str">
        <f>VLOOKUP(Table4[[#This Row],[A ID]],Assets[#All],3,FALSE)</f>
        <v>Tablet OS/network details &amp; Tablet Application</v>
      </c>
      <c r="H125" s="51" t="s">
        <v>387</v>
      </c>
      <c r="I125" s="243"/>
      <c r="J125" s="245" t="s">
        <v>57</v>
      </c>
      <c r="K125" s="245" t="s">
        <v>57</v>
      </c>
      <c r="L125" s="245" t="s">
        <v>57</v>
      </c>
      <c r="M125" s="248" t="s">
        <v>80</v>
      </c>
      <c r="N125" s="248" t="s">
        <v>57</v>
      </c>
      <c r="O125" s="248" t="s">
        <v>57</v>
      </c>
      <c r="P125" s="248" t="s">
        <v>78</v>
      </c>
      <c r="Q125" s="248" t="s">
        <v>75</v>
      </c>
      <c r="R125" s="249">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25" s="250">
        <f>(1 - ((1 - VLOOKUP(Table4[[#This Row],[Confidentiality]],'Reference - CVSSv3.0'!$B$15:$C$17,2,FALSE)) * (1 - VLOOKUP(Table4[[#This Row],[Integrity]],'Reference - CVSSv3.0'!$B$15:$C$17,2,FALSE)) *  (1 - VLOOKUP(Table4[[#This Row],[Availability]],'Reference - CVSSv3.0'!$B$15:$C$17,2,FALSE))))</f>
        <v>0.52544799999999992</v>
      </c>
      <c r="T125" s="250">
        <f>IF(Table4[[#This Row],[Scope]]="Unchanged",6.42*Table4[[#This Row],[ISC Base]],IF(Table4[[#This Row],[Scope]]="Changed",7.52*(Table4[[#This Row],[ISC Base]] - 0.029) - 3.25 * POWER(Table4[[#This Row],[ISC Base]] - 0.02,15),NA()))</f>
        <v>3.3733761599999994</v>
      </c>
      <c r="U125" s="250">
        <f>IF(Table4[[#This Row],[Impact Sub Score]]&lt;=0,0,IF(Table4[[#This Row],[Scope]]="Unchanged",ROUNDUP(MIN((Table4[[#This Row],[Impact Sub Score]]+Table4[[#This Row],[Exploitability Sub Score]]),10),1),IF(Table4[[#This Row],[Scope]]="Changed",ROUNDUP(MIN((1.08*(Table4[[#This Row],[Impact Sub Score]]+Table4[[#This Row],[Exploitability Sub Score]])),10),1),NA())))</f>
        <v>5.3</v>
      </c>
      <c r="V125" s="251" t="s">
        <v>57</v>
      </c>
      <c r="W125" s="250">
        <f>VLOOKUP(Table4[[#This Row],[Threat Event Initiation]],NIST_Scale_LOAI[],2,FALSE)</f>
        <v>0.2</v>
      </c>
      <c r="X125" s="25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5"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5" s="51" t="s">
        <v>389</v>
      </c>
      <c r="AA125" s="243"/>
      <c r="AB125" s="253"/>
      <c r="AC125" s="243"/>
      <c r="AD125" s="243"/>
      <c r="AE125" s="243"/>
      <c r="AF125" s="248"/>
      <c r="AG125" s="248"/>
      <c r="AH125" s="248"/>
      <c r="AI125" s="248"/>
      <c r="AJ125" s="254"/>
      <c r="AK125" s="250"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5" s="250" t="e">
        <f>(1 - ((1 - VLOOKUP(Table4[[#This Row],[ConfidentialityP]],'Reference - CVSSv3.0'!$B$15:$C$17,2,FALSE)) * (1 - VLOOKUP(Table4[[#This Row],[IntegrityP]],'Reference - CVSSv3.0'!$B$15:$C$17,2,FALSE)) *  (1 - VLOOKUP(Table4[[#This Row],[AvailabilityP]],'Reference - CVSSv3.0'!$B$15:$C$17,2,FALSE))))</f>
        <v>#N/A</v>
      </c>
      <c r="AM125" s="250" t="e">
        <f>IF(Table4[[#This Row],[ScopeP]]="Unchanged",6.42*Table4[[#This Row],[ISC BaseP]],IF(Table4[[#This Row],[ScopeP]]="Changed",7.52*(Table4[[#This Row],[ISC BaseP]] - 0.029) - 3.25 * POWER(Table4[[#This Row],[ISC BaseP]] - 0.02,15),NA()))</f>
        <v>#N/A</v>
      </c>
      <c r="AN125"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5"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5" s="25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5" s="243"/>
    </row>
    <row r="126" spans="1:44" ht="97.5" customHeight="1" x14ac:dyDescent="0.25">
      <c r="A126" s="244">
        <v>122</v>
      </c>
      <c r="B126" s="245" t="s">
        <v>375</v>
      </c>
      <c r="C126" s="246" t="str">
        <f>IF(VLOOKUP(Table4[[#This Row],[T ID]],Table5[#All],5,FALSE)="No","Not in scope",VLOOKUP(Table4[[#This Row],[T ID]],Table5[#All],2,FALSE))</f>
        <v>Lack of evidence to conclude any malicious attempt/attack
(ST[R]IDE)</v>
      </c>
      <c r="D126" s="245" t="s">
        <v>382</v>
      </c>
      <c r="E126" s="246" t="str">
        <f>IF(VLOOKUP(Table4[[#This Row],[V ID]],Vulnerabilities[#All],3,FALSE)="No","Not in scope",VLOOKUP(Table4[[#This Row],[V ID]],Vulnerabilities[#All],2,FALSE))</f>
        <v>Insufficient Logging information</v>
      </c>
      <c r="F126" s="247" t="s">
        <v>114</v>
      </c>
      <c r="G126" s="246" t="str">
        <f>VLOOKUP(Table4[[#This Row],[A ID]],Assets[#All],3,FALSE)</f>
        <v>Smart medic (Stryker device) System Component</v>
      </c>
      <c r="H126" s="51" t="s">
        <v>387</v>
      </c>
      <c r="I126" s="243"/>
      <c r="J126" s="245" t="s">
        <v>57</v>
      </c>
      <c r="K126" s="245" t="s">
        <v>57</v>
      </c>
      <c r="L126" s="245" t="s">
        <v>57</v>
      </c>
      <c r="M126" s="248" t="s">
        <v>80</v>
      </c>
      <c r="N126" s="248" t="s">
        <v>57</v>
      </c>
      <c r="O126" s="248" t="s">
        <v>57</v>
      </c>
      <c r="P126" s="248" t="s">
        <v>78</v>
      </c>
      <c r="Q126" s="248" t="s">
        <v>75</v>
      </c>
      <c r="R126" s="249">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26" s="250">
        <f>(1 - ((1 - VLOOKUP(Table4[[#This Row],[Confidentiality]],'Reference - CVSSv3.0'!$B$15:$C$17,2,FALSE)) * (1 - VLOOKUP(Table4[[#This Row],[Integrity]],'Reference - CVSSv3.0'!$B$15:$C$17,2,FALSE)) *  (1 - VLOOKUP(Table4[[#This Row],[Availability]],'Reference - CVSSv3.0'!$B$15:$C$17,2,FALSE))))</f>
        <v>0.52544799999999992</v>
      </c>
      <c r="T126" s="250">
        <f>IF(Table4[[#This Row],[Scope]]="Unchanged",6.42*Table4[[#This Row],[ISC Base]],IF(Table4[[#This Row],[Scope]]="Changed",7.52*(Table4[[#This Row],[ISC Base]] - 0.029) - 3.25 * POWER(Table4[[#This Row],[ISC Base]] - 0.02,15),NA()))</f>
        <v>3.3733761599999994</v>
      </c>
      <c r="U126" s="250">
        <f>IF(Table4[[#This Row],[Impact Sub Score]]&lt;=0,0,IF(Table4[[#This Row],[Scope]]="Unchanged",ROUNDUP(MIN((Table4[[#This Row],[Impact Sub Score]]+Table4[[#This Row],[Exploitability Sub Score]]),10),1),IF(Table4[[#This Row],[Scope]]="Changed",ROUNDUP(MIN((1.08*(Table4[[#This Row],[Impact Sub Score]]+Table4[[#This Row],[Exploitability Sub Score]])),10),1),NA())))</f>
        <v>5.3</v>
      </c>
      <c r="V126" s="251"/>
      <c r="W126" s="250" t="e">
        <f>VLOOKUP(Table4[[#This Row],[Threat Event Initiation]],NIST_Scale_LOAI[],2,FALSE)</f>
        <v>#N/A</v>
      </c>
      <c r="X126" s="250" t="e">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#N/A</v>
      </c>
      <c r="Y126"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
      </c>
      <c r="Z126" s="51" t="s">
        <v>389</v>
      </c>
      <c r="AA126" s="243"/>
      <c r="AB126" s="253"/>
      <c r="AC126" s="243"/>
      <c r="AD126" s="243"/>
      <c r="AE126" s="243"/>
      <c r="AF126" s="248"/>
      <c r="AG126" s="248"/>
      <c r="AH126" s="248"/>
      <c r="AI126" s="248"/>
      <c r="AJ126" s="254"/>
      <c r="AK126" s="250"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6" s="250" t="e">
        <f>(1 - ((1 - VLOOKUP(Table4[[#This Row],[ConfidentialityP]],'Reference - CVSSv3.0'!$B$15:$C$17,2,FALSE)) * (1 - VLOOKUP(Table4[[#This Row],[IntegrityP]],'Reference - CVSSv3.0'!$B$15:$C$17,2,FALSE)) *  (1 - VLOOKUP(Table4[[#This Row],[AvailabilityP]],'Reference - CVSSv3.0'!$B$15:$C$17,2,FALSE))))</f>
        <v>#N/A</v>
      </c>
      <c r="AM126" s="250" t="e">
        <f>IF(Table4[[#This Row],[ScopeP]]="Unchanged",6.42*Table4[[#This Row],[ISC BaseP]],IF(Table4[[#This Row],[ScopeP]]="Changed",7.52*(Table4[[#This Row],[ISC BaseP]] - 0.029) - 3.25 * POWER(Table4[[#This Row],[ISC BaseP]] - 0.02,15),NA()))</f>
        <v>#N/A</v>
      </c>
      <c r="AN126"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6"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6" s="25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6" s="243"/>
    </row>
    <row r="127" spans="1:44" ht="102" customHeight="1" x14ac:dyDescent="0.25">
      <c r="A127" s="244">
        <v>123</v>
      </c>
      <c r="B127" s="245" t="s">
        <v>375</v>
      </c>
      <c r="C127" s="246" t="str">
        <f>IF(VLOOKUP(Table4[[#This Row],[T ID]],Table5[#All],5,FALSE)="No","Not in scope",VLOOKUP(Table4[[#This Row],[T ID]],Table5[#All],2,FALSE))</f>
        <v>Lack of evidence to conclude any malicious attempt/attack
(ST[R]IDE)</v>
      </c>
      <c r="D127" s="245" t="s">
        <v>382</v>
      </c>
      <c r="E127" s="246" t="str">
        <f>IF(VLOOKUP(Table4[[#This Row],[V ID]],Vulnerabilities[#All],3,FALSE)="No","Not in scope",VLOOKUP(Table4[[#This Row],[V ID]],Vulnerabilities[#All],2,FALSE))</f>
        <v>Insufficient Logging information</v>
      </c>
      <c r="F127" s="247" t="s">
        <v>108</v>
      </c>
      <c r="G127" s="246" t="str">
        <f>VLOOKUP(Table4[[#This Row],[A ID]],Assets[#All],3,FALSE)</f>
        <v>Smart medic app (Stryker Azure Cloud Web Application)</v>
      </c>
      <c r="H127" s="51" t="s">
        <v>387</v>
      </c>
      <c r="I127" s="243"/>
      <c r="J127" s="245" t="s">
        <v>57</v>
      </c>
      <c r="K127" s="245" t="s">
        <v>57</v>
      </c>
      <c r="L127" s="245" t="s">
        <v>57</v>
      </c>
      <c r="M127" s="248" t="s">
        <v>80</v>
      </c>
      <c r="N127" s="248" t="s">
        <v>57</v>
      </c>
      <c r="O127" s="248" t="s">
        <v>57</v>
      </c>
      <c r="P127" s="248" t="s">
        <v>78</v>
      </c>
      <c r="Q127" s="248" t="s">
        <v>75</v>
      </c>
      <c r="R127" s="249">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27" s="250">
        <f>(1 - ((1 - VLOOKUP(Table4[[#This Row],[Confidentiality]],'Reference - CVSSv3.0'!$B$15:$C$17,2,FALSE)) * (1 - VLOOKUP(Table4[[#This Row],[Integrity]],'Reference - CVSSv3.0'!$B$15:$C$17,2,FALSE)) *  (1 - VLOOKUP(Table4[[#This Row],[Availability]],'Reference - CVSSv3.0'!$B$15:$C$17,2,FALSE))))</f>
        <v>0.52544799999999992</v>
      </c>
      <c r="T127" s="250">
        <f>IF(Table4[[#This Row],[Scope]]="Unchanged",6.42*Table4[[#This Row],[ISC Base]],IF(Table4[[#This Row],[Scope]]="Changed",7.52*(Table4[[#This Row],[ISC Base]] - 0.029) - 3.25 * POWER(Table4[[#This Row],[ISC Base]] - 0.02,15),NA()))</f>
        <v>3.3733761599999994</v>
      </c>
      <c r="U127" s="250">
        <f>IF(Table4[[#This Row],[Impact Sub Score]]&lt;=0,0,IF(Table4[[#This Row],[Scope]]="Unchanged",ROUNDUP(MIN((Table4[[#This Row],[Impact Sub Score]]+Table4[[#This Row],[Exploitability Sub Score]]),10),1),IF(Table4[[#This Row],[Scope]]="Changed",ROUNDUP(MIN((1.08*(Table4[[#This Row],[Impact Sub Score]]+Table4[[#This Row],[Exploitability Sub Score]])),10),1),NA())))</f>
        <v>5.3</v>
      </c>
      <c r="V127" s="251" t="s">
        <v>57</v>
      </c>
      <c r="W127" s="250">
        <f>VLOOKUP(Table4[[#This Row],[Threat Event Initiation]],NIST_Scale_LOAI[],2,FALSE)</f>
        <v>0.2</v>
      </c>
      <c r="X127" s="25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7"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7" s="51" t="s">
        <v>389</v>
      </c>
      <c r="AA127" s="243"/>
      <c r="AB127" s="253"/>
      <c r="AC127" s="243"/>
      <c r="AD127" s="243"/>
      <c r="AE127" s="243"/>
      <c r="AF127" s="248"/>
      <c r="AG127" s="248"/>
      <c r="AH127" s="248"/>
      <c r="AI127" s="248"/>
      <c r="AJ127" s="254"/>
      <c r="AK127" s="250"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7" s="250" t="e">
        <f>(1 - ((1 - VLOOKUP(Table4[[#This Row],[ConfidentialityP]],'Reference - CVSSv3.0'!$B$15:$C$17,2,FALSE)) * (1 - VLOOKUP(Table4[[#This Row],[IntegrityP]],'Reference - CVSSv3.0'!$B$15:$C$17,2,FALSE)) *  (1 - VLOOKUP(Table4[[#This Row],[AvailabilityP]],'Reference - CVSSv3.0'!$B$15:$C$17,2,FALSE))))</f>
        <v>#N/A</v>
      </c>
      <c r="AM127" s="250" t="e">
        <f>IF(Table4[[#This Row],[ScopeP]]="Unchanged",6.42*Table4[[#This Row],[ISC BaseP]],IF(Table4[[#This Row],[ScopeP]]="Changed",7.52*(Table4[[#This Row],[ISC BaseP]] - 0.029) - 3.25 * POWER(Table4[[#This Row],[ISC BaseP]] - 0.02,15),NA()))</f>
        <v>#N/A</v>
      </c>
      <c r="AN127"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7"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7" s="25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7" s="243"/>
    </row>
    <row r="128" spans="1:44" ht="93.75" customHeight="1" x14ac:dyDescent="0.25">
      <c r="A128" s="244">
        <v>124</v>
      </c>
      <c r="B128" s="245" t="s">
        <v>375</v>
      </c>
      <c r="C128" s="246" t="str">
        <f>IF(VLOOKUP(Table4[[#This Row],[T ID]],Table5[#All],5,FALSE)="No","Not in scope",VLOOKUP(Table4[[#This Row],[T ID]],Table5[#All],2,FALSE))</f>
        <v>Lack of evidence to conclude any malicious attempt/attack
(ST[R]IDE)</v>
      </c>
      <c r="D128" s="245" t="s">
        <v>383</v>
      </c>
      <c r="E128" s="246" t="str">
        <f>IF(VLOOKUP(Table4[[#This Row],[V ID]],Vulnerabilities[#All],3,FALSE)="No","Not in scope",VLOOKUP(Table4[[#This Row],[V ID]],Vulnerabilities[#All],2,FALSE))</f>
        <v>Insufficient Access permissions for accessing and modifying Log files</v>
      </c>
      <c r="F128" s="247" t="s">
        <v>113</v>
      </c>
      <c r="G128" s="246" t="str">
        <f>VLOOKUP(Table4[[#This Row],[A ID]],Assets[#All],3,FALSE)</f>
        <v>Tablet OS/network details &amp; Tablet Application</v>
      </c>
      <c r="H128" s="51" t="s">
        <v>386</v>
      </c>
      <c r="I128" s="243"/>
      <c r="J128" s="245" t="s">
        <v>57</v>
      </c>
      <c r="K128" s="245" t="s">
        <v>66</v>
      </c>
      <c r="L128" s="245" t="s">
        <v>57</v>
      </c>
      <c r="M128" s="248" t="s">
        <v>80</v>
      </c>
      <c r="N128" s="248" t="s">
        <v>57</v>
      </c>
      <c r="O128" s="248" t="s">
        <v>57</v>
      </c>
      <c r="P128" s="248" t="s">
        <v>78</v>
      </c>
      <c r="Q128" s="248" t="s">
        <v>75</v>
      </c>
      <c r="R128" s="249">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28" s="250">
        <f>(1 - ((1 - VLOOKUP(Table4[[#This Row],[Confidentiality]],'Reference - CVSSv3.0'!$B$15:$C$17,2,FALSE)) * (1 - VLOOKUP(Table4[[#This Row],[Integrity]],'Reference - CVSSv3.0'!$B$15:$C$17,2,FALSE)) *  (1 - VLOOKUP(Table4[[#This Row],[Availability]],'Reference - CVSSv3.0'!$B$15:$C$17,2,FALSE))))</f>
        <v>0.73230400000000007</v>
      </c>
      <c r="T128" s="250">
        <f>IF(Table4[[#This Row],[Scope]]="Unchanged",6.42*Table4[[#This Row],[ISC Base]],IF(Table4[[#This Row],[Scope]]="Changed",7.52*(Table4[[#This Row],[ISC Base]] - 0.029) - 3.25 * POWER(Table4[[#This Row],[ISC Base]] - 0.02,15),NA()))</f>
        <v>4.7013916800000004</v>
      </c>
      <c r="U128" s="250">
        <f>IF(Table4[[#This Row],[Impact Sub Score]]&lt;=0,0,IF(Table4[[#This Row],[Scope]]="Unchanged",ROUNDUP(MIN((Table4[[#This Row],[Impact Sub Score]]+Table4[[#This Row],[Exploitability Sub Score]]),10),1),IF(Table4[[#This Row],[Scope]]="Changed",ROUNDUP(MIN((1.08*(Table4[[#This Row],[Impact Sub Score]]+Table4[[#This Row],[Exploitability Sub Score]])),10),1),NA())))</f>
        <v>6.6</v>
      </c>
      <c r="V128" s="251" t="s">
        <v>57</v>
      </c>
      <c r="W128" s="250">
        <f>VLOOKUP(Table4[[#This Row],[Threat Event Initiation]],NIST_Scale_LOAI[],2,FALSE)</f>
        <v>0.2</v>
      </c>
      <c r="X128" s="25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28"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8" s="51" t="s">
        <v>390</v>
      </c>
      <c r="AA128" s="243"/>
      <c r="AB128" s="253"/>
      <c r="AC128" s="243"/>
      <c r="AD128" s="243"/>
      <c r="AE128" s="243"/>
      <c r="AF128" s="248"/>
      <c r="AG128" s="248"/>
      <c r="AH128" s="248"/>
      <c r="AI128" s="248"/>
      <c r="AJ128" s="254"/>
      <c r="AK128" s="250"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8" s="250" t="e">
        <f>(1 - ((1 - VLOOKUP(Table4[[#This Row],[ConfidentialityP]],'Reference - CVSSv3.0'!$B$15:$C$17,2,FALSE)) * (1 - VLOOKUP(Table4[[#This Row],[IntegrityP]],'Reference - CVSSv3.0'!$B$15:$C$17,2,FALSE)) *  (1 - VLOOKUP(Table4[[#This Row],[AvailabilityP]],'Reference - CVSSv3.0'!$B$15:$C$17,2,FALSE))))</f>
        <v>#N/A</v>
      </c>
      <c r="AM128" s="250" t="e">
        <f>IF(Table4[[#This Row],[ScopeP]]="Unchanged",6.42*Table4[[#This Row],[ISC BaseP]],IF(Table4[[#This Row],[ScopeP]]="Changed",7.52*(Table4[[#This Row],[ISC BaseP]] - 0.029) - 3.25 * POWER(Table4[[#This Row],[ISC BaseP]] - 0.02,15),NA()))</f>
        <v>#N/A</v>
      </c>
      <c r="AN128"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8"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8" s="25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8" s="243"/>
    </row>
    <row r="129" spans="1:43" ht="94.5" customHeight="1" x14ac:dyDescent="0.25">
      <c r="A129" s="244">
        <v>125</v>
      </c>
      <c r="B129" s="245" t="s">
        <v>375</v>
      </c>
      <c r="C129" s="246" t="str">
        <f>IF(VLOOKUP(Table4[[#This Row],[T ID]],Table5[#All],5,FALSE)="No","Not in scope",VLOOKUP(Table4[[#This Row],[T ID]],Table5[#All],2,FALSE))</f>
        <v>Lack of evidence to conclude any malicious attempt/attack
(ST[R]IDE)</v>
      </c>
      <c r="D129" s="245" t="s">
        <v>383</v>
      </c>
      <c r="E129" s="246" t="str">
        <f>IF(VLOOKUP(Table4[[#This Row],[V ID]],Vulnerabilities[#All],3,FALSE)="No","Not in scope",VLOOKUP(Table4[[#This Row],[V ID]],Vulnerabilities[#All],2,FALSE))</f>
        <v>Insufficient Access permissions for accessing and modifying Log files</v>
      </c>
      <c r="F129" s="247" t="s">
        <v>114</v>
      </c>
      <c r="G129" s="246" t="str">
        <f>VLOOKUP(Table4[[#This Row],[A ID]],Assets[#All],3,FALSE)</f>
        <v>Smart medic (Stryker device) System Component</v>
      </c>
      <c r="H129" s="51" t="s">
        <v>386</v>
      </c>
      <c r="I129" s="243"/>
      <c r="J129" s="245" t="s">
        <v>57</v>
      </c>
      <c r="K129" s="245" t="s">
        <v>66</v>
      </c>
      <c r="L129" s="245" t="s">
        <v>57</v>
      </c>
      <c r="M129" s="248" t="s">
        <v>80</v>
      </c>
      <c r="N129" s="248" t="s">
        <v>57</v>
      </c>
      <c r="O129" s="248" t="s">
        <v>57</v>
      </c>
      <c r="P129" s="248" t="s">
        <v>78</v>
      </c>
      <c r="Q129" s="248" t="s">
        <v>75</v>
      </c>
      <c r="R129" s="249">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29" s="250">
        <f>(1 - ((1 - VLOOKUP(Table4[[#This Row],[Confidentiality]],'Reference - CVSSv3.0'!$B$15:$C$17,2,FALSE)) * (1 - VLOOKUP(Table4[[#This Row],[Integrity]],'Reference - CVSSv3.0'!$B$15:$C$17,2,FALSE)) *  (1 - VLOOKUP(Table4[[#This Row],[Availability]],'Reference - CVSSv3.0'!$B$15:$C$17,2,FALSE))))</f>
        <v>0.73230400000000007</v>
      </c>
      <c r="T129" s="250">
        <f>IF(Table4[[#This Row],[Scope]]="Unchanged",6.42*Table4[[#This Row],[ISC Base]],IF(Table4[[#This Row],[Scope]]="Changed",7.52*(Table4[[#This Row],[ISC Base]] - 0.029) - 3.25 * POWER(Table4[[#This Row],[ISC Base]] - 0.02,15),NA()))</f>
        <v>4.7013916800000004</v>
      </c>
      <c r="U129" s="250">
        <f>IF(Table4[[#This Row],[Impact Sub Score]]&lt;=0,0,IF(Table4[[#This Row],[Scope]]="Unchanged",ROUNDUP(MIN((Table4[[#This Row],[Impact Sub Score]]+Table4[[#This Row],[Exploitability Sub Score]]),10),1),IF(Table4[[#This Row],[Scope]]="Changed",ROUNDUP(MIN((1.08*(Table4[[#This Row],[Impact Sub Score]]+Table4[[#This Row],[Exploitability Sub Score]])),10),1),NA())))</f>
        <v>6.6</v>
      </c>
      <c r="V129" s="251" t="s">
        <v>57</v>
      </c>
      <c r="W129" s="250">
        <f>VLOOKUP(Table4[[#This Row],[Threat Event Initiation]],NIST_Scale_LOAI[],2,FALSE)</f>
        <v>0.2</v>
      </c>
      <c r="X129" s="25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29"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9" s="51" t="s">
        <v>390</v>
      </c>
      <c r="AA129" s="243"/>
      <c r="AB129" s="253"/>
      <c r="AC129" s="243"/>
      <c r="AD129" s="243"/>
      <c r="AE129" s="243"/>
      <c r="AF129" s="248"/>
      <c r="AG129" s="248"/>
      <c r="AH129" s="248"/>
      <c r="AI129" s="248"/>
      <c r="AJ129" s="254"/>
      <c r="AK129" s="250"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29" s="250" t="e">
        <f>(1 - ((1 - VLOOKUP(Table4[[#This Row],[ConfidentialityP]],'Reference - CVSSv3.0'!$B$15:$C$17,2,FALSE)) * (1 - VLOOKUP(Table4[[#This Row],[IntegrityP]],'Reference - CVSSv3.0'!$B$15:$C$17,2,FALSE)) *  (1 - VLOOKUP(Table4[[#This Row],[AvailabilityP]],'Reference - CVSSv3.0'!$B$15:$C$17,2,FALSE))))</f>
        <v>#N/A</v>
      </c>
      <c r="AM129" s="250" t="e">
        <f>IF(Table4[[#This Row],[ScopeP]]="Unchanged",6.42*Table4[[#This Row],[ISC BaseP]],IF(Table4[[#This Row],[ScopeP]]="Changed",7.52*(Table4[[#This Row],[ISC BaseP]] - 0.029) - 3.25 * POWER(Table4[[#This Row],[ISC BaseP]] - 0.02,15),NA()))</f>
        <v>#N/A</v>
      </c>
      <c r="AN129"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9"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9" s="25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9" s="243"/>
    </row>
    <row r="130" spans="1:43" ht="93" customHeight="1" x14ac:dyDescent="0.25">
      <c r="A130" s="244">
        <v>126</v>
      </c>
      <c r="B130" s="245" t="s">
        <v>375</v>
      </c>
      <c r="C130" s="246" t="str">
        <f>IF(VLOOKUP(Table4[[#This Row],[T ID]],Table5[#All],5,FALSE)="No","Not in scope",VLOOKUP(Table4[[#This Row],[T ID]],Table5[#All],2,FALSE))</f>
        <v>Lack of evidence to conclude any malicious attempt/attack
(ST[R]IDE)</v>
      </c>
      <c r="D130" s="245" t="s">
        <v>383</v>
      </c>
      <c r="E130" s="246" t="str">
        <f>IF(VLOOKUP(Table4[[#This Row],[V ID]],Vulnerabilities[#All],3,FALSE)="No","Not in scope",VLOOKUP(Table4[[#This Row],[V ID]],Vulnerabilities[#All],2,FALSE))</f>
        <v>Insufficient Access permissions for accessing and modifying Log files</v>
      </c>
      <c r="F130" s="247" t="s">
        <v>108</v>
      </c>
      <c r="G130" s="246" t="str">
        <f>VLOOKUP(Table4[[#This Row],[A ID]],Assets[#All],3,FALSE)</f>
        <v>Smart medic app (Stryker Azure Cloud Web Application)</v>
      </c>
      <c r="H130" s="51" t="s">
        <v>386</v>
      </c>
      <c r="I130" s="243"/>
      <c r="J130" s="245" t="s">
        <v>57</v>
      </c>
      <c r="K130" s="245" t="s">
        <v>66</v>
      </c>
      <c r="L130" s="245" t="s">
        <v>57</v>
      </c>
      <c r="M130" s="248" t="s">
        <v>80</v>
      </c>
      <c r="N130" s="248" t="s">
        <v>57</v>
      </c>
      <c r="O130" s="248" t="s">
        <v>57</v>
      </c>
      <c r="P130" s="248" t="s">
        <v>78</v>
      </c>
      <c r="Q130" s="248" t="s">
        <v>75</v>
      </c>
      <c r="R130" s="249">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1.8345765900000002</v>
      </c>
      <c r="S130" s="250">
        <f>(1 - ((1 - VLOOKUP(Table4[[#This Row],[Confidentiality]],'Reference - CVSSv3.0'!$B$15:$C$17,2,FALSE)) * (1 - VLOOKUP(Table4[[#This Row],[Integrity]],'Reference - CVSSv3.0'!$B$15:$C$17,2,FALSE)) *  (1 - VLOOKUP(Table4[[#This Row],[Availability]],'Reference - CVSSv3.0'!$B$15:$C$17,2,FALSE))))</f>
        <v>0.73230400000000007</v>
      </c>
      <c r="T130" s="250">
        <f>IF(Table4[[#This Row],[Scope]]="Unchanged",6.42*Table4[[#This Row],[ISC Base]],IF(Table4[[#This Row],[Scope]]="Changed",7.52*(Table4[[#This Row],[ISC Base]] - 0.029) - 3.25 * POWER(Table4[[#This Row],[ISC Base]] - 0.02,15),NA()))</f>
        <v>4.7013916800000004</v>
      </c>
      <c r="U130" s="250">
        <f>IF(Table4[[#This Row],[Impact Sub Score]]&lt;=0,0,IF(Table4[[#This Row],[Scope]]="Unchanged",ROUNDUP(MIN((Table4[[#This Row],[Impact Sub Score]]+Table4[[#This Row],[Exploitability Sub Score]]),10),1),IF(Table4[[#This Row],[Scope]]="Changed",ROUNDUP(MIN((1.08*(Table4[[#This Row],[Impact Sub Score]]+Table4[[#This Row],[Exploitability Sub Score]])),10),1),NA())))</f>
        <v>6.6</v>
      </c>
      <c r="V130" s="251" t="s">
        <v>57</v>
      </c>
      <c r="W130" s="250">
        <f>VLOOKUP(Table4[[#This Row],[Threat Event Initiation]],NIST_Scale_LOAI[],2,FALSE)</f>
        <v>0.2</v>
      </c>
      <c r="X130" s="25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30" s="25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0" s="51" t="s">
        <v>390</v>
      </c>
      <c r="AA130" s="243"/>
      <c r="AB130" s="253"/>
      <c r="AC130" s="243"/>
      <c r="AD130" s="243"/>
      <c r="AE130" s="243"/>
      <c r="AF130" s="248"/>
      <c r="AG130" s="248"/>
      <c r="AH130" s="248"/>
      <c r="AI130" s="248"/>
      <c r="AJ130" s="254"/>
      <c r="AK130" s="250"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0" s="250" t="e">
        <f>(1 - ((1 - VLOOKUP(Table4[[#This Row],[ConfidentialityP]],'Reference - CVSSv3.0'!$B$15:$C$17,2,FALSE)) * (1 - VLOOKUP(Table4[[#This Row],[IntegrityP]],'Reference - CVSSv3.0'!$B$15:$C$17,2,FALSE)) *  (1 - VLOOKUP(Table4[[#This Row],[AvailabilityP]],'Reference - CVSSv3.0'!$B$15:$C$17,2,FALSE))))</f>
        <v>#N/A</v>
      </c>
      <c r="AM130" s="250" t="e">
        <f>IF(Table4[[#This Row],[ScopeP]]="Unchanged",6.42*Table4[[#This Row],[ISC BaseP]],IF(Table4[[#This Row],[ScopeP]]="Changed",7.52*(Table4[[#This Row],[ISC BaseP]] - 0.029) - 3.25 * POWER(Table4[[#This Row],[ISC BaseP]] - 0.02,15),NA()))</f>
        <v>#N/A</v>
      </c>
      <c r="AN130" s="25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0" s="25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0" s="25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0" s="243"/>
    </row>
    <row r="131" spans="1:43" ht="80.25" customHeight="1" x14ac:dyDescent="0.25">
      <c r="A131" s="260">
        <v>127</v>
      </c>
      <c r="B131" s="261" t="s">
        <v>376</v>
      </c>
      <c r="C131" s="262" t="str">
        <f>IF(VLOOKUP(Table4[[#This Row],[T ID]],Table5[#All],5,FALSE)="No","Not in scope",VLOOKUP(Table4[[#This Row],[T ID]],Table5[#All],2,FALSE))</f>
        <v>Unauthorized Alterations
(S[T]RIDE)</v>
      </c>
      <c r="D131" s="261" t="s">
        <v>143</v>
      </c>
      <c r="E131" s="262" t="str">
        <f>IF(VLOOKUP(Table4[[#This Row],[V ID]],Vulnerabilities[#All],3,FALSE)="No","Not in scope",VLOOKUP(Table4[[#This Row],[V ID]],Vulnerabilities[#All],2,FALSE))</f>
        <v>InSecure Configuration for Software/OS on Mobile Devices, Laptops, Workstations, and Servers</v>
      </c>
      <c r="F131" s="263" t="s">
        <v>117</v>
      </c>
      <c r="G131" s="262" t="str">
        <f>VLOOKUP(Table4[[#This Row],[A ID]],Assets[#All],3,FALSE)</f>
        <v>Electronic Health Records (EHR)/ Device Component status</v>
      </c>
      <c r="H131" s="270" t="s">
        <v>388</v>
      </c>
      <c r="I131" s="264"/>
      <c r="J131" s="261" t="s">
        <v>57</v>
      </c>
      <c r="K131" s="261" t="s">
        <v>66</v>
      </c>
      <c r="L131" s="261" t="s">
        <v>66</v>
      </c>
      <c r="M131" s="248" t="s">
        <v>80</v>
      </c>
      <c r="N131" s="265" t="s">
        <v>66</v>
      </c>
      <c r="O131" s="248" t="s">
        <v>57</v>
      </c>
      <c r="P131" s="248" t="s">
        <v>78</v>
      </c>
      <c r="Q131" s="248" t="s">
        <v>75</v>
      </c>
      <c r="R131"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31" s="267">
        <f>(1 - ((1 - VLOOKUP(Table4[[#This Row],[Confidentiality]],'Reference - CVSSv3.0'!$B$15:$C$17,2,FALSE)) * (1 - VLOOKUP(Table4[[#This Row],[Integrity]],'Reference - CVSSv3.0'!$B$15:$C$17,2,FALSE)) *  (1 - VLOOKUP(Table4[[#This Row],[Availability]],'Reference - CVSSv3.0'!$B$15:$C$17,2,FALSE))))</f>
        <v>0.84899200000000008</v>
      </c>
      <c r="T131" s="267">
        <f>IF(Table4[[#This Row],[Scope]]="Unchanged",6.42*Table4[[#This Row],[ISC Base]],IF(Table4[[#This Row],[Scope]]="Changed",7.52*(Table4[[#This Row],[ISC Base]] - 0.029) - 3.25 * POWER(Table4[[#This Row],[ISC Base]] - 0.02,15),NA()))</f>
        <v>5.4505286400000008</v>
      </c>
      <c r="U131"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31" s="268" t="s">
        <v>56</v>
      </c>
      <c r="W131" s="267">
        <f>VLOOKUP(Table4[[#This Row],[Threat Event Initiation]],NIST_Scale_LOAI[],2,FALSE)</f>
        <v>0.5</v>
      </c>
      <c r="X131"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31"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1" s="270" t="s">
        <v>391</v>
      </c>
      <c r="AA131" s="264"/>
      <c r="AB131" s="271"/>
      <c r="AC131" s="264"/>
      <c r="AD131" s="264"/>
      <c r="AE131" s="264"/>
      <c r="AF131" s="265"/>
      <c r="AG131" s="265"/>
      <c r="AH131" s="265"/>
      <c r="AI131" s="265"/>
      <c r="AJ131" s="272"/>
      <c r="AK131"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1" s="267" t="e">
        <f>(1 - ((1 - VLOOKUP(Table4[[#This Row],[ConfidentialityP]],'Reference - CVSSv3.0'!$B$15:$C$17,2,FALSE)) * (1 - VLOOKUP(Table4[[#This Row],[IntegrityP]],'Reference - CVSSv3.0'!$B$15:$C$17,2,FALSE)) *  (1 - VLOOKUP(Table4[[#This Row],[AvailabilityP]],'Reference - CVSSv3.0'!$B$15:$C$17,2,FALSE))))</f>
        <v>#N/A</v>
      </c>
      <c r="AM131" s="267" t="e">
        <f>IF(Table4[[#This Row],[ScopeP]]="Unchanged",6.42*Table4[[#This Row],[ISC BaseP]],IF(Table4[[#This Row],[ScopeP]]="Changed",7.52*(Table4[[#This Row],[ISC BaseP]] - 0.029) - 3.25 * POWER(Table4[[#This Row],[ISC BaseP]] - 0.02,15),NA()))</f>
        <v>#N/A</v>
      </c>
      <c r="AN131"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1"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1" s="264"/>
    </row>
    <row r="132" spans="1:43" ht="81.75" customHeight="1" x14ac:dyDescent="0.25">
      <c r="A132" s="260">
        <v>128</v>
      </c>
      <c r="B132" s="261" t="s">
        <v>376</v>
      </c>
      <c r="C132" s="262" t="str">
        <f>IF(VLOOKUP(Table4[[#This Row],[T ID]],Table5[#All],5,FALSE)="No","Not in scope",VLOOKUP(Table4[[#This Row],[T ID]],Table5[#All],2,FALSE))</f>
        <v>Unauthorized Alterations
(S[T]RIDE)</v>
      </c>
      <c r="D132" s="261" t="s">
        <v>143</v>
      </c>
      <c r="E132" s="262" t="str">
        <f>IF(VLOOKUP(Table4[[#This Row],[V ID]],Vulnerabilities[#All],3,FALSE)="No","Not in scope",VLOOKUP(Table4[[#This Row],[V ID]],Vulnerabilities[#All],2,FALSE))</f>
        <v>InSecure Configuration for Software/OS on Mobile Devices, Laptops, Workstations, and Servers</v>
      </c>
      <c r="F132" s="263" t="s">
        <v>120</v>
      </c>
      <c r="G132" s="262" t="str">
        <f>VLOOKUP(Table4[[#This Row],[A ID]],Assets[#All],3,FALSE)</f>
        <v>Data at Rest</v>
      </c>
      <c r="H132" s="270" t="s">
        <v>388</v>
      </c>
      <c r="I132" s="264"/>
      <c r="J132" s="261" t="s">
        <v>57</v>
      </c>
      <c r="K132" s="261" t="s">
        <v>66</v>
      </c>
      <c r="L132" s="261" t="s">
        <v>66</v>
      </c>
      <c r="M132" s="248" t="s">
        <v>80</v>
      </c>
      <c r="N132" s="265" t="s">
        <v>66</v>
      </c>
      <c r="O132" s="248" t="s">
        <v>57</v>
      </c>
      <c r="P132" s="248" t="s">
        <v>78</v>
      </c>
      <c r="Q132" s="248" t="s">
        <v>75</v>
      </c>
      <c r="R132"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32" s="267">
        <f>(1 - ((1 - VLOOKUP(Table4[[#This Row],[Confidentiality]],'Reference - CVSSv3.0'!$B$15:$C$17,2,FALSE)) * (1 - VLOOKUP(Table4[[#This Row],[Integrity]],'Reference - CVSSv3.0'!$B$15:$C$17,2,FALSE)) *  (1 - VLOOKUP(Table4[[#This Row],[Availability]],'Reference - CVSSv3.0'!$B$15:$C$17,2,FALSE))))</f>
        <v>0.84899200000000008</v>
      </c>
      <c r="T132" s="267">
        <f>IF(Table4[[#This Row],[Scope]]="Unchanged",6.42*Table4[[#This Row],[ISC Base]],IF(Table4[[#This Row],[Scope]]="Changed",7.52*(Table4[[#This Row],[ISC Base]] - 0.029) - 3.25 * POWER(Table4[[#This Row],[ISC Base]] - 0.02,15),NA()))</f>
        <v>5.4505286400000008</v>
      </c>
      <c r="U132"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32" s="268" t="s">
        <v>56</v>
      </c>
      <c r="W132" s="267">
        <f>VLOOKUP(Table4[[#This Row],[Threat Event Initiation]],NIST_Scale_LOAI[],2,FALSE)</f>
        <v>0.5</v>
      </c>
      <c r="X132"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32"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2" s="270" t="s">
        <v>391</v>
      </c>
      <c r="AA132" s="264"/>
      <c r="AB132" s="271"/>
      <c r="AC132" s="264"/>
      <c r="AD132" s="264"/>
      <c r="AE132" s="264"/>
      <c r="AF132" s="265"/>
      <c r="AG132" s="265"/>
      <c r="AH132" s="265"/>
      <c r="AI132" s="265"/>
      <c r="AJ132" s="272"/>
      <c r="AK132"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2" s="267" t="e">
        <f>(1 - ((1 - VLOOKUP(Table4[[#This Row],[ConfidentialityP]],'Reference - CVSSv3.0'!$B$15:$C$17,2,FALSE)) * (1 - VLOOKUP(Table4[[#This Row],[IntegrityP]],'Reference - CVSSv3.0'!$B$15:$C$17,2,FALSE)) *  (1 - VLOOKUP(Table4[[#This Row],[AvailabilityP]],'Reference - CVSSv3.0'!$B$15:$C$17,2,FALSE))))</f>
        <v>#N/A</v>
      </c>
      <c r="AM132" s="267" t="e">
        <f>IF(Table4[[#This Row],[ScopeP]]="Unchanged",6.42*Table4[[#This Row],[ISC BaseP]],IF(Table4[[#This Row],[ScopeP]]="Changed",7.52*(Table4[[#This Row],[ISC BaseP]] - 0.029) - 3.25 * POWER(Table4[[#This Row],[ISC BaseP]] - 0.02,15),NA()))</f>
        <v>#N/A</v>
      </c>
      <c r="AN132"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2"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2" s="264"/>
    </row>
    <row r="133" spans="1:43" ht="79.5" customHeight="1" x14ac:dyDescent="0.25">
      <c r="A133" s="260">
        <v>129</v>
      </c>
      <c r="B133" s="261" t="s">
        <v>376</v>
      </c>
      <c r="C133" s="262" t="str">
        <f>IF(VLOOKUP(Table4[[#This Row],[T ID]],Table5[#All],5,FALSE)="No","Not in scope",VLOOKUP(Table4[[#This Row],[T ID]],Table5[#All],2,FALSE))</f>
        <v>Unauthorized Alterations
(S[T]RIDE)</v>
      </c>
      <c r="D133" s="261" t="s">
        <v>143</v>
      </c>
      <c r="E133" s="262" t="str">
        <f>IF(VLOOKUP(Table4[[#This Row],[V ID]],Vulnerabilities[#All],3,FALSE)="No","Not in scope",VLOOKUP(Table4[[#This Row],[V ID]],Vulnerabilities[#All],2,FALSE))</f>
        <v>InSecure Configuration for Software/OS on Mobile Devices, Laptops, Workstations, and Servers</v>
      </c>
      <c r="F133" s="263" t="s">
        <v>110</v>
      </c>
      <c r="G133" s="262" t="str">
        <f>VLOOKUP(Table4[[#This Row],[A ID]],Assets[#All],3,FALSE)</f>
        <v>Azure Cloud DataBase</v>
      </c>
      <c r="H133" s="270" t="s">
        <v>388</v>
      </c>
      <c r="I133" s="264"/>
      <c r="J133" s="261" t="s">
        <v>57</v>
      </c>
      <c r="K133" s="261" t="s">
        <v>66</v>
      </c>
      <c r="L133" s="261" t="s">
        <v>66</v>
      </c>
      <c r="M133" s="248" t="s">
        <v>80</v>
      </c>
      <c r="N133" s="265" t="s">
        <v>66</v>
      </c>
      <c r="O133" s="248" t="s">
        <v>57</v>
      </c>
      <c r="P133" s="248" t="s">
        <v>78</v>
      </c>
      <c r="Q133" s="248" t="s">
        <v>75</v>
      </c>
      <c r="R133"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33" s="267">
        <f>(1 - ((1 - VLOOKUP(Table4[[#This Row],[Confidentiality]],'Reference - CVSSv3.0'!$B$15:$C$17,2,FALSE)) * (1 - VLOOKUP(Table4[[#This Row],[Integrity]],'Reference - CVSSv3.0'!$B$15:$C$17,2,FALSE)) *  (1 - VLOOKUP(Table4[[#This Row],[Availability]],'Reference - CVSSv3.0'!$B$15:$C$17,2,FALSE))))</f>
        <v>0.84899200000000008</v>
      </c>
      <c r="T133" s="267">
        <f>IF(Table4[[#This Row],[Scope]]="Unchanged",6.42*Table4[[#This Row],[ISC Base]],IF(Table4[[#This Row],[Scope]]="Changed",7.52*(Table4[[#This Row],[ISC Base]] - 0.029) - 3.25 * POWER(Table4[[#This Row],[ISC Base]] - 0.02,15),NA()))</f>
        <v>5.4505286400000008</v>
      </c>
      <c r="U133"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33" s="268" t="s">
        <v>56</v>
      </c>
      <c r="W133" s="267">
        <f>VLOOKUP(Table4[[#This Row],[Threat Event Initiation]],NIST_Scale_LOAI[],2,FALSE)</f>
        <v>0.5</v>
      </c>
      <c r="X133"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33"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3" s="270" t="s">
        <v>391</v>
      </c>
      <c r="AA133" s="264"/>
      <c r="AB133" s="271"/>
      <c r="AC133" s="264"/>
      <c r="AD133" s="264"/>
      <c r="AE133" s="264"/>
      <c r="AF133" s="265"/>
      <c r="AG133" s="265"/>
      <c r="AH133" s="265"/>
      <c r="AI133" s="265"/>
      <c r="AJ133" s="272"/>
      <c r="AK133"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3" s="267" t="e">
        <f>(1 - ((1 - VLOOKUP(Table4[[#This Row],[ConfidentialityP]],'Reference - CVSSv3.0'!$B$15:$C$17,2,FALSE)) * (1 - VLOOKUP(Table4[[#This Row],[IntegrityP]],'Reference - CVSSv3.0'!$B$15:$C$17,2,FALSE)) *  (1 - VLOOKUP(Table4[[#This Row],[AvailabilityP]],'Reference - CVSSv3.0'!$B$15:$C$17,2,FALSE))))</f>
        <v>#N/A</v>
      </c>
      <c r="AM133" s="267" t="e">
        <f>IF(Table4[[#This Row],[ScopeP]]="Unchanged",6.42*Table4[[#This Row],[ISC BaseP]],IF(Table4[[#This Row],[ScopeP]]="Changed",7.52*(Table4[[#This Row],[ISC BaseP]] - 0.029) - 3.25 * POWER(Table4[[#This Row],[ISC BaseP]] - 0.02,15),NA()))</f>
        <v>#N/A</v>
      </c>
      <c r="AN133"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3"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3"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3" s="264"/>
    </row>
    <row r="134" spans="1:43" ht="81" customHeight="1" x14ac:dyDescent="0.25">
      <c r="A134" s="260">
        <v>130</v>
      </c>
      <c r="B134" s="261" t="s">
        <v>376</v>
      </c>
      <c r="C134" s="262" t="str">
        <f>IF(VLOOKUP(Table4[[#This Row],[T ID]],Table5[#All],5,FALSE)="No","Not in scope",VLOOKUP(Table4[[#This Row],[T ID]],Table5[#All],2,FALSE))</f>
        <v>Unauthorized Alterations
(S[T]RIDE)</v>
      </c>
      <c r="D134" s="261" t="s">
        <v>143</v>
      </c>
      <c r="E134" s="262" t="str">
        <f>IF(VLOOKUP(Table4[[#This Row],[V ID]],Vulnerabilities[#All],3,FALSE)="No","Not in scope",VLOOKUP(Table4[[#This Row],[V ID]],Vulnerabilities[#All],2,FALSE))</f>
        <v>InSecure Configuration for Software/OS on Mobile Devices, Laptops, Workstations, and Servers</v>
      </c>
      <c r="F134" s="263" t="s">
        <v>111</v>
      </c>
      <c r="G134" s="262" t="str">
        <f>VLOOKUP(Table4[[#This Row],[A ID]],Assets[#All],3,FALSE)</f>
        <v>Health vital data</v>
      </c>
      <c r="H134" s="270" t="s">
        <v>388</v>
      </c>
      <c r="I134" s="264"/>
      <c r="J134" s="261" t="s">
        <v>57</v>
      </c>
      <c r="K134" s="261" t="s">
        <v>66</v>
      </c>
      <c r="L134" s="261" t="s">
        <v>66</v>
      </c>
      <c r="M134" s="248" t="s">
        <v>80</v>
      </c>
      <c r="N134" s="265" t="s">
        <v>66</v>
      </c>
      <c r="O134" s="248" t="s">
        <v>57</v>
      </c>
      <c r="P134" s="248" t="s">
        <v>78</v>
      </c>
      <c r="Q134" s="248" t="s">
        <v>75</v>
      </c>
      <c r="R134"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34" s="267">
        <f>(1 - ((1 - VLOOKUP(Table4[[#This Row],[Confidentiality]],'Reference - CVSSv3.0'!$B$15:$C$17,2,FALSE)) * (1 - VLOOKUP(Table4[[#This Row],[Integrity]],'Reference - CVSSv3.0'!$B$15:$C$17,2,FALSE)) *  (1 - VLOOKUP(Table4[[#This Row],[Availability]],'Reference - CVSSv3.0'!$B$15:$C$17,2,FALSE))))</f>
        <v>0.84899200000000008</v>
      </c>
      <c r="T134" s="267">
        <f>IF(Table4[[#This Row],[Scope]]="Unchanged",6.42*Table4[[#This Row],[ISC Base]],IF(Table4[[#This Row],[Scope]]="Changed",7.52*(Table4[[#This Row],[ISC Base]] - 0.029) - 3.25 * POWER(Table4[[#This Row],[ISC Base]] - 0.02,15),NA()))</f>
        <v>5.4505286400000008</v>
      </c>
      <c r="U134"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34" s="268" t="s">
        <v>56</v>
      </c>
      <c r="W134" s="267">
        <f>VLOOKUP(Table4[[#This Row],[Threat Event Initiation]],NIST_Scale_LOAI[],2,FALSE)</f>
        <v>0.5</v>
      </c>
      <c r="X134"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34"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4" s="270" t="s">
        <v>391</v>
      </c>
      <c r="AA134" s="264"/>
      <c r="AB134" s="271"/>
      <c r="AC134" s="264"/>
      <c r="AD134" s="264"/>
      <c r="AE134" s="264"/>
      <c r="AF134" s="265"/>
      <c r="AG134" s="265"/>
      <c r="AH134" s="265"/>
      <c r="AI134" s="265"/>
      <c r="AJ134" s="272"/>
      <c r="AK134"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4" s="267" t="e">
        <f>(1 - ((1 - VLOOKUP(Table4[[#This Row],[ConfidentialityP]],'Reference - CVSSv3.0'!$B$15:$C$17,2,FALSE)) * (1 - VLOOKUP(Table4[[#This Row],[IntegrityP]],'Reference - CVSSv3.0'!$B$15:$C$17,2,FALSE)) *  (1 - VLOOKUP(Table4[[#This Row],[AvailabilityP]],'Reference - CVSSv3.0'!$B$15:$C$17,2,FALSE))))</f>
        <v>#N/A</v>
      </c>
      <c r="AM134" s="267" t="e">
        <f>IF(Table4[[#This Row],[ScopeP]]="Unchanged",6.42*Table4[[#This Row],[ISC BaseP]],IF(Table4[[#This Row],[ScopeP]]="Changed",7.52*(Table4[[#This Row],[ISC BaseP]] - 0.029) - 3.25 * POWER(Table4[[#This Row],[ISC BaseP]] - 0.02,15),NA()))</f>
        <v>#N/A</v>
      </c>
      <c r="AN134"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4"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4"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4" s="264"/>
    </row>
    <row r="135" spans="1:43" ht="78" customHeight="1" x14ac:dyDescent="0.25">
      <c r="A135" s="260">
        <v>131</v>
      </c>
      <c r="B135" s="261" t="s">
        <v>376</v>
      </c>
      <c r="C135" s="262" t="str">
        <f>IF(VLOOKUP(Table4[[#This Row],[T ID]],Table5[#All],5,FALSE)="No","Not in scope",VLOOKUP(Table4[[#This Row],[T ID]],Table5[#All],2,FALSE))</f>
        <v>Unauthorized Alterations
(S[T]RIDE)</v>
      </c>
      <c r="D135" s="261" t="s">
        <v>144</v>
      </c>
      <c r="E135" s="262" t="str">
        <f>IF(VLOOKUP(Table4[[#This Row],[V ID]],Vulnerabilities[#All],3,FALSE)="No","Not in scope",VLOOKUP(Table4[[#This Row],[V ID]],Vulnerabilities[#All],2,FALSE))</f>
        <v>Legacy system identification if any</v>
      </c>
      <c r="F135" s="263" t="s">
        <v>113</v>
      </c>
      <c r="G135" s="262" t="str">
        <f>VLOOKUP(Table4[[#This Row],[A ID]],Assets[#All],3,FALSE)</f>
        <v>Tablet OS/network details &amp; Tablet Application</v>
      </c>
      <c r="H135" s="270" t="s">
        <v>388</v>
      </c>
      <c r="I135" s="264"/>
      <c r="J135" s="261" t="s">
        <v>57</v>
      </c>
      <c r="K135" s="261" t="s">
        <v>66</v>
      </c>
      <c r="L135" s="261" t="s">
        <v>66</v>
      </c>
      <c r="M135" s="248" t="s">
        <v>80</v>
      </c>
      <c r="N135" s="265" t="s">
        <v>66</v>
      </c>
      <c r="O135" s="248" t="s">
        <v>57</v>
      </c>
      <c r="P135" s="248" t="s">
        <v>78</v>
      </c>
      <c r="Q135" s="248" t="s">
        <v>75</v>
      </c>
      <c r="R135"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35" s="267">
        <f>(1 - ((1 - VLOOKUP(Table4[[#This Row],[Confidentiality]],'Reference - CVSSv3.0'!$B$15:$C$17,2,FALSE)) * (1 - VLOOKUP(Table4[[#This Row],[Integrity]],'Reference - CVSSv3.0'!$B$15:$C$17,2,FALSE)) *  (1 - VLOOKUP(Table4[[#This Row],[Availability]],'Reference - CVSSv3.0'!$B$15:$C$17,2,FALSE))))</f>
        <v>0.84899200000000008</v>
      </c>
      <c r="T135" s="267">
        <f>IF(Table4[[#This Row],[Scope]]="Unchanged",6.42*Table4[[#This Row],[ISC Base]],IF(Table4[[#This Row],[Scope]]="Changed",7.52*(Table4[[#This Row],[ISC Base]] - 0.029) - 3.25 * POWER(Table4[[#This Row],[ISC Base]] - 0.02,15),NA()))</f>
        <v>5.4505286400000008</v>
      </c>
      <c r="U135"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35" s="268" t="s">
        <v>56</v>
      </c>
      <c r="W135" s="267">
        <f>VLOOKUP(Table4[[#This Row],[Threat Event Initiation]],NIST_Scale_LOAI[],2,FALSE)</f>
        <v>0.5</v>
      </c>
      <c r="X135"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35"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5" s="270" t="s">
        <v>391</v>
      </c>
      <c r="AA135" s="264"/>
      <c r="AB135" s="271"/>
      <c r="AC135" s="264"/>
      <c r="AD135" s="264"/>
      <c r="AE135" s="264"/>
      <c r="AF135" s="265"/>
      <c r="AG135" s="265"/>
      <c r="AH135" s="265"/>
      <c r="AI135" s="265"/>
      <c r="AJ135" s="272"/>
      <c r="AK135"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5" s="267" t="e">
        <f>(1 - ((1 - VLOOKUP(Table4[[#This Row],[ConfidentialityP]],'Reference - CVSSv3.0'!$B$15:$C$17,2,FALSE)) * (1 - VLOOKUP(Table4[[#This Row],[IntegrityP]],'Reference - CVSSv3.0'!$B$15:$C$17,2,FALSE)) *  (1 - VLOOKUP(Table4[[#This Row],[AvailabilityP]],'Reference - CVSSv3.0'!$B$15:$C$17,2,FALSE))))</f>
        <v>#N/A</v>
      </c>
      <c r="AM135" s="267" t="e">
        <f>IF(Table4[[#This Row],[ScopeP]]="Unchanged",6.42*Table4[[#This Row],[ISC BaseP]],IF(Table4[[#This Row],[ScopeP]]="Changed",7.52*(Table4[[#This Row],[ISC BaseP]] - 0.029) - 3.25 * POWER(Table4[[#This Row],[ISC BaseP]] - 0.02,15),NA()))</f>
        <v>#N/A</v>
      </c>
      <c r="AN135"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5"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5"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5" s="264"/>
    </row>
    <row r="136" spans="1:43" ht="79.5" customHeight="1" x14ac:dyDescent="0.25">
      <c r="A136" s="260">
        <v>132</v>
      </c>
      <c r="B136" s="261" t="s">
        <v>376</v>
      </c>
      <c r="C136" s="262" t="str">
        <f>IF(VLOOKUP(Table4[[#This Row],[T ID]],Table5[#All],5,FALSE)="No","Not in scope",VLOOKUP(Table4[[#This Row],[T ID]],Table5[#All],2,FALSE))</f>
        <v>Unauthorized Alterations
(S[T]RIDE)</v>
      </c>
      <c r="D136" s="261" t="s">
        <v>145</v>
      </c>
      <c r="E136" s="262" t="str">
        <f>IF(VLOOKUP(Table4[[#This Row],[V ID]],Vulnerabilities[#All],3,FALSE)="No","Not in scope",VLOOKUP(Table4[[#This Row],[V ID]],Vulnerabilities[#All],2,FALSE))</f>
        <v>Outdated  - Software/Hardware</v>
      </c>
      <c r="F136" s="263" t="s">
        <v>113</v>
      </c>
      <c r="G136" s="262" t="str">
        <f>VLOOKUP(Table4[[#This Row],[A ID]],Assets[#All],3,FALSE)</f>
        <v>Tablet OS/network details &amp; Tablet Application</v>
      </c>
      <c r="H136" s="270" t="s">
        <v>388</v>
      </c>
      <c r="I136" s="264"/>
      <c r="J136" s="261" t="s">
        <v>57</v>
      </c>
      <c r="K136" s="261" t="s">
        <v>66</v>
      </c>
      <c r="L136" s="261" t="s">
        <v>66</v>
      </c>
      <c r="M136" s="248" t="s">
        <v>80</v>
      </c>
      <c r="N136" s="265" t="s">
        <v>66</v>
      </c>
      <c r="O136" s="248" t="s">
        <v>57</v>
      </c>
      <c r="P136" s="248" t="s">
        <v>78</v>
      </c>
      <c r="Q136" s="248" t="s">
        <v>75</v>
      </c>
      <c r="R136"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36" s="267">
        <f>(1 - ((1 - VLOOKUP(Table4[[#This Row],[Confidentiality]],'Reference - CVSSv3.0'!$B$15:$C$17,2,FALSE)) * (1 - VLOOKUP(Table4[[#This Row],[Integrity]],'Reference - CVSSv3.0'!$B$15:$C$17,2,FALSE)) *  (1 - VLOOKUP(Table4[[#This Row],[Availability]],'Reference - CVSSv3.0'!$B$15:$C$17,2,FALSE))))</f>
        <v>0.84899200000000008</v>
      </c>
      <c r="T136" s="267">
        <f>IF(Table4[[#This Row],[Scope]]="Unchanged",6.42*Table4[[#This Row],[ISC Base]],IF(Table4[[#This Row],[Scope]]="Changed",7.52*(Table4[[#This Row],[ISC Base]] - 0.029) - 3.25 * POWER(Table4[[#This Row],[ISC Base]] - 0.02,15),NA()))</f>
        <v>5.4505286400000008</v>
      </c>
      <c r="U136"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36" s="268" t="s">
        <v>56</v>
      </c>
      <c r="W136" s="267">
        <f>VLOOKUP(Table4[[#This Row],[Threat Event Initiation]],NIST_Scale_LOAI[],2,FALSE)</f>
        <v>0.5</v>
      </c>
      <c r="X136"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36"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6" s="270" t="s">
        <v>391</v>
      </c>
      <c r="AA136" s="264"/>
      <c r="AB136" s="271"/>
      <c r="AC136" s="264"/>
      <c r="AD136" s="264"/>
      <c r="AE136" s="264"/>
      <c r="AF136" s="265"/>
      <c r="AG136" s="265"/>
      <c r="AH136" s="265"/>
      <c r="AI136" s="265"/>
      <c r="AJ136" s="272"/>
      <c r="AK136"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6" s="267" t="e">
        <f>(1 - ((1 - VLOOKUP(Table4[[#This Row],[ConfidentialityP]],'Reference - CVSSv3.0'!$B$15:$C$17,2,FALSE)) * (1 - VLOOKUP(Table4[[#This Row],[IntegrityP]],'Reference - CVSSv3.0'!$B$15:$C$17,2,FALSE)) *  (1 - VLOOKUP(Table4[[#This Row],[AvailabilityP]],'Reference - CVSSv3.0'!$B$15:$C$17,2,FALSE))))</f>
        <v>#N/A</v>
      </c>
      <c r="AM136" s="267" t="e">
        <f>IF(Table4[[#This Row],[ScopeP]]="Unchanged",6.42*Table4[[#This Row],[ISC BaseP]],IF(Table4[[#This Row],[ScopeP]]="Changed",7.52*(Table4[[#This Row],[ISC BaseP]] - 0.029) - 3.25 * POWER(Table4[[#This Row],[ISC BaseP]] - 0.02,15),NA()))</f>
        <v>#N/A</v>
      </c>
      <c r="AN136"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6"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6"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6" s="264"/>
    </row>
    <row r="137" spans="1:43" ht="82.5" customHeight="1" x14ac:dyDescent="0.25">
      <c r="A137" s="260">
        <v>133</v>
      </c>
      <c r="B137" s="261" t="s">
        <v>376</v>
      </c>
      <c r="C137" s="262" t="str">
        <f>IF(VLOOKUP(Table4[[#This Row],[T ID]],Table5[#All],5,FALSE)="No","Not in scope",VLOOKUP(Table4[[#This Row],[T ID]],Table5[#All],2,FALSE))</f>
        <v>Unauthorized Alterations
(S[T]RIDE)</v>
      </c>
      <c r="D137" s="261" t="s">
        <v>145</v>
      </c>
      <c r="E137" s="262" t="str">
        <f>IF(VLOOKUP(Table4[[#This Row],[V ID]],Vulnerabilities[#All],3,FALSE)="No","Not in scope",VLOOKUP(Table4[[#This Row],[V ID]],Vulnerabilities[#All],2,FALSE))</f>
        <v>Outdated  - Software/Hardware</v>
      </c>
      <c r="F137" s="263" t="s">
        <v>114</v>
      </c>
      <c r="G137" s="262" t="str">
        <f>VLOOKUP(Table4[[#This Row],[A ID]],Assets[#All],3,FALSE)</f>
        <v>Smart medic (Stryker device) System Component</v>
      </c>
      <c r="H137" s="270" t="s">
        <v>388</v>
      </c>
      <c r="I137" s="264"/>
      <c r="J137" s="261" t="s">
        <v>57</v>
      </c>
      <c r="K137" s="261" t="s">
        <v>66</v>
      </c>
      <c r="L137" s="261" t="s">
        <v>66</v>
      </c>
      <c r="M137" s="248" t="s">
        <v>80</v>
      </c>
      <c r="N137" s="265" t="s">
        <v>66</v>
      </c>
      <c r="O137" s="248" t="s">
        <v>57</v>
      </c>
      <c r="P137" s="248" t="s">
        <v>78</v>
      </c>
      <c r="Q137" s="248" t="s">
        <v>75</v>
      </c>
      <c r="R137"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37" s="267">
        <f>(1 - ((1 - VLOOKUP(Table4[[#This Row],[Confidentiality]],'Reference - CVSSv3.0'!$B$15:$C$17,2,FALSE)) * (1 - VLOOKUP(Table4[[#This Row],[Integrity]],'Reference - CVSSv3.0'!$B$15:$C$17,2,FALSE)) *  (1 - VLOOKUP(Table4[[#This Row],[Availability]],'Reference - CVSSv3.0'!$B$15:$C$17,2,FALSE))))</f>
        <v>0.84899200000000008</v>
      </c>
      <c r="T137" s="267">
        <f>IF(Table4[[#This Row],[Scope]]="Unchanged",6.42*Table4[[#This Row],[ISC Base]],IF(Table4[[#This Row],[Scope]]="Changed",7.52*(Table4[[#This Row],[ISC Base]] - 0.029) - 3.25 * POWER(Table4[[#This Row],[ISC Base]] - 0.02,15),NA()))</f>
        <v>5.4505286400000008</v>
      </c>
      <c r="U137"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37" s="268" t="s">
        <v>56</v>
      </c>
      <c r="W137" s="267">
        <f>VLOOKUP(Table4[[#This Row],[Threat Event Initiation]],NIST_Scale_LOAI[],2,FALSE)</f>
        <v>0.5</v>
      </c>
      <c r="X137"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37"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7" s="270" t="s">
        <v>391</v>
      </c>
      <c r="AA137" s="264"/>
      <c r="AB137" s="271"/>
      <c r="AC137" s="264"/>
      <c r="AD137" s="264"/>
      <c r="AE137" s="264"/>
      <c r="AF137" s="265"/>
      <c r="AG137" s="265"/>
      <c r="AH137" s="265"/>
      <c r="AI137" s="265"/>
      <c r="AJ137" s="272"/>
      <c r="AK137"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7" s="267" t="e">
        <f>(1 - ((1 - VLOOKUP(Table4[[#This Row],[ConfidentialityP]],'Reference - CVSSv3.0'!$B$15:$C$17,2,FALSE)) * (1 - VLOOKUP(Table4[[#This Row],[IntegrityP]],'Reference - CVSSv3.0'!$B$15:$C$17,2,FALSE)) *  (1 - VLOOKUP(Table4[[#This Row],[AvailabilityP]],'Reference - CVSSv3.0'!$B$15:$C$17,2,FALSE))))</f>
        <v>#N/A</v>
      </c>
      <c r="AM137" s="267" t="e">
        <f>IF(Table4[[#This Row],[ScopeP]]="Unchanged",6.42*Table4[[#This Row],[ISC BaseP]],IF(Table4[[#This Row],[ScopeP]]="Changed",7.52*(Table4[[#This Row],[ISC BaseP]] - 0.029) - 3.25 * POWER(Table4[[#This Row],[ISC BaseP]] - 0.02,15),NA()))</f>
        <v>#N/A</v>
      </c>
      <c r="AN137"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7"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7"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7" s="264"/>
    </row>
    <row r="138" spans="1:43" ht="81" customHeight="1" x14ac:dyDescent="0.25">
      <c r="A138" s="260">
        <v>134</v>
      </c>
      <c r="B138" s="261" t="s">
        <v>376</v>
      </c>
      <c r="C138" s="262" t="str">
        <f>IF(VLOOKUP(Table4[[#This Row],[T ID]],Table5[#All],5,FALSE)="No","Not in scope",VLOOKUP(Table4[[#This Row],[T ID]],Table5[#All],2,FALSE))</f>
        <v>Unauthorized Alterations
(S[T]RIDE)</v>
      </c>
      <c r="D138" s="261" t="s">
        <v>145</v>
      </c>
      <c r="E138" s="262" t="str">
        <f>IF(VLOOKUP(Table4[[#This Row],[V ID]],Vulnerabilities[#All],3,FALSE)="No","Not in scope",VLOOKUP(Table4[[#This Row],[V ID]],Vulnerabilities[#All],2,FALSE))</f>
        <v>Outdated  - Software/Hardware</v>
      </c>
      <c r="F138" s="263" t="s">
        <v>116</v>
      </c>
      <c r="G138" s="262" t="str">
        <f>VLOOKUP(Table4[[#This Row],[A ID]],Assets[#All],3,FALSE)</f>
        <v>Device Maintainence tool (Hardware/Software)</v>
      </c>
      <c r="H138" s="270" t="s">
        <v>388</v>
      </c>
      <c r="I138" s="264"/>
      <c r="J138" s="261" t="s">
        <v>57</v>
      </c>
      <c r="K138" s="261" t="s">
        <v>66</v>
      </c>
      <c r="L138" s="261" t="s">
        <v>66</v>
      </c>
      <c r="M138" s="248" t="s">
        <v>80</v>
      </c>
      <c r="N138" s="265" t="s">
        <v>66</v>
      </c>
      <c r="O138" s="248" t="s">
        <v>57</v>
      </c>
      <c r="P138" s="248" t="s">
        <v>78</v>
      </c>
      <c r="Q138" s="248" t="s">
        <v>75</v>
      </c>
      <c r="R138"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38" s="267">
        <f>(1 - ((1 - VLOOKUP(Table4[[#This Row],[Confidentiality]],'Reference - CVSSv3.0'!$B$15:$C$17,2,FALSE)) * (1 - VLOOKUP(Table4[[#This Row],[Integrity]],'Reference - CVSSv3.0'!$B$15:$C$17,2,FALSE)) *  (1 - VLOOKUP(Table4[[#This Row],[Availability]],'Reference - CVSSv3.0'!$B$15:$C$17,2,FALSE))))</f>
        <v>0.84899200000000008</v>
      </c>
      <c r="T138" s="267">
        <f>IF(Table4[[#This Row],[Scope]]="Unchanged",6.42*Table4[[#This Row],[ISC Base]],IF(Table4[[#This Row],[Scope]]="Changed",7.52*(Table4[[#This Row],[ISC Base]] - 0.029) - 3.25 * POWER(Table4[[#This Row],[ISC Base]] - 0.02,15),NA()))</f>
        <v>5.4505286400000008</v>
      </c>
      <c r="U138"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38" s="268" t="s">
        <v>56</v>
      </c>
      <c r="W138" s="267">
        <f>VLOOKUP(Table4[[#This Row],[Threat Event Initiation]],NIST_Scale_LOAI[],2,FALSE)</f>
        <v>0.5</v>
      </c>
      <c r="X138"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38"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8" s="270" t="s">
        <v>391</v>
      </c>
      <c r="AA138" s="264"/>
      <c r="AB138" s="271"/>
      <c r="AC138" s="264"/>
      <c r="AD138" s="264"/>
      <c r="AE138" s="264"/>
      <c r="AF138" s="265"/>
      <c r="AG138" s="265"/>
      <c r="AH138" s="265"/>
      <c r="AI138" s="265"/>
      <c r="AJ138" s="272"/>
      <c r="AK138"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8" s="267" t="e">
        <f>(1 - ((1 - VLOOKUP(Table4[[#This Row],[ConfidentialityP]],'Reference - CVSSv3.0'!$B$15:$C$17,2,FALSE)) * (1 - VLOOKUP(Table4[[#This Row],[IntegrityP]],'Reference - CVSSv3.0'!$B$15:$C$17,2,FALSE)) *  (1 - VLOOKUP(Table4[[#This Row],[AvailabilityP]],'Reference - CVSSv3.0'!$B$15:$C$17,2,FALSE))))</f>
        <v>#N/A</v>
      </c>
      <c r="AM138" s="267" t="e">
        <f>IF(Table4[[#This Row],[ScopeP]]="Unchanged",6.42*Table4[[#This Row],[ISC BaseP]],IF(Table4[[#This Row],[ScopeP]]="Changed",7.52*(Table4[[#This Row],[ISC BaseP]] - 0.029) - 3.25 * POWER(Table4[[#This Row],[ISC BaseP]] - 0.02,15),NA()))</f>
        <v>#N/A</v>
      </c>
      <c r="AN138"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8"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8"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8" s="264"/>
    </row>
    <row r="139" spans="1:43" ht="75.75" customHeight="1" x14ac:dyDescent="0.25">
      <c r="A139" s="260">
        <v>135</v>
      </c>
      <c r="B139" s="261" t="s">
        <v>376</v>
      </c>
      <c r="C139" s="262" t="str">
        <f>IF(VLOOKUP(Table4[[#This Row],[T ID]],Table5[#All],5,FALSE)="No","Not in scope",VLOOKUP(Table4[[#This Row],[T ID]],Table5[#All],2,FALSE))</f>
        <v>Unauthorized Alterations
(S[T]RIDE)</v>
      </c>
      <c r="D139" s="261" t="s">
        <v>145</v>
      </c>
      <c r="E139" s="262" t="str">
        <f>IF(VLOOKUP(Table4[[#This Row],[V ID]],Vulnerabilities[#All],3,FALSE)="No","Not in scope",VLOOKUP(Table4[[#This Row],[V ID]],Vulnerabilities[#All],2,FALSE))</f>
        <v>Outdated  - Software/Hardware</v>
      </c>
      <c r="F139" s="263" t="s">
        <v>108</v>
      </c>
      <c r="G139" s="262" t="str">
        <f>VLOOKUP(Table4[[#This Row],[A ID]],Assets[#All],3,FALSE)</f>
        <v>Smart medic app (Stryker Azure Cloud Web Application)</v>
      </c>
      <c r="H139" s="270" t="s">
        <v>388</v>
      </c>
      <c r="I139" s="264"/>
      <c r="J139" s="261" t="s">
        <v>57</v>
      </c>
      <c r="K139" s="261" t="s">
        <v>66</v>
      </c>
      <c r="L139" s="261" t="s">
        <v>66</v>
      </c>
      <c r="M139" s="248" t="s">
        <v>80</v>
      </c>
      <c r="N139" s="265" t="s">
        <v>66</v>
      </c>
      <c r="O139" s="248" t="s">
        <v>57</v>
      </c>
      <c r="P139" s="248" t="s">
        <v>78</v>
      </c>
      <c r="Q139" s="248" t="s">
        <v>75</v>
      </c>
      <c r="R139"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39" s="267">
        <f>(1 - ((1 - VLOOKUP(Table4[[#This Row],[Confidentiality]],'Reference - CVSSv3.0'!$B$15:$C$17,2,FALSE)) * (1 - VLOOKUP(Table4[[#This Row],[Integrity]],'Reference - CVSSv3.0'!$B$15:$C$17,2,FALSE)) *  (1 - VLOOKUP(Table4[[#This Row],[Availability]],'Reference - CVSSv3.0'!$B$15:$C$17,2,FALSE))))</f>
        <v>0.84899200000000008</v>
      </c>
      <c r="T139" s="267">
        <f>IF(Table4[[#This Row],[Scope]]="Unchanged",6.42*Table4[[#This Row],[ISC Base]],IF(Table4[[#This Row],[Scope]]="Changed",7.52*(Table4[[#This Row],[ISC Base]] - 0.029) - 3.25 * POWER(Table4[[#This Row],[ISC Base]] - 0.02,15),NA()))</f>
        <v>5.4505286400000008</v>
      </c>
      <c r="U139"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39" s="268" t="s">
        <v>56</v>
      </c>
      <c r="W139" s="267">
        <f>VLOOKUP(Table4[[#This Row],[Threat Event Initiation]],NIST_Scale_LOAI[],2,FALSE)</f>
        <v>0.5</v>
      </c>
      <c r="X139"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39"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9" s="270" t="s">
        <v>391</v>
      </c>
      <c r="AA139" s="264"/>
      <c r="AB139" s="271"/>
      <c r="AC139" s="264"/>
      <c r="AD139" s="264"/>
      <c r="AE139" s="264"/>
      <c r="AF139" s="265"/>
      <c r="AG139" s="265"/>
      <c r="AH139" s="265"/>
      <c r="AI139" s="265"/>
      <c r="AJ139" s="272"/>
      <c r="AK139"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39" s="267" t="e">
        <f>(1 - ((1 - VLOOKUP(Table4[[#This Row],[ConfidentialityP]],'Reference - CVSSv3.0'!$B$15:$C$17,2,FALSE)) * (1 - VLOOKUP(Table4[[#This Row],[IntegrityP]],'Reference - CVSSv3.0'!$B$15:$C$17,2,FALSE)) *  (1 - VLOOKUP(Table4[[#This Row],[AvailabilityP]],'Reference - CVSSv3.0'!$B$15:$C$17,2,FALSE))))</f>
        <v>#N/A</v>
      </c>
      <c r="AM139" s="267" t="e">
        <f>IF(Table4[[#This Row],[ScopeP]]="Unchanged",6.42*Table4[[#This Row],[ISC BaseP]],IF(Table4[[#This Row],[ScopeP]]="Changed",7.52*(Table4[[#This Row],[ISC BaseP]] - 0.029) - 3.25 * POWER(Table4[[#This Row],[ISC BaseP]] - 0.02,15),NA()))</f>
        <v>#N/A</v>
      </c>
      <c r="AN139"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9"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9"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9" s="264"/>
    </row>
    <row r="140" spans="1:43" ht="78" customHeight="1" x14ac:dyDescent="0.25">
      <c r="A140" s="260">
        <v>136</v>
      </c>
      <c r="B140" s="261" t="s">
        <v>376</v>
      </c>
      <c r="C140" s="262" t="str">
        <f>IF(VLOOKUP(Table4[[#This Row],[T ID]],Table5[#All],5,FALSE)="No","Not in scope",VLOOKUP(Table4[[#This Row],[T ID]],Table5[#All],2,FALSE))</f>
        <v>Unauthorized Alterations
(S[T]RIDE)</v>
      </c>
      <c r="D140" s="261" t="s">
        <v>145</v>
      </c>
      <c r="E140" s="262" t="str">
        <f>IF(VLOOKUP(Table4[[#This Row],[V ID]],Vulnerabilities[#All],3,FALSE)="No","Not in scope",VLOOKUP(Table4[[#This Row],[V ID]],Vulnerabilities[#All],2,FALSE))</f>
        <v>Outdated  - Software/Hardware</v>
      </c>
      <c r="F140" s="263" t="s">
        <v>109</v>
      </c>
      <c r="G140" s="262" t="str">
        <f>VLOOKUP(Table4[[#This Row],[A ID]],Assets[#All],3,FALSE)</f>
        <v>Smart medic app (Azure Portal Administrator)</v>
      </c>
      <c r="H140" s="270" t="s">
        <v>388</v>
      </c>
      <c r="I140" s="264"/>
      <c r="J140" s="261" t="s">
        <v>57</v>
      </c>
      <c r="K140" s="261" t="s">
        <v>66</v>
      </c>
      <c r="L140" s="261" t="s">
        <v>66</v>
      </c>
      <c r="M140" s="248" t="s">
        <v>80</v>
      </c>
      <c r="N140" s="265" t="s">
        <v>66</v>
      </c>
      <c r="O140" s="248" t="s">
        <v>57</v>
      </c>
      <c r="P140" s="248" t="s">
        <v>78</v>
      </c>
      <c r="Q140" s="248" t="s">
        <v>75</v>
      </c>
      <c r="R140"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40" s="267">
        <f>(1 - ((1 - VLOOKUP(Table4[[#This Row],[Confidentiality]],'Reference - CVSSv3.0'!$B$15:$C$17,2,FALSE)) * (1 - VLOOKUP(Table4[[#This Row],[Integrity]],'Reference - CVSSv3.0'!$B$15:$C$17,2,FALSE)) *  (1 - VLOOKUP(Table4[[#This Row],[Availability]],'Reference - CVSSv3.0'!$B$15:$C$17,2,FALSE))))</f>
        <v>0.84899200000000008</v>
      </c>
      <c r="T140" s="267">
        <f>IF(Table4[[#This Row],[Scope]]="Unchanged",6.42*Table4[[#This Row],[ISC Base]],IF(Table4[[#This Row],[Scope]]="Changed",7.52*(Table4[[#This Row],[ISC Base]] - 0.029) - 3.25 * POWER(Table4[[#This Row],[ISC Base]] - 0.02,15),NA()))</f>
        <v>5.4505286400000008</v>
      </c>
      <c r="U140"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40" s="268" t="s">
        <v>56</v>
      </c>
      <c r="W140" s="267">
        <f>VLOOKUP(Table4[[#This Row],[Threat Event Initiation]],NIST_Scale_LOAI[],2,FALSE)</f>
        <v>0.5</v>
      </c>
      <c r="X140"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40"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0" s="270" t="s">
        <v>391</v>
      </c>
      <c r="AA140" s="264"/>
      <c r="AB140" s="271"/>
      <c r="AC140" s="264"/>
      <c r="AD140" s="264"/>
      <c r="AE140" s="264"/>
      <c r="AF140" s="265"/>
      <c r="AG140" s="265"/>
      <c r="AH140" s="265"/>
      <c r="AI140" s="265"/>
      <c r="AJ140" s="272"/>
      <c r="AK140"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40" s="267" t="e">
        <f>(1 - ((1 - VLOOKUP(Table4[[#This Row],[ConfidentialityP]],'Reference - CVSSv3.0'!$B$15:$C$17,2,FALSE)) * (1 - VLOOKUP(Table4[[#This Row],[IntegrityP]],'Reference - CVSSv3.0'!$B$15:$C$17,2,FALSE)) *  (1 - VLOOKUP(Table4[[#This Row],[AvailabilityP]],'Reference - CVSSv3.0'!$B$15:$C$17,2,FALSE))))</f>
        <v>#N/A</v>
      </c>
      <c r="AM140" s="267" t="e">
        <f>IF(Table4[[#This Row],[ScopeP]]="Unchanged",6.42*Table4[[#This Row],[ISC BaseP]],IF(Table4[[#This Row],[ScopeP]]="Changed",7.52*(Table4[[#This Row],[ISC BaseP]] - 0.029) - 3.25 * POWER(Table4[[#This Row],[ISC BaseP]] - 0.02,15),NA()))</f>
        <v>#N/A</v>
      </c>
      <c r="AN140"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0"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0"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0" s="264"/>
    </row>
    <row r="141" spans="1:43" ht="76.5" customHeight="1" x14ac:dyDescent="0.25">
      <c r="A141" s="260">
        <v>137</v>
      </c>
      <c r="B141" s="261" t="s">
        <v>376</v>
      </c>
      <c r="C141" s="262" t="str">
        <f>IF(VLOOKUP(Table4[[#This Row],[T ID]],Table5[#All],5,FALSE)="No","Not in scope",VLOOKUP(Table4[[#This Row],[T ID]],Table5[#All],2,FALSE))</f>
        <v>Unauthorized Alterations
(S[T]RIDE)</v>
      </c>
      <c r="D141" s="261" t="s">
        <v>355</v>
      </c>
      <c r="E141" s="262" t="str">
        <f>IF(VLOOKUP(Table4[[#This Row],[V ID]],Vulnerabilities[#All],3,FALSE)="No","Not in scope",VLOOKUP(Table4[[#This Row],[V ID]],Vulnerabilities[#All],2,FALSE))</f>
        <v>Lack of Authorization policies &amp; Management</v>
      </c>
      <c r="F141" s="263" t="s">
        <v>113</v>
      </c>
      <c r="G141" s="262" t="str">
        <f>VLOOKUP(Table4[[#This Row],[A ID]],Assets[#All],3,FALSE)</f>
        <v>Tablet OS/network details &amp; Tablet Application</v>
      </c>
      <c r="H141" s="270" t="s">
        <v>388</v>
      </c>
      <c r="I141" s="264"/>
      <c r="J141" s="261" t="s">
        <v>57</v>
      </c>
      <c r="K141" s="261" t="s">
        <v>66</v>
      </c>
      <c r="L141" s="261" t="s">
        <v>66</v>
      </c>
      <c r="M141" s="248" t="s">
        <v>80</v>
      </c>
      <c r="N141" s="265" t="s">
        <v>66</v>
      </c>
      <c r="O141" s="248" t="s">
        <v>57</v>
      </c>
      <c r="P141" s="248" t="s">
        <v>78</v>
      </c>
      <c r="Q141" s="248" t="s">
        <v>75</v>
      </c>
      <c r="R141"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41" s="267">
        <f>(1 - ((1 - VLOOKUP(Table4[[#This Row],[Confidentiality]],'Reference - CVSSv3.0'!$B$15:$C$17,2,FALSE)) * (1 - VLOOKUP(Table4[[#This Row],[Integrity]],'Reference - CVSSv3.0'!$B$15:$C$17,2,FALSE)) *  (1 - VLOOKUP(Table4[[#This Row],[Availability]],'Reference - CVSSv3.0'!$B$15:$C$17,2,FALSE))))</f>
        <v>0.84899200000000008</v>
      </c>
      <c r="T141" s="267">
        <f>IF(Table4[[#This Row],[Scope]]="Unchanged",6.42*Table4[[#This Row],[ISC Base]],IF(Table4[[#This Row],[Scope]]="Changed",7.52*(Table4[[#This Row],[ISC Base]] - 0.029) - 3.25 * POWER(Table4[[#This Row],[ISC Base]] - 0.02,15),NA()))</f>
        <v>5.4505286400000008</v>
      </c>
      <c r="U141"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41" s="268" t="s">
        <v>56</v>
      </c>
      <c r="W141" s="267">
        <f>VLOOKUP(Table4[[#This Row],[Threat Event Initiation]],NIST_Scale_LOAI[],2,FALSE)</f>
        <v>0.5</v>
      </c>
      <c r="X141"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41"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1" s="270" t="s">
        <v>392</v>
      </c>
      <c r="AA141" s="264"/>
      <c r="AB141" s="271"/>
      <c r="AC141" s="264"/>
      <c r="AD141" s="264"/>
      <c r="AE141" s="264"/>
      <c r="AF141" s="265"/>
      <c r="AG141" s="265"/>
      <c r="AH141" s="265"/>
      <c r="AI141" s="265"/>
      <c r="AJ141" s="272"/>
      <c r="AK141"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41" s="267" t="e">
        <f>(1 - ((1 - VLOOKUP(Table4[[#This Row],[ConfidentialityP]],'Reference - CVSSv3.0'!$B$15:$C$17,2,FALSE)) * (1 - VLOOKUP(Table4[[#This Row],[IntegrityP]],'Reference - CVSSv3.0'!$B$15:$C$17,2,FALSE)) *  (1 - VLOOKUP(Table4[[#This Row],[AvailabilityP]],'Reference - CVSSv3.0'!$B$15:$C$17,2,FALSE))))</f>
        <v>#N/A</v>
      </c>
      <c r="AM141" s="267" t="e">
        <f>IF(Table4[[#This Row],[ScopeP]]="Unchanged",6.42*Table4[[#This Row],[ISC BaseP]],IF(Table4[[#This Row],[ScopeP]]="Changed",7.52*(Table4[[#This Row],[ISC BaseP]] - 0.029) - 3.25 * POWER(Table4[[#This Row],[ISC BaseP]] - 0.02,15),NA()))</f>
        <v>#N/A</v>
      </c>
      <c r="AN141"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1"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1"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1" s="264"/>
    </row>
    <row r="142" spans="1:43" ht="81" customHeight="1" x14ac:dyDescent="0.25">
      <c r="A142" s="260">
        <v>138</v>
      </c>
      <c r="B142" s="261" t="s">
        <v>376</v>
      </c>
      <c r="C142" s="262" t="str">
        <f>IF(VLOOKUP(Table4[[#This Row],[T ID]],Table5[#All],5,FALSE)="No","Not in scope",VLOOKUP(Table4[[#This Row],[T ID]],Table5[#All],2,FALSE))</f>
        <v>Unauthorized Alterations
(S[T]RIDE)</v>
      </c>
      <c r="D142" s="261" t="s">
        <v>355</v>
      </c>
      <c r="E142" s="262" t="str">
        <f>IF(VLOOKUP(Table4[[#This Row],[V ID]],Vulnerabilities[#All],3,FALSE)="No","Not in scope",VLOOKUP(Table4[[#This Row],[V ID]],Vulnerabilities[#All],2,FALSE))</f>
        <v>Lack of Authorization policies &amp; Management</v>
      </c>
      <c r="F142" s="263" t="s">
        <v>115</v>
      </c>
      <c r="G142" s="262" t="str">
        <f>VLOOKUP(Table4[[#This Row],[A ID]],Assets[#All],3,FALSE)</f>
        <v xml:space="preserve">Authenication/Authorisation data </v>
      </c>
      <c r="H142" s="270" t="s">
        <v>388</v>
      </c>
      <c r="I142" s="264"/>
      <c r="J142" s="261" t="s">
        <v>57</v>
      </c>
      <c r="K142" s="261" t="s">
        <v>66</v>
      </c>
      <c r="L142" s="261" t="s">
        <v>66</v>
      </c>
      <c r="M142" s="248" t="s">
        <v>80</v>
      </c>
      <c r="N142" s="265" t="s">
        <v>66</v>
      </c>
      <c r="O142" s="248" t="s">
        <v>57</v>
      </c>
      <c r="P142" s="248" t="s">
        <v>78</v>
      </c>
      <c r="Q142" s="248" t="s">
        <v>75</v>
      </c>
      <c r="R142"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42" s="267">
        <f>(1 - ((1 - VLOOKUP(Table4[[#This Row],[Confidentiality]],'Reference - CVSSv3.0'!$B$15:$C$17,2,FALSE)) * (1 - VLOOKUP(Table4[[#This Row],[Integrity]],'Reference - CVSSv3.0'!$B$15:$C$17,2,FALSE)) *  (1 - VLOOKUP(Table4[[#This Row],[Availability]],'Reference - CVSSv3.0'!$B$15:$C$17,2,FALSE))))</f>
        <v>0.84899200000000008</v>
      </c>
      <c r="T142" s="267">
        <f>IF(Table4[[#This Row],[Scope]]="Unchanged",6.42*Table4[[#This Row],[ISC Base]],IF(Table4[[#This Row],[Scope]]="Changed",7.52*(Table4[[#This Row],[ISC Base]] - 0.029) - 3.25 * POWER(Table4[[#This Row],[ISC Base]] - 0.02,15),NA()))</f>
        <v>5.4505286400000008</v>
      </c>
      <c r="U142"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42" s="268" t="s">
        <v>56</v>
      </c>
      <c r="W142" s="267">
        <f>VLOOKUP(Table4[[#This Row],[Threat Event Initiation]],NIST_Scale_LOAI[],2,FALSE)</f>
        <v>0.5</v>
      </c>
      <c r="X142"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42"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2" s="270" t="s">
        <v>392</v>
      </c>
      <c r="AA142" s="264"/>
      <c r="AB142" s="271"/>
      <c r="AC142" s="264"/>
      <c r="AD142" s="264"/>
      <c r="AE142" s="264"/>
      <c r="AF142" s="265"/>
      <c r="AG142" s="265"/>
      <c r="AH142" s="265"/>
      <c r="AI142" s="265"/>
      <c r="AJ142" s="272"/>
      <c r="AK142"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42" s="267" t="e">
        <f>(1 - ((1 - VLOOKUP(Table4[[#This Row],[ConfidentialityP]],'Reference - CVSSv3.0'!$B$15:$C$17,2,FALSE)) * (1 - VLOOKUP(Table4[[#This Row],[IntegrityP]],'Reference - CVSSv3.0'!$B$15:$C$17,2,FALSE)) *  (1 - VLOOKUP(Table4[[#This Row],[AvailabilityP]],'Reference - CVSSv3.0'!$B$15:$C$17,2,FALSE))))</f>
        <v>#N/A</v>
      </c>
      <c r="AM142" s="267" t="e">
        <f>IF(Table4[[#This Row],[ScopeP]]="Unchanged",6.42*Table4[[#This Row],[ISC BaseP]],IF(Table4[[#This Row],[ScopeP]]="Changed",7.52*(Table4[[#This Row],[ISC BaseP]] - 0.029) - 3.25 * POWER(Table4[[#This Row],[ISC BaseP]] - 0.02,15),NA()))</f>
        <v>#N/A</v>
      </c>
      <c r="AN142"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2"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2"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2" s="264"/>
    </row>
    <row r="143" spans="1:43" ht="80.25" customHeight="1" x14ac:dyDescent="0.25">
      <c r="A143" s="260">
        <v>139</v>
      </c>
      <c r="B143" s="261" t="s">
        <v>376</v>
      </c>
      <c r="C143" s="262" t="str">
        <f>IF(VLOOKUP(Table4[[#This Row],[T ID]],Table5[#All],5,FALSE)="No","Not in scope",VLOOKUP(Table4[[#This Row],[T ID]],Table5[#All],2,FALSE))</f>
        <v>Unauthorized Alterations
(S[T]RIDE)</v>
      </c>
      <c r="D143" s="261" t="s">
        <v>355</v>
      </c>
      <c r="E143" s="262" t="str">
        <f>IF(VLOOKUP(Table4[[#This Row],[V ID]],Vulnerabilities[#All],3,FALSE)="No","Not in scope",VLOOKUP(Table4[[#This Row],[V ID]],Vulnerabilities[#All],2,FALSE))</f>
        <v>Lack of Authorization policies &amp; Management</v>
      </c>
      <c r="F143" s="263" t="s">
        <v>108</v>
      </c>
      <c r="G143" s="262" t="str">
        <f>VLOOKUP(Table4[[#This Row],[A ID]],Assets[#All],3,FALSE)</f>
        <v>Smart medic app (Stryker Azure Cloud Web Application)</v>
      </c>
      <c r="H143" s="270" t="s">
        <v>388</v>
      </c>
      <c r="I143" s="264"/>
      <c r="J143" s="261" t="s">
        <v>57</v>
      </c>
      <c r="K143" s="261" t="s">
        <v>66</v>
      </c>
      <c r="L143" s="261" t="s">
        <v>66</v>
      </c>
      <c r="M143" s="248" t="s">
        <v>80</v>
      </c>
      <c r="N143" s="265" t="s">
        <v>66</v>
      </c>
      <c r="O143" s="248" t="s">
        <v>57</v>
      </c>
      <c r="P143" s="248" t="s">
        <v>78</v>
      </c>
      <c r="Q143" s="248" t="s">
        <v>75</v>
      </c>
      <c r="R143"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43" s="267">
        <f>(1 - ((1 - VLOOKUP(Table4[[#This Row],[Confidentiality]],'Reference - CVSSv3.0'!$B$15:$C$17,2,FALSE)) * (1 - VLOOKUP(Table4[[#This Row],[Integrity]],'Reference - CVSSv3.0'!$B$15:$C$17,2,FALSE)) *  (1 - VLOOKUP(Table4[[#This Row],[Availability]],'Reference - CVSSv3.0'!$B$15:$C$17,2,FALSE))))</f>
        <v>0.84899200000000008</v>
      </c>
      <c r="T143" s="267">
        <f>IF(Table4[[#This Row],[Scope]]="Unchanged",6.42*Table4[[#This Row],[ISC Base]],IF(Table4[[#This Row],[Scope]]="Changed",7.52*(Table4[[#This Row],[ISC Base]] - 0.029) - 3.25 * POWER(Table4[[#This Row],[ISC Base]] - 0.02,15),NA()))</f>
        <v>5.4505286400000008</v>
      </c>
      <c r="U143"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43" s="268" t="s">
        <v>56</v>
      </c>
      <c r="W143" s="267">
        <f>VLOOKUP(Table4[[#This Row],[Threat Event Initiation]],NIST_Scale_LOAI[],2,FALSE)</f>
        <v>0.5</v>
      </c>
      <c r="X143"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43"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3" s="270" t="s">
        <v>392</v>
      </c>
      <c r="AA143" s="264"/>
      <c r="AB143" s="271"/>
      <c r="AC143" s="264"/>
      <c r="AD143" s="264"/>
      <c r="AE143" s="264"/>
      <c r="AF143" s="265"/>
      <c r="AG143" s="265"/>
      <c r="AH143" s="265"/>
      <c r="AI143" s="265"/>
      <c r="AJ143" s="272"/>
      <c r="AK143"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43" s="267" t="e">
        <f>(1 - ((1 - VLOOKUP(Table4[[#This Row],[ConfidentialityP]],'Reference - CVSSv3.0'!$B$15:$C$17,2,FALSE)) * (1 - VLOOKUP(Table4[[#This Row],[IntegrityP]],'Reference - CVSSv3.0'!$B$15:$C$17,2,FALSE)) *  (1 - VLOOKUP(Table4[[#This Row],[AvailabilityP]],'Reference - CVSSv3.0'!$B$15:$C$17,2,FALSE))))</f>
        <v>#N/A</v>
      </c>
      <c r="AM143" s="267" t="e">
        <f>IF(Table4[[#This Row],[ScopeP]]="Unchanged",6.42*Table4[[#This Row],[ISC BaseP]],IF(Table4[[#This Row],[ScopeP]]="Changed",7.52*(Table4[[#This Row],[ISC BaseP]] - 0.029) - 3.25 * POWER(Table4[[#This Row],[ISC BaseP]] - 0.02,15),NA()))</f>
        <v>#N/A</v>
      </c>
      <c r="AN143"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3"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3"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3" s="264"/>
    </row>
    <row r="144" spans="1:43" ht="86.25" customHeight="1" x14ac:dyDescent="0.25">
      <c r="A144" s="260">
        <v>140</v>
      </c>
      <c r="B144" s="261" t="s">
        <v>376</v>
      </c>
      <c r="C144" s="262" t="str">
        <f>IF(VLOOKUP(Table4[[#This Row],[T ID]],Table5[#All],5,FALSE)="No","Not in scope",VLOOKUP(Table4[[#This Row],[T ID]],Table5[#All],2,FALSE))</f>
        <v>Unauthorized Alterations
(S[T]RIDE)</v>
      </c>
      <c r="D144" s="261" t="s">
        <v>355</v>
      </c>
      <c r="E144" s="262" t="str">
        <f>IF(VLOOKUP(Table4[[#This Row],[V ID]],Vulnerabilities[#All],3,FALSE)="No","Not in scope",VLOOKUP(Table4[[#This Row],[V ID]],Vulnerabilities[#All],2,FALSE))</f>
        <v>Lack of Authorization policies &amp; Management</v>
      </c>
      <c r="F144" s="263" t="s">
        <v>109</v>
      </c>
      <c r="G144" s="262" t="str">
        <f>VLOOKUP(Table4[[#This Row],[A ID]],Assets[#All],3,FALSE)</f>
        <v>Smart medic app (Azure Portal Administrator)</v>
      </c>
      <c r="H144" s="270" t="s">
        <v>388</v>
      </c>
      <c r="I144" s="264"/>
      <c r="J144" s="261" t="s">
        <v>57</v>
      </c>
      <c r="K144" s="261" t="s">
        <v>66</v>
      </c>
      <c r="L144" s="261" t="s">
        <v>66</v>
      </c>
      <c r="M144" s="248" t="s">
        <v>80</v>
      </c>
      <c r="N144" s="265" t="s">
        <v>66</v>
      </c>
      <c r="O144" s="248" t="s">
        <v>57</v>
      </c>
      <c r="P144" s="248" t="s">
        <v>78</v>
      </c>
      <c r="Q144" s="248" t="s">
        <v>75</v>
      </c>
      <c r="R144" s="266">
        <f>8.22*VLOOKUP(Table4[Attack Vector],'Reference - CVSSv3.0'!$B$6:$C$9,2,FALSE)*VLOOKUP(Table4[Attack Complexity],'Reference - CVSSv3.0'!$E$6:$F$7,2,FALSE)*(IF(Table4[[#This Row],[Scope]]="Unchanged",VLOOKUP(Table4[[#This Row],[Privileges Required]],'Reference - CVSSv3.0'!$H$6:$I$8,2,FALSE),IF(Table4[[#This Row],[Scope]]="Changed",VLOOKUP(Table4[[#This Row],[Privileges Required]],'Reference - CVSSv3.0'!$H$6:$J$8,3,FALSE),NA())))*VLOOKUP(Table4[User Interaction],'Reference - CVSSv3.0'!$L$6:$M$7,2,FALSE)</f>
        <v>1.0483294800000003</v>
      </c>
      <c r="S144" s="267">
        <f>(1 - ((1 - VLOOKUP(Table4[[#This Row],[Confidentiality]],'Reference - CVSSv3.0'!$B$15:$C$17,2,FALSE)) * (1 - VLOOKUP(Table4[[#This Row],[Integrity]],'Reference - CVSSv3.0'!$B$15:$C$17,2,FALSE)) *  (1 - VLOOKUP(Table4[[#This Row],[Availability]],'Reference - CVSSv3.0'!$B$15:$C$17,2,FALSE))))</f>
        <v>0.84899200000000008</v>
      </c>
      <c r="T144" s="267">
        <f>IF(Table4[[#This Row],[Scope]]="Unchanged",6.42*Table4[[#This Row],[ISC Base]],IF(Table4[[#This Row],[Scope]]="Changed",7.52*(Table4[[#This Row],[ISC Base]] - 0.029) - 3.25 * POWER(Table4[[#This Row],[ISC Base]] - 0.02,15),NA()))</f>
        <v>5.4505286400000008</v>
      </c>
      <c r="U144" s="267">
        <f>IF(Table4[[#This Row],[Impact Sub Score]]&lt;=0,0,IF(Table4[[#This Row],[Scope]]="Unchanged",ROUNDUP(MIN((Table4[[#This Row],[Impact Sub Score]]+Table4[[#This Row],[Exploitability Sub Score]]),10),1),IF(Table4[[#This Row],[Scope]]="Changed",ROUNDUP(MIN((1.08*(Table4[[#This Row],[Impact Sub Score]]+Table4[[#This Row],[Exploitability Sub Score]])),10),1),NA())))</f>
        <v>6.5</v>
      </c>
      <c r="V144" s="268" t="s">
        <v>56</v>
      </c>
      <c r="W144" s="267">
        <f>VLOOKUP(Table4[[#This Row],[Threat Event Initiation]],NIST_Scale_LOAI[],2,FALSE)</f>
        <v>0.5</v>
      </c>
      <c r="X144" s="26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v>
      </c>
      <c r="Y144" s="26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4" s="270" t="s">
        <v>392</v>
      </c>
      <c r="AA144" s="264"/>
      <c r="AB144" s="271"/>
      <c r="AC144" s="264"/>
      <c r="AD144" s="264"/>
      <c r="AE144" s="264"/>
      <c r="AF144" s="265"/>
      <c r="AG144" s="265"/>
      <c r="AH144" s="265"/>
      <c r="AI144" s="265"/>
      <c r="AJ144" s="272"/>
      <c r="AK144" s="267" t="e">
        <f>8.22*VLOOKUP(Table4[Attack VectorP],'Reference - CVSSv3.0'!$B$6:$C$9,2,FALSE)*VLOOKUP(Table4[Attack ComplexityP],'Reference - CVSSv3.0'!$E$6:$F$7,2,FALSE)*(IF(Table4[[#This Row],[ScopeP]]="Unchanged",VLOOKUP(Table4[[#This Row],[Privileges RequiredP]],'Reference - CVSSv3.0'!$H$6:$I$8,2,FALSE),IF(Table4[[#This Row],[ScopeP]]="Changed",VLOOKUP(Table4[[#This Row],[Privileges RequiredP]],'Reference - CVSSv3.0'!$H$6:$J$8,3,FALSE),NA())))*VLOOKUP(Table4[User InteractionP],'Reference - CVSSv3.0'!$L$6:$M$7,2,FALSE)</f>
        <v>#N/A</v>
      </c>
      <c r="AL144" s="267" t="e">
        <f>(1 - ((1 - VLOOKUP(Table4[[#This Row],[ConfidentialityP]],'Reference - CVSSv3.0'!$B$15:$C$17,2,FALSE)) * (1 - VLOOKUP(Table4[[#This Row],[IntegrityP]],'Reference - CVSSv3.0'!$B$15:$C$17,2,FALSE)) *  (1 - VLOOKUP(Table4[[#This Row],[AvailabilityP]],'Reference - CVSSv3.0'!$B$15:$C$17,2,FALSE))))</f>
        <v>#N/A</v>
      </c>
      <c r="AM144" s="267" t="e">
        <f>IF(Table4[[#This Row],[ScopeP]]="Unchanged",6.42*Table4[[#This Row],[ISC BaseP]],IF(Table4[[#This Row],[ScopeP]]="Changed",7.52*(Table4[[#This Row],[ISC BaseP]] - 0.029) - 3.25 * POWER(Table4[[#This Row],[ISC BaseP]] - 0.02,15),NA()))</f>
        <v>#N/A</v>
      </c>
      <c r="AN144" s="26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4" s="26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4" s="273"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4" s="264"/>
    </row>
  </sheetData>
  <mergeCells count="4">
    <mergeCell ref="AC3:AQ3"/>
    <mergeCell ref="Z3:AB3"/>
    <mergeCell ref="F3:I3"/>
    <mergeCell ref="J3:Y3"/>
  </mergeCells>
  <conditionalFormatting sqref="Y5:Y144 AP5:AP48">
    <cfRule type="cellIs" dxfId="142" priority="31" operator="equal">
      <formula>"Critical"</formula>
    </cfRule>
    <cfRule type="cellIs" dxfId="141" priority="32" operator="equal">
      <formula>"HIGH"</formula>
    </cfRule>
    <cfRule type="cellIs" dxfId="140" priority="33" operator="equal">
      <formula>"Medium"</formula>
    </cfRule>
    <cfRule type="cellIs" dxfId="139" priority="34" operator="equal">
      <formula>"None"</formula>
    </cfRule>
    <cfRule type="cellIs" dxfId="138" priority="3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dataValidation allowBlank="1" showInputMessage="1" showErrorMessage="1" prompt="This metric measures the impact to integrity of a successfully exploited vulnerability. Integrity refers to the trustworthiness and veracity of information." sqref="K4 AD4"/>
    <dataValidation allowBlank="1" showInputMessage="1" showErrorMessage="1" prompt="This metric measures the impact to the confidentiality of the information resources managed by a software component due to a successfully exploited vulnerability. " sqref="J4 AC4"/>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dataValidation allowBlank="1" showInputMessage="1" showErrorMessage="1" prompt="This metric describes the conditions beyond the attacker's control that must exist in order to exploit the vulnerability. The metric is largest for the least complex attacks." sqref="N4 AG4"/>
    <dataValidation allowBlank="1" showInputMessage="1" showErrorMessage="1" prompt="This metric describes the level of privileges an attacker must possess before successfully exploiting the vulnerability. This metric is largest if no privileges are required." sqref="O4 AH4"/>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dataValidation allowBlank="1" showInputMessage="1" showErrorMessage="1" prompt="A scope change is the ability for a vulnerability in one software component to impact resources beyond its means, or privilege." sqref="Q4 AJ4"/>
    <dataValidation allowBlank="1" showInputMessage="1" showErrorMessage="1" prompt="Threat event initiation is assessed by taking into consideration the characteristics of the threat sources of concern including capability, intent, and targeting." sqref="V4"/>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14:formula1>
            <xm:f>'Reference - CVSSv3.0'!$B$21:$B$23</xm:f>
          </x14:formula1>
          <xm:sqref>AJ5:AJ144 Q5:Q144</xm:sqref>
        </x14:dataValidation>
        <x14:dataValidation type="list" allowBlank="1" showInputMessage="1" showErrorMessage="1">
          <x14:formula1>
            <xm:f>'Reference - CVSSv3.0'!$B$15:$B$18</xm:f>
          </x14:formula1>
          <xm:sqref>AC5:AE144 J5:L144</xm:sqref>
        </x14:dataValidation>
        <x14:dataValidation type="list" allowBlank="1" showInputMessage="1" showErrorMessage="1">
          <x14:formula1>
            <xm:f>'Reference - CVSSv3.0'!$B$6:$B$10</xm:f>
          </x14:formula1>
          <xm:sqref>AF5:AF144 M5:M144</xm:sqref>
        </x14:dataValidation>
        <x14:dataValidation type="list" allowBlank="1" showInputMessage="1" showErrorMessage="1">
          <x14:formula1>
            <xm:f>'Reference - CVSSv3.0'!$E$6:$E$8</xm:f>
          </x14:formula1>
          <xm:sqref>AG5:AG144 N5:O144</xm:sqref>
        </x14:dataValidation>
        <x14:dataValidation type="list" allowBlank="1" showInputMessage="1" showErrorMessage="1">
          <x14:formula1>
            <xm:f>'Reference - CVSSv3.0'!$H$6:$H$9</xm:f>
          </x14:formula1>
          <xm:sqref>AH5:AH144</xm:sqref>
        </x14:dataValidation>
        <x14:dataValidation type="list" allowBlank="1" showInputMessage="1" showErrorMessage="1">
          <x14:formula1>
            <xm:f>'Reference - CVSSv3.0'!$L$6:$L$8</xm:f>
          </x14:formula1>
          <xm:sqref>AI5:AI144 P5:P144</xm:sqref>
        </x14:dataValidation>
        <x14:dataValidation type="list" allowBlank="1" showInputMessage="1" showErrorMessage="1">
          <x14:formula1>
            <xm:f>'Reference - CVSSv3.0'!$Q$5:$Q$10</xm:f>
          </x14:formula1>
          <xm:sqref>V5:V144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2"/>
  <sheetViews>
    <sheetView zoomScaleNormal="100" workbookViewId="0">
      <selection activeCell="K5" sqref="K5"/>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09" customWidth="1"/>
    <col min="6" max="6" width="6.28515625" style="24" customWidth="1"/>
    <col min="7" max="7" width="28.7109375" style="24" customWidth="1"/>
    <col min="8" max="8" width="38" style="24" customWidth="1"/>
    <col min="9" max="9" width="25.42578125" style="24" customWidth="1"/>
    <col min="10" max="10" width="15" style="24" customWidth="1"/>
    <col min="11" max="11" width="35.7109375" style="24" customWidth="1"/>
    <col min="12" max="12" width="15" style="24" customWidth="1"/>
    <col min="13" max="13" width="36.85546875" style="24" customWidth="1"/>
    <col min="14" max="16384" width="9.140625" style="24"/>
  </cols>
  <sheetData>
    <row r="1" spans="1:14" s="53" customFormat="1" x14ac:dyDescent="0.25">
      <c r="A1" s="31" t="s">
        <v>191</v>
      </c>
      <c r="B1" s="75"/>
      <c r="C1" s="75"/>
      <c r="D1" s="75"/>
      <c r="E1" s="79"/>
      <c r="F1" s="75"/>
      <c r="G1" s="75"/>
      <c r="H1" s="75"/>
      <c r="I1" s="75"/>
      <c r="J1" s="75"/>
      <c r="K1" s="75"/>
      <c r="L1" s="75"/>
      <c r="M1" s="75"/>
      <c r="N1"/>
    </row>
    <row r="2" spans="1:14" s="53" customFormat="1" x14ac:dyDescent="0.25">
      <c r="A2" s="31"/>
      <c r="B2" s="75"/>
      <c r="C2" s="75"/>
      <c r="D2" s="75"/>
      <c r="E2" s="79"/>
      <c r="F2" s="75"/>
      <c r="G2" s="75"/>
      <c r="H2" s="75"/>
      <c r="I2" s="75"/>
      <c r="J2" s="75"/>
      <c r="K2" s="75"/>
      <c r="L2" s="75"/>
      <c r="M2" s="75"/>
      <c r="N2"/>
    </row>
    <row r="3" spans="1:14" s="53" customFormat="1" x14ac:dyDescent="0.25">
      <c r="A3" s="31"/>
      <c r="B3" s="75"/>
      <c r="C3" s="75"/>
      <c r="D3" s="75"/>
      <c r="E3" s="79"/>
      <c r="F3" s="75"/>
      <c r="G3" s="75"/>
      <c r="H3" s="75"/>
      <c r="I3" s="75"/>
      <c r="J3" s="75"/>
      <c r="K3" s="75"/>
      <c r="L3" s="75"/>
      <c r="M3" s="75"/>
      <c r="N3"/>
    </row>
    <row r="4" spans="1:14" s="53" customFormat="1" ht="28.5" x14ac:dyDescent="0.25">
      <c r="A4" s="169" t="s">
        <v>1</v>
      </c>
      <c r="B4" s="170" t="s">
        <v>124</v>
      </c>
      <c r="C4" s="171" t="s">
        <v>2</v>
      </c>
      <c r="D4" s="172" t="s">
        <v>123</v>
      </c>
      <c r="E4" s="173" t="s">
        <v>15</v>
      </c>
      <c r="F4" s="174" t="s">
        <v>125</v>
      </c>
      <c r="G4" s="175" t="s">
        <v>190</v>
      </c>
      <c r="H4" s="175" t="s">
        <v>6</v>
      </c>
      <c r="I4" s="176" t="s">
        <v>161</v>
      </c>
      <c r="J4" s="177" t="s">
        <v>187</v>
      </c>
      <c r="K4" s="178" t="s">
        <v>189</v>
      </c>
      <c r="L4" s="179" t="s">
        <v>188</v>
      </c>
      <c r="M4" s="180" t="s">
        <v>4</v>
      </c>
      <c r="N4" s="2"/>
    </row>
    <row r="5" spans="1:14" s="53" customFormat="1" ht="71.25" x14ac:dyDescent="0.25">
      <c r="A5" s="69">
        <f>Table4[[#This Row],[
ID '#]]</f>
        <v>1</v>
      </c>
      <c r="B5" s="57" t="str">
        <f>IF(Table4[[#This Row],[T ID]]&gt;0,Table4[[#This Row],[T ID]],"")</f>
        <v>T01</v>
      </c>
      <c r="C5" s="49" t="str">
        <f>Table4[[#This Row],[Threat Event(s)]]</f>
        <v>Deliver undirected malware
(CAPEC-185)</v>
      </c>
      <c r="D5" s="59" t="str">
        <f>IF(Table4[[#This Row],[V ID]]&gt;0,Table4[[#This Row],[V ID]],"")</f>
        <v>V13</v>
      </c>
      <c r="E5" s="49" t="str">
        <f>Table4[[#This Row],[Vulnerabilities]]</f>
        <v>Unprotected external USB Port on the tablet/devices.</v>
      </c>
      <c r="F5" s="59" t="str">
        <f>IF(Table4[[#This Row],[A ID]]&gt;0,Table4[[#This Row],[A ID]],"")</f>
        <v>A01</v>
      </c>
      <c r="G5" s="49" t="str">
        <f>Table4[[#This Row],[Asset]]</f>
        <v>Tablet Resources - web cam, microphone, OTG devices, Removable USB, Tablet Application,</v>
      </c>
      <c r="H5" s="49" t="str">
        <f>IF(Table4[[#This Row],[Impact Description]]&gt;0,Table4[[#This Row],[Impact Description]],"")</f>
        <v xml:space="preserve">1) Malicious utilization of  computer resources 2) computing power  
3) denial of service attacks, 
4) ransomware attack 
5) Bitcoin mining, etc </v>
      </c>
      <c r="I5" s="59" t="str">
        <f>IF(Table4[[#This Row],[Safety Impact 
(Risk ID'# or N/A)]]&gt;0,Table4[[#This Row],[Safety Impact 
(Risk ID'# or N/A)]],"")</f>
        <v/>
      </c>
      <c r="J5" s="87" t="str">
        <f>Table4[[#This Row],[Security 
Risk 
Level]]</f>
        <v>LOW</v>
      </c>
      <c r="K5" s="59" t="str">
        <f>IF(Table4[[#This Row],[Security Risk Control Measures]]&gt;0,Table4[[#This Row],[Security Risk Control Measures]],"")</f>
        <v xml:space="preserve">▪Asset should be behind stateful firewall
•  Use secure tunnel communications channel </v>
      </c>
      <c r="L5" s="87" t="str">
        <f>Table4[[#This Row],[Security Risk LevelP]]</f>
        <v>LOW</v>
      </c>
      <c r="M5" s="59" t="str">
        <f>IF(Table4[[#This Row],[Residual Security Risk Acceptability Justification]]&gt;0,Table4[[#This Row],[Residual Security Risk Acceptability Justification]],"")</f>
        <v xml:space="preserve"> </v>
      </c>
      <c r="N5"/>
    </row>
    <row r="6" spans="1:14" s="53" customFormat="1" ht="71.25" x14ac:dyDescent="0.25">
      <c r="A6" s="203">
        <f>Table4[[#This Row],[
ID '#]]</f>
        <v>2</v>
      </c>
      <c r="B6" s="57" t="str">
        <f>IF(Table4[[#This Row],[T ID]]&gt;0,Table4[[#This Row],[T ID]],"")</f>
        <v>T01</v>
      </c>
      <c r="C6" s="195" t="str">
        <f>Table4[[#This Row],[Threat Event(s)]]</f>
        <v>Deliver undirected malware
(CAPEC-185)</v>
      </c>
      <c r="D6" s="204" t="str">
        <f>IF(Table4[[#This Row],[V ID]]&gt;0,Table4[[#This Row],[V ID]],"")</f>
        <v>V13</v>
      </c>
      <c r="E6" s="195" t="str">
        <f>Table4[[#This Row],[Vulnerabilities]]</f>
        <v>Unprotected external USB Port on the tablet/devices.</v>
      </c>
      <c r="F6" s="205" t="str">
        <f>IF(Table4[[#This Row],[A ID]]&gt;0,Table4[[#This Row],[A ID]],"")</f>
        <v>A03</v>
      </c>
      <c r="G6" s="195" t="str">
        <f>Table4[[#This Row],[Asset]]</f>
        <v>Smart medic (Stryker device) System Component</v>
      </c>
      <c r="H6" s="208" t="str">
        <f>IF(Table4[[#This Row],[Impact Description]]&gt;0,Table4[[#This Row],[Impact Description]],"")</f>
        <v xml:space="preserve">1) Malicious utilization of  computer resources 2) computing power  
3) denial of service attacks, 
4) ransomware attack 
5) Bitcoin mining, etc </v>
      </c>
      <c r="I6" s="204" t="str">
        <f>IF(Table4[[#This Row],[Safety Impact 
(Risk ID'# or N/A)]]&gt;0,Table4[[#This Row],[Safety Impact 
(Risk ID'# or N/A)]],"")</f>
        <v/>
      </c>
      <c r="J6" s="199" t="str">
        <f>Table4[[#This Row],[Security 
Risk 
Level]]</f>
        <v>LOW</v>
      </c>
      <c r="K6" s="204" t="str">
        <f>IF(Table4[[#This Row],[Security Risk Control Measures]]&gt;0,Table4[[#This Row],[Security Risk Control Measures]],"")</f>
        <v xml:space="preserve">▪Asset should be behind stateful firewall
•  Use secure tunnel communications channel </v>
      </c>
      <c r="L6" s="202" t="str">
        <f>Table4[[#This Row],[Security Risk LevelP]]</f>
        <v/>
      </c>
      <c r="M6" s="204" t="str">
        <f>IF(Table4[[#This Row],[Residual Security Risk Acceptability Justification]]&gt;0,Table4[[#This Row],[Residual Security Risk Acceptability Justification]],"")</f>
        <v/>
      </c>
      <c r="N6"/>
    </row>
    <row r="7" spans="1:14" s="53" customFormat="1" ht="114" x14ac:dyDescent="0.25">
      <c r="A7" s="69">
        <f>Table4[[#This Row],[
ID '#]]</f>
        <v>3</v>
      </c>
      <c r="B7" s="57" t="str">
        <f>IF(Table4[[#This Row],[T ID]]&gt;0,Table4[[#This Row],[T ID]],"")</f>
        <v>T01</v>
      </c>
      <c r="C7" s="49" t="str">
        <f>Table4[[#This Row],[Threat Event(s)]]</f>
        <v>Deliver undirected malware
(CAPEC-185)</v>
      </c>
      <c r="D7" s="59" t="str">
        <f>IF(Table4[[#This Row],[V ID]]&gt;0,Table4[[#This Row],[V ID]],"")</f>
        <v>V02</v>
      </c>
      <c r="E7" s="49" t="str">
        <f>Table4[[#This Row],[Vulnerabilities]]</f>
        <v>External communications and exposure for communciation channels from and to application and devices like tablet and smartmedic device.</v>
      </c>
      <c r="F7" s="59" t="str">
        <f>IF(Table4[[#This Row],[A ID]]&gt;0,Table4[[#This Row],[A ID]],"")</f>
        <v>A03</v>
      </c>
      <c r="G7" s="49" t="str">
        <f>Table4[[#This Row],[Asset]]</f>
        <v>Smart medic (Stryker device) System Component</v>
      </c>
      <c r="H7" s="49" t="str">
        <f>IF(Table4[[#This Row],[Impact Description]]&gt;0,Table4[[#This Row],[Impact Description]],"")</f>
        <v xml:space="preserve">1) Malicious utilization of  computer resources 2) computing power  
3) denial of service attacks, 
4) ransomware attack 
5) Bitcoin mining, etc </v>
      </c>
      <c r="I7" s="59" t="str">
        <f>IF(Table4[[#This Row],[Safety Impact 
(Risk ID'# or N/A)]]&gt;0,Table4[[#This Row],[Safety Impact 
(Risk ID'# or N/A)]],"")</f>
        <v/>
      </c>
      <c r="J7" s="87" t="str">
        <f>Table4[[#This Row],[Security 
Risk 
Level]]</f>
        <v>LOW</v>
      </c>
      <c r="K7" s="59" t="str">
        <f>IF(Table4[[#This Row],[Security Risk Control Measures]]&gt;0,Table4[[#This Row],[Security Risk Control Measures]],"")</f>
        <v xml:space="preserve">▪Asset should be behind stateful firewall
•  Use secure tunnel communications channel </v>
      </c>
      <c r="L7" s="87" t="str">
        <f>Table4[[#This Row],[Security Risk LevelP]]</f>
        <v/>
      </c>
      <c r="M7" s="59" t="str">
        <f>IF(Table4[[#This Row],[Residual Security Risk Acceptability Justification]]&gt;0,Table4[[#This Row],[Residual Security Risk Acceptability Justification]],"")</f>
        <v/>
      </c>
      <c r="N7"/>
    </row>
    <row r="8" spans="1:14" s="53" customFormat="1" ht="114" x14ac:dyDescent="0.25">
      <c r="A8" s="203">
        <f>Table4[[#This Row],[
ID '#]]</f>
        <v>4</v>
      </c>
      <c r="B8" s="57" t="str">
        <f>IF(Table4[[#This Row],[T ID]]&gt;0,Table4[[#This Row],[T ID]],"")</f>
        <v>T01</v>
      </c>
      <c r="C8" s="195" t="str">
        <f>Table4[[#This Row],[Threat Event(s)]]</f>
        <v>Deliver undirected malware
(CAPEC-185)</v>
      </c>
      <c r="D8" s="204" t="str">
        <f>IF(Table4[[#This Row],[V ID]]&gt;0,Table4[[#This Row],[V ID]],"")</f>
        <v>V02</v>
      </c>
      <c r="E8" s="195" t="str">
        <f>Table4[[#This Row],[Vulnerabilities]]</f>
        <v>External communications and exposure for communciation channels from and to application and devices like tablet and smartmedic device.</v>
      </c>
      <c r="F8" s="205" t="str">
        <f>IF(Table4[[#This Row],[A ID]]&gt;0,Table4[[#This Row],[A ID]],"")</f>
        <v>A01</v>
      </c>
      <c r="G8" s="195" t="str">
        <f>Table4[[#This Row],[Asset]]</f>
        <v>Tablet Resources - web cam, microphone, OTG devices, Removable USB, Tablet Application,</v>
      </c>
      <c r="H8" s="208" t="str">
        <f>IF(Table4[[#This Row],[Impact Description]]&gt;0,Table4[[#This Row],[Impact Description]],"")</f>
        <v xml:space="preserve">1) Malicious utilization of  computer resources 2) computing power  
3) denial of service attacks, 
4) ransomware attack 
5) Bitcoin mining, etc </v>
      </c>
      <c r="I8" s="204" t="str">
        <f>IF(Table4[[#This Row],[Safety Impact 
(Risk ID'# or N/A)]]&gt;0,Table4[[#This Row],[Safety Impact 
(Risk ID'# or N/A)]],"")</f>
        <v/>
      </c>
      <c r="J8" s="199" t="str">
        <f>Table4[[#This Row],[Security 
Risk 
Level]]</f>
        <v>LOW</v>
      </c>
      <c r="K8" s="204" t="str">
        <f>IF(Table4[[#This Row],[Security Risk Control Measures]]&gt;0,Table4[[#This Row],[Security Risk Control Measures]],"")</f>
        <v xml:space="preserve">▪Asset should be behind stateful firewall
•  Use secure tunnel communications channel </v>
      </c>
      <c r="L8" s="202" t="str">
        <f>Table4[[#This Row],[Security Risk LevelP]]</f>
        <v/>
      </c>
      <c r="M8" s="204" t="str">
        <f>IF(Table4[[#This Row],[Residual Security Risk Acceptability Justification]]&gt;0,Table4[[#This Row],[Residual Security Risk Acceptability Justification]],"")</f>
        <v/>
      </c>
      <c r="N8"/>
    </row>
    <row r="9" spans="1:14" s="53" customFormat="1" ht="71.25" x14ac:dyDescent="0.25">
      <c r="A9" s="203">
        <f>Table4[[#This Row],[
ID '#]]</f>
        <v>5</v>
      </c>
      <c r="B9" s="57" t="str">
        <f>IF(Table4[[#This Row],[T ID]]&gt;0,Table4[[#This Row],[T ID]],"")</f>
        <v>T01</v>
      </c>
      <c r="C9" s="195" t="str">
        <f>Table4[[#This Row],[Threat Event(s)]]</f>
        <v>Deliver undirected malware
(CAPEC-185)</v>
      </c>
      <c r="D9" s="204" t="str">
        <f>IF(Table4[[#This Row],[V ID]]&gt;0,Table4[[#This Row],[V ID]],"")</f>
        <v>V22</v>
      </c>
      <c r="E9" s="195" t="str">
        <f>Table4[[#This Row],[Vulnerabilities]]</f>
        <v>Legacy system identification if any</v>
      </c>
      <c r="F9" s="205" t="str">
        <f>IF(Table4[[#This Row],[A ID]]&gt;0,Table4[[#This Row],[A ID]],"")</f>
        <v>A03</v>
      </c>
      <c r="G9" s="195" t="str">
        <f>Table4[[#This Row],[Asset]]</f>
        <v>Smart medic (Stryker device) System Component</v>
      </c>
      <c r="H9" s="208" t="str">
        <f>IF(Table4[[#This Row],[Impact Description]]&gt;0,Table4[[#This Row],[Impact Description]],"")</f>
        <v xml:space="preserve">1) Malicious utilization of  computer resources 2) computing power  
3) denial of service attacks, 
4) ransomware attack 
5) Bitcoin mining, etc </v>
      </c>
      <c r="I9" s="204" t="str">
        <f>IF(Table4[[#This Row],[Safety Impact 
(Risk ID'# or N/A)]]&gt;0,Table4[[#This Row],[Safety Impact 
(Risk ID'# or N/A)]],"")</f>
        <v/>
      </c>
      <c r="J9" s="199" t="str">
        <f>Table4[[#This Row],[Security 
Risk 
Level]]</f>
        <v>LOW</v>
      </c>
      <c r="K9" s="204" t="str">
        <f>IF(Table4[[#This Row],[Security Risk Control Measures]]&gt;0,Table4[[#This Row],[Security Risk Control Measures]],"")</f>
        <v xml:space="preserve">▪Asset should be behind stateful firewall
•  Use secure tunnel communications channel </v>
      </c>
      <c r="L9" s="202" t="str">
        <f>Table4[[#This Row],[Security Risk LevelP]]</f>
        <v/>
      </c>
      <c r="M9" s="204" t="str">
        <f>IF(Table4[[#This Row],[Residual Security Risk Acceptability Justification]]&gt;0,Table4[[#This Row],[Residual Security Risk Acceptability Justification]],"")</f>
        <v/>
      </c>
      <c r="N9"/>
    </row>
    <row r="10" spans="1:14" s="53" customFormat="1" ht="71.25" x14ac:dyDescent="0.25">
      <c r="A10" s="203">
        <f>Table4[[#This Row],[
ID '#]]</f>
        <v>6</v>
      </c>
      <c r="B10" s="57" t="str">
        <f>IF(Table4[[#This Row],[T ID]]&gt;0,Table4[[#This Row],[T ID]],"")</f>
        <v>T01</v>
      </c>
      <c r="C10" s="195" t="str">
        <f>Table4[[#This Row],[Threat Event(s)]]</f>
        <v>Deliver undirected malware
(CAPEC-185)</v>
      </c>
      <c r="D10" s="204" t="str">
        <f>IF(Table4[[#This Row],[V ID]]&gt;0,Table4[[#This Row],[V ID]],"")</f>
        <v>V22</v>
      </c>
      <c r="E10" s="195" t="str">
        <f>Table4[[#This Row],[Vulnerabilities]]</f>
        <v>Legacy system identification if any</v>
      </c>
      <c r="F10" s="205" t="str">
        <f>IF(Table4[[#This Row],[A ID]]&gt;0,Table4[[#This Row],[A ID]],"")</f>
        <v>A01</v>
      </c>
      <c r="G10" s="195" t="str">
        <f>Table4[[#This Row],[Asset]]</f>
        <v>Tablet Resources - web cam, microphone, OTG devices, Removable USB, Tablet Application,</v>
      </c>
      <c r="H10" s="208" t="str">
        <f>IF(Table4[[#This Row],[Impact Description]]&gt;0,Table4[[#This Row],[Impact Description]],"")</f>
        <v xml:space="preserve">1) Malicious utilization of  computer resources 2) computing power  
3) denial of service attacks, 
4) ransomware attack 
5) Bitcoin mining, etc </v>
      </c>
      <c r="I10" s="204" t="str">
        <f>IF(Table4[[#This Row],[Safety Impact 
(Risk ID'# or N/A)]]&gt;0,Table4[[#This Row],[Safety Impact 
(Risk ID'# or N/A)]],"")</f>
        <v/>
      </c>
      <c r="J10" s="199" t="str">
        <f>Table4[[#This Row],[Security 
Risk 
Level]]</f>
        <v>LOW</v>
      </c>
      <c r="K10" s="204" t="str">
        <f>IF(Table4[[#This Row],[Security Risk Control Measures]]&gt;0,Table4[[#This Row],[Security Risk Control Measures]],"")</f>
        <v xml:space="preserve">▪Asset should be behind stateful firewall
•  Use secure tunnel communications channel </v>
      </c>
      <c r="L10" s="202" t="str">
        <f>Table4[[#This Row],[Security Risk LevelP]]</f>
        <v/>
      </c>
      <c r="M10" s="204" t="str">
        <f>IF(Table4[[#This Row],[Residual Security Risk Acceptability Justification]]&gt;0,Table4[[#This Row],[Residual Security Risk Acceptability Justification]],"")</f>
        <v/>
      </c>
      <c r="N10"/>
    </row>
    <row r="11" spans="1:14" s="53" customFormat="1" ht="85.5" x14ac:dyDescent="0.25">
      <c r="A11" s="203">
        <f>Table4[[#This Row],[
ID '#]]</f>
        <v>7</v>
      </c>
      <c r="B11" s="57" t="str">
        <f>IF(Table4[[#This Row],[T ID]]&gt;0,Table4[[#This Row],[T ID]],"")</f>
        <v>T01</v>
      </c>
      <c r="C11" s="195" t="str">
        <f>Table4[[#This Row],[Threat Event(s)]]</f>
        <v>Deliver undirected malware
(CAPEC-185)</v>
      </c>
      <c r="D11" s="204" t="str">
        <f>IF(Table4[[#This Row],[V ID]]&gt;0,Table4[[#This Row],[V ID]],"")</f>
        <v>V08</v>
      </c>
      <c r="E11" s="195" t="str">
        <f>Table4[[#This Row],[Vulnerabilities]]</f>
        <v>Ineffective patch management of firware, OS and applications thoughout the information system plan</v>
      </c>
      <c r="F11" s="205" t="str">
        <f>IF(Table4[[#This Row],[A ID]]&gt;0,Table4[[#This Row],[A ID]],"")</f>
        <v>A05</v>
      </c>
      <c r="G11" s="195" t="str">
        <f>Table4[[#This Row],[Asset]]</f>
        <v>Device Maintainence tool (Hardware/Software)</v>
      </c>
      <c r="H11" s="208" t="str">
        <f>IF(Table4[[#This Row],[Impact Description]]&gt;0,Table4[[#This Row],[Impact Description]],"")</f>
        <v xml:space="preserve">1) Malicious utilization of  computer resources 2) computing power  
3) denial of service attacks, 
4) ransomware attack 
5) Bitcoin mining, etc </v>
      </c>
      <c r="I11" s="204" t="str">
        <f>IF(Table4[[#This Row],[Safety Impact 
(Risk ID'# or N/A)]]&gt;0,Table4[[#This Row],[Safety Impact 
(Risk ID'# or N/A)]],"")</f>
        <v/>
      </c>
      <c r="J11" s="199" t="str">
        <f>Table4[[#This Row],[Security 
Risk 
Level]]</f>
        <v>LOW</v>
      </c>
      <c r="K11" s="204" t="str">
        <f>IF(Table4[[#This Row],[Security Risk Control Measures]]&gt;0,Table4[[#This Row],[Security Risk Control Measures]],"")</f>
        <v xml:space="preserve">▪Asset should be behind stateful firewall
•  Use secure tunnel communications channel </v>
      </c>
      <c r="L11" s="202" t="str">
        <f>Table4[[#This Row],[Security Risk LevelP]]</f>
        <v/>
      </c>
      <c r="M11" s="204" t="str">
        <f>IF(Table4[[#This Row],[Residual Security Risk Acceptability Justification]]&gt;0,Table4[[#This Row],[Residual Security Risk Acceptability Justification]],"")</f>
        <v/>
      </c>
      <c r="N11"/>
    </row>
    <row r="12" spans="1:14" s="53" customFormat="1" ht="85.5" x14ac:dyDescent="0.25">
      <c r="A12" s="203">
        <f>Table4[[#This Row],[
ID '#]]</f>
        <v>8</v>
      </c>
      <c r="B12" s="57" t="str">
        <f>IF(Table4[[#This Row],[T ID]]&gt;0,Table4[[#This Row],[T ID]],"")</f>
        <v>T01</v>
      </c>
      <c r="C12" s="195" t="str">
        <f>Table4[[#This Row],[Threat Event(s)]]</f>
        <v>Deliver undirected malware
(CAPEC-185)</v>
      </c>
      <c r="D12" s="204" t="str">
        <f>IF(Table4[[#This Row],[V ID]]&gt;0,Table4[[#This Row],[V ID]],"")</f>
        <v>V08</v>
      </c>
      <c r="E12" s="195" t="str">
        <f>Table4[[#This Row],[Vulnerabilities]]</f>
        <v>Ineffective patch management of firware, OS and applications thoughout the information system plan</v>
      </c>
      <c r="F12" s="205" t="str">
        <f>IF(Table4[[#This Row],[A ID]]&gt;0,Table4[[#This Row],[A ID]],"")</f>
        <v>A01</v>
      </c>
      <c r="G12" s="195" t="str">
        <f>Table4[[#This Row],[Asset]]</f>
        <v>Tablet Resources - web cam, microphone, OTG devices, Removable USB, Tablet Application,</v>
      </c>
      <c r="H12" s="208" t="str">
        <f>IF(Table4[[#This Row],[Impact Description]]&gt;0,Table4[[#This Row],[Impact Description]],"")</f>
        <v xml:space="preserve">1) Malicious utilization of  computer resources 2) computing power  
3) denial of service attacks, 
4) ransomware attack 
5) Bitcoin mining, etc </v>
      </c>
      <c r="I12" s="204" t="str">
        <f>IF(Table4[[#This Row],[Safety Impact 
(Risk ID'# or N/A)]]&gt;0,Table4[[#This Row],[Safety Impact 
(Risk ID'# or N/A)]],"")</f>
        <v/>
      </c>
      <c r="J12" s="199" t="str">
        <f>Table4[[#This Row],[Security 
Risk 
Level]]</f>
        <v>LOW</v>
      </c>
      <c r="K12" s="204" t="str">
        <f>IF(Table4[[#This Row],[Security Risk Control Measures]]&gt;0,Table4[[#This Row],[Security Risk Control Measures]],"")</f>
        <v xml:space="preserve">▪Asset should be behind stateful firewall
•  Use secure tunnel communications channel </v>
      </c>
      <c r="L12" s="202" t="str">
        <f>Table4[[#This Row],[Security Risk LevelP]]</f>
        <v/>
      </c>
      <c r="M12" s="204" t="str">
        <f>IF(Table4[[#This Row],[Residual Security Risk Acceptability Justification]]&gt;0,Table4[[#This Row],[Residual Security Risk Acceptability Justification]],"")</f>
        <v/>
      </c>
      <c r="N12"/>
    </row>
    <row r="13" spans="1:14" s="53" customFormat="1" ht="85.5" x14ac:dyDescent="0.25">
      <c r="A13" s="203">
        <f>Table4[[#This Row],[
ID '#]]</f>
        <v>9</v>
      </c>
      <c r="B13" s="57" t="str">
        <f>IF(Table4[[#This Row],[T ID]]&gt;0,Table4[[#This Row],[T ID]],"")</f>
        <v>T01</v>
      </c>
      <c r="C13" s="195" t="str">
        <f>Table4[[#This Row],[Threat Event(s)]]</f>
        <v>Deliver undirected malware
(CAPEC-185)</v>
      </c>
      <c r="D13" s="204" t="str">
        <f>IF(Table4[[#This Row],[V ID]]&gt;0,Table4[[#This Row],[V ID]],"")</f>
        <v>V08</v>
      </c>
      <c r="E13" s="195" t="str">
        <f>Table4[[#This Row],[Vulnerabilities]]</f>
        <v>Ineffective patch management of firware, OS and applications thoughout the information system plan</v>
      </c>
      <c r="F13" s="205" t="str">
        <f>IF(Table4[[#This Row],[A ID]]&gt;0,Table4[[#This Row],[A ID]],"")</f>
        <v>A03</v>
      </c>
      <c r="G13" s="195" t="str">
        <f>Table4[[#This Row],[Asset]]</f>
        <v>Smart medic (Stryker device) System Component</v>
      </c>
      <c r="H13" s="208" t="str">
        <f>IF(Table4[[#This Row],[Impact Description]]&gt;0,Table4[[#This Row],[Impact Description]],"")</f>
        <v xml:space="preserve">1) Malicious utilization of  computer resources 2) computing power  
3) denial of service attacks, 
4) ransomware attack 
5) Bitcoin mining, etc </v>
      </c>
      <c r="I13" s="204" t="str">
        <f>IF(Table4[[#This Row],[Safety Impact 
(Risk ID'# or N/A)]]&gt;0,Table4[[#This Row],[Safety Impact 
(Risk ID'# or N/A)]],"")</f>
        <v/>
      </c>
      <c r="J13" s="199" t="str">
        <f>Table4[[#This Row],[Security 
Risk 
Level]]</f>
        <v>LOW</v>
      </c>
      <c r="K13" s="204" t="str">
        <f>IF(Table4[[#This Row],[Security Risk Control Measures]]&gt;0,Table4[[#This Row],[Security Risk Control Measures]],"")</f>
        <v xml:space="preserve">▪Asset should be behind stateful firewall
•  Use secure tunnel communications channel </v>
      </c>
      <c r="L13" s="202" t="str">
        <f>Table4[[#This Row],[Security Risk LevelP]]</f>
        <v/>
      </c>
      <c r="M13" s="204" t="str">
        <f>IF(Table4[[#This Row],[Residual Security Risk Acceptability Justification]]&gt;0,Table4[[#This Row],[Residual Security Risk Acceptability Justification]],"")</f>
        <v/>
      </c>
      <c r="N13"/>
    </row>
    <row r="14" spans="1:14" s="53" customFormat="1" ht="71.25" x14ac:dyDescent="0.25">
      <c r="A14" s="203">
        <f>Table4[[#This Row],[
ID '#]]</f>
        <v>10</v>
      </c>
      <c r="B14" s="57" t="str">
        <f>IF(Table4[[#This Row],[T ID]]&gt;0,Table4[[#This Row],[T ID]],"")</f>
        <v>T01</v>
      </c>
      <c r="C14" s="195" t="str">
        <f>Table4[[#This Row],[Threat Event(s)]]</f>
        <v>Deliver undirected malware
(CAPEC-185)</v>
      </c>
      <c r="D14" s="204" t="str">
        <f>IF(Table4[[#This Row],[V ID]]&gt;0,Table4[[#This Row],[V ID]],"")</f>
        <v>V09</v>
      </c>
      <c r="E14" s="195" t="str">
        <f>Table4[[#This Row],[Vulnerabilities]]</f>
        <v xml:space="preserve">Lack of plan for periodic Software Vulnerability Management </v>
      </c>
      <c r="F14" s="205" t="str">
        <f>IF(Table4[[#This Row],[A ID]]&gt;0,Table4[[#This Row],[A ID]],"")</f>
        <v>A05</v>
      </c>
      <c r="G14" s="195" t="str">
        <f>Table4[[#This Row],[Asset]]</f>
        <v>Device Maintainence tool (Hardware/Software)</v>
      </c>
      <c r="H14" s="208" t="str">
        <f>IF(Table4[[#This Row],[Impact Description]]&gt;0,Table4[[#This Row],[Impact Description]],"")</f>
        <v xml:space="preserve">1) Malicious utilization of  computer resources 2) computing power  
3) denial of service attacks, 
4) ransomware attack 
5) Bitcoin mining, etc </v>
      </c>
      <c r="I14" s="204" t="str">
        <f>IF(Table4[[#This Row],[Safety Impact 
(Risk ID'# or N/A)]]&gt;0,Table4[[#This Row],[Safety Impact 
(Risk ID'# or N/A)]],"")</f>
        <v/>
      </c>
      <c r="J14" s="199" t="str">
        <f>Table4[[#This Row],[Security 
Risk 
Level]]</f>
        <v>LOW</v>
      </c>
      <c r="K14" s="204" t="str">
        <f>IF(Table4[[#This Row],[Security Risk Control Measures]]&gt;0,Table4[[#This Row],[Security Risk Control Measures]],"")</f>
        <v xml:space="preserve">▪Asset should be behind stateful firewall
•  Use secure tunnel communications channel </v>
      </c>
      <c r="L14" s="202" t="str">
        <f>Table4[[#This Row],[Security Risk LevelP]]</f>
        <v/>
      </c>
      <c r="M14" s="204" t="str">
        <f>IF(Table4[[#This Row],[Residual Security Risk Acceptability Justification]]&gt;0,Table4[[#This Row],[Residual Security Risk Acceptability Justification]],"")</f>
        <v/>
      </c>
      <c r="N14"/>
    </row>
    <row r="15" spans="1:14" s="53" customFormat="1" ht="71.25" x14ac:dyDescent="0.25">
      <c r="A15" s="203">
        <f>Table4[[#This Row],[
ID '#]]</f>
        <v>11</v>
      </c>
      <c r="B15" s="57" t="str">
        <f>IF(Table4[[#This Row],[T ID]]&gt;0,Table4[[#This Row],[T ID]],"")</f>
        <v>T01</v>
      </c>
      <c r="C15" s="195" t="str">
        <f>Table4[[#This Row],[Threat Event(s)]]</f>
        <v>Deliver undirected malware
(CAPEC-185)</v>
      </c>
      <c r="D15" s="204" t="str">
        <f>IF(Table4[[#This Row],[V ID]]&gt;0,Table4[[#This Row],[V ID]],"")</f>
        <v>V09</v>
      </c>
      <c r="E15" s="195" t="str">
        <f>Table4[[#This Row],[Vulnerabilities]]</f>
        <v xml:space="preserve">Lack of plan for periodic Software Vulnerability Management </v>
      </c>
      <c r="F15" s="205" t="str">
        <f>IF(Table4[[#This Row],[A ID]]&gt;0,Table4[[#This Row],[A ID]],"")</f>
        <v>A01</v>
      </c>
      <c r="G15" s="195" t="str">
        <f>Table4[[#This Row],[Asset]]</f>
        <v>Tablet Resources - web cam, microphone, OTG devices, Removable USB, Tablet Application,</v>
      </c>
      <c r="H15" s="208" t="str">
        <f>IF(Table4[[#This Row],[Impact Description]]&gt;0,Table4[[#This Row],[Impact Description]],"")</f>
        <v xml:space="preserve">1) Malicious utilization of  computer resources 2) computing power  
3) denial of service attacks, 
4) ransomware attack 
5) Bitcoin mining, etc </v>
      </c>
      <c r="I15" s="204" t="str">
        <f>IF(Table4[[#This Row],[Safety Impact 
(Risk ID'# or N/A)]]&gt;0,Table4[[#This Row],[Safety Impact 
(Risk ID'# or N/A)]],"")</f>
        <v/>
      </c>
      <c r="J15" s="199" t="str">
        <f>Table4[[#This Row],[Security 
Risk 
Level]]</f>
        <v>LOW</v>
      </c>
      <c r="K15" s="204" t="str">
        <f>IF(Table4[[#This Row],[Security Risk Control Measures]]&gt;0,Table4[[#This Row],[Security Risk Control Measures]],"")</f>
        <v xml:space="preserve">▪Asset should be behind stateful firewall
•  Use secure tunnel communications channel </v>
      </c>
      <c r="L15" s="202" t="str">
        <f>Table4[[#This Row],[Security Risk LevelP]]</f>
        <v/>
      </c>
      <c r="M15" s="204" t="str">
        <f>IF(Table4[[#This Row],[Residual Security Risk Acceptability Justification]]&gt;0,Table4[[#This Row],[Residual Security Risk Acceptability Justification]],"")</f>
        <v/>
      </c>
      <c r="N15"/>
    </row>
    <row r="16" spans="1:14" s="53" customFormat="1" ht="71.25" x14ac:dyDescent="0.25">
      <c r="A16" s="203">
        <f>Table4[[#This Row],[
ID '#]]</f>
        <v>12</v>
      </c>
      <c r="B16" s="57" t="str">
        <f>IF(Table4[[#This Row],[T ID]]&gt;0,Table4[[#This Row],[T ID]],"")</f>
        <v>T01</v>
      </c>
      <c r="C16" s="195" t="str">
        <f>Table4[[#This Row],[Threat Event(s)]]</f>
        <v>Deliver undirected malware
(CAPEC-185)</v>
      </c>
      <c r="D16" s="204" t="str">
        <f>IF(Table4[[#This Row],[V ID]]&gt;0,Table4[[#This Row],[V ID]],"")</f>
        <v>V09</v>
      </c>
      <c r="E16" s="195" t="str">
        <f>Table4[[#This Row],[Vulnerabilities]]</f>
        <v xml:space="preserve">Lack of plan for periodic Software Vulnerability Management </v>
      </c>
      <c r="F16" s="205" t="str">
        <f>IF(Table4[[#This Row],[A ID]]&gt;0,Table4[[#This Row],[A ID]],"")</f>
        <v>A03</v>
      </c>
      <c r="G16" s="195" t="str">
        <f>Table4[[#This Row],[Asset]]</f>
        <v>Smart medic (Stryker device) System Component</v>
      </c>
      <c r="H16" s="208" t="str">
        <f>IF(Table4[[#This Row],[Impact Description]]&gt;0,Table4[[#This Row],[Impact Description]],"")</f>
        <v xml:space="preserve">1) Malicious utilization of  computer resources 2) computing power  
3) denial of service attacks, 
4) ransomware attack 
5) Bitcoin mining, etc </v>
      </c>
      <c r="I16" s="204" t="str">
        <f>IF(Table4[[#This Row],[Safety Impact 
(Risk ID'# or N/A)]]&gt;0,Table4[[#This Row],[Safety Impact 
(Risk ID'# or N/A)]],"")</f>
        <v/>
      </c>
      <c r="J16" s="199" t="str">
        <f>Table4[[#This Row],[Security 
Risk 
Level]]</f>
        <v>LOW</v>
      </c>
      <c r="K16" s="204" t="str">
        <f>IF(Table4[[#This Row],[Security Risk Control Measures]]&gt;0,Table4[[#This Row],[Security Risk Control Measures]],"")</f>
        <v xml:space="preserve">▪Asset should be behind stateful firewall
•  Use secure tunnel communications channel </v>
      </c>
      <c r="L16" s="202" t="str">
        <f>Table4[[#This Row],[Security Risk LevelP]]</f>
        <v/>
      </c>
      <c r="M16" s="204" t="str">
        <f>IF(Table4[[#This Row],[Residual Security Risk Acceptability Justification]]&gt;0,Table4[[#This Row],[Residual Security Risk Acceptability Justification]],"")</f>
        <v/>
      </c>
      <c r="N16"/>
    </row>
    <row r="17" spans="1:14" s="53" customFormat="1" ht="71.25" x14ac:dyDescent="0.25">
      <c r="A17" s="203">
        <f>Table4[[#This Row],[
ID '#]]</f>
        <v>13</v>
      </c>
      <c r="B17" s="57" t="str">
        <f>IF(Table4[[#This Row],[T ID]]&gt;0,Table4[[#This Row],[T ID]],"")</f>
        <v>T01</v>
      </c>
      <c r="C17" s="195" t="str">
        <f>Table4[[#This Row],[Threat Event(s)]]</f>
        <v>Deliver undirected malware
(CAPEC-185)</v>
      </c>
      <c r="D17" s="204" t="str">
        <f>IF(Table4[[#This Row],[V ID]]&gt;0,Table4[[#This Row],[V ID]],"")</f>
        <v>V12</v>
      </c>
      <c r="E17" s="195" t="str">
        <f>Table4[[#This Row],[Vulnerabilities]]</f>
        <v>Unprotected network port(s) on network devices and connection points</v>
      </c>
      <c r="F17" s="205" t="str">
        <f>IF(Table4[[#This Row],[A ID]]&gt;0,Table4[[#This Row],[A ID]],"")</f>
        <v>A01</v>
      </c>
      <c r="G17" s="195" t="str">
        <f>Table4[[#This Row],[Asset]]</f>
        <v>Tablet Resources - web cam, microphone, OTG devices, Removable USB, Tablet Application,</v>
      </c>
      <c r="H17" s="208" t="str">
        <f>IF(Table4[[#This Row],[Impact Description]]&gt;0,Table4[[#This Row],[Impact Description]],"")</f>
        <v xml:space="preserve">1) Malicious utilization of  computer resources 2) computing power  
3) denial of service attacks, 
4) ransomware attack 
5) Bitcoin mining, etc </v>
      </c>
      <c r="I17" s="204" t="str">
        <f>IF(Table4[[#This Row],[Safety Impact 
(Risk ID'# or N/A)]]&gt;0,Table4[[#This Row],[Safety Impact 
(Risk ID'# or N/A)]],"")</f>
        <v/>
      </c>
      <c r="J17" s="199" t="str">
        <f>Table4[[#This Row],[Security 
Risk 
Level]]</f>
        <v>MEDIUM</v>
      </c>
      <c r="K17" s="204" t="str">
        <f>IF(Table4[[#This Row],[Security Risk Control Measures]]&gt;0,Table4[[#This Row],[Security Risk Control Measures]],"")</f>
        <v xml:space="preserve">▪Asset should be behind stateful firewall
•  Use secure tunnel communications channel </v>
      </c>
      <c r="L17" s="202" t="str">
        <f>Table4[[#This Row],[Security Risk LevelP]]</f>
        <v/>
      </c>
      <c r="M17" s="204" t="str">
        <f>IF(Table4[[#This Row],[Residual Security Risk Acceptability Justification]]&gt;0,Table4[[#This Row],[Residual Security Risk Acceptability Justification]],"")</f>
        <v/>
      </c>
      <c r="N17"/>
    </row>
    <row r="18" spans="1:14" s="53" customFormat="1" ht="71.25" x14ac:dyDescent="0.25">
      <c r="A18" s="203">
        <f>Table4[[#This Row],[
ID '#]]</f>
        <v>14</v>
      </c>
      <c r="B18" s="57" t="str">
        <f>IF(Table4[[#This Row],[T ID]]&gt;0,Table4[[#This Row],[T ID]],"")</f>
        <v>T01</v>
      </c>
      <c r="C18" s="195" t="str">
        <f>Table4[[#This Row],[Threat Event(s)]]</f>
        <v>Deliver undirected malware
(CAPEC-185)</v>
      </c>
      <c r="D18" s="204" t="str">
        <f>IF(Table4[[#This Row],[V ID]]&gt;0,Table4[[#This Row],[V ID]],"")</f>
        <v>V12</v>
      </c>
      <c r="E18" s="195" t="str">
        <f>Table4[[#This Row],[Vulnerabilities]]</f>
        <v>Unprotected network port(s) on network devices and connection points</v>
      </c>
      <c r="F18" s="205" t="str">
        <f>IF(Table4[[#This Row],[A ID]]&gt;0,Table4[[#This Row],[A ID]],"")</f>
        <v>A03</v>
      </c>
      <c r="G18" s="195" t="str">
        <f>Table4[[#This Row],[Asset]]</f>
        <v>Smart medic (Stryker device) System Component</v>
      </c>
      <c r="H18" s="208" t="str">
        <f>IF(Table4[[#This Row],[Impact Description]]&gt;0,Table4[[#This Row],[Impact Description]],"")</f>
        <v xml:space="preserve">1) Malicious utilization of  computer resources 2) computing power  
3) denial of service attacks, 
4) ransomware attack 
5) Bitcoin mining, etc </v>
      </c>
      <c r="I18" s="204" t="str">
        <f>IF(Table4[[#This Row],[Safety Impact 
(Risk ID'# or N/A)]]&gt;0,Table4[[#This Row],[Safety Impact 
(Risk ID'# or N/A)]],"")</f>
        <v/>
      </c>
      <c r="J18" s="199" t="str">
        <f>Table4[[#This Row],[Security 
Risk 
Level]]</f>
        <v>MEDIUM</v>
      </c>
      <c r="K18" s="204" t="str">
        <f>IF(Table4[[#This Row],[Security Risk Control Measures]]&gt;0,Table4[[#This Row],[Security Risk Control Measures]],"")</f>
        <v xml:space="preserve">▪Asset should be behind stateful firewall
•  Use secure tunnel communications channel </v>
      </c>
      <c r="L18" s="202" t="str">
        <f>Table4[[#This Row],[Security Risk LevelP]]</f>
        <v/>
      </c>
      <c r="M18" s="204" t="str">
        <f>IF(Table4[[#This Row],[Residual Security Risk Acceptability Justification]]&gt;0,Table4[[#This Row],[Residual Security Risk Acceptability Justification]],"")</f>
        <v/>
      </c>
      <c r="N18"/>
    </row>
    <row r="19" spans="1:14" s="53" customFormat="1" ht="71.25" x14ac:dyDescent="0.25">
      <c r="A19" s="203">
        <f>Table4[[#This Row],[
ID '#]]</f>
        <v>15</v>
      </c>
      <c r="B19" s="57" t="str">
        <f>IF(Table4[[#This Row],[T ID]]&gt;0,Table4[[#This Row],[T ID]],"")</f>
        <v>T01</v>
      </c>
      <c r="C19" s="195" t="str">
        <f>Table4[[#This Row],[Threat Event(s)]]</f>
        <v>Deliver undirected malware
(CAPEC-185)</v>
      </c>
      <c r="D19" s="204" t="str">
        <f>IF(Table4[[#This Row],[V ID]]&gt;0,Table4[[#This Row],[V ID]],"")</f>
        <v>V16</v>
      </c>
      <c r="E19" s="195" t="str">
        <f>Table4[[#This Row],[Vulnerabilities]]</f>
        <v>Unencrypted data at rest in all possible locations</v>
      </c>
      <c r="F19" s="205" t="str">
        <f>IF(Table4[[#This Row],[A ID]]&gt;0,Table4[[#This Row],[A ID]],"")</f>
        <v>A01</v>
      </c>
      <c r="G19" s="195" t="str">
        <f>Table4[[#This Row],[Asset]]</f>
        <v>Tablet Resources - web cam, microphone, OTG devices, Removable USB, Tablet Application,</v>
      </c>
      <c r="H19" s="208" t="str">
        <f>IF(Table4[[#This Row],[Impact Description]]&gt;0,Table4[[#This Row],[Impact Description]],"")</f>
        <v xml:space="preserve">1) Malicious utilization of  computer resources 2) computing power  
3) denial of service attacks, 
4) ransomware attack 
5) Bitcoin mining, etc </v>
      </c>
      <c r="I19" s="204" t="str">
        <f>IF(Table4[[#This Row],[Safety Impact 
(Risk ID'# or N/A)]]&gt;0,Table4[[#This Row],[Safety Impact 
(Risk ID'# or N/A)]],"")</f>
        <v/>
      </c>
      <c r="J19" s="199" t="str">
        <f>Table4[[#This Row],[Security 
Risk 
Level]]</f>
        <v>LOW</v>
      </c>
      <c r="K19" s="204" t="str">
        <f>IF(Table4[[#This Row],[Security Risk Control Measures]]&gt;0,Table4[[#This Row],[Security Risk Control Measures]],"")</f>
        <v xml:space="preserve">▪Asset should be behind stateful firewall
•  Use secure tunnel communications channel </v>
      </c>
      <c r="L19" s="202" t="str">
        <f>Table4[[#This Row],[Security Risk LevelP]]</f>
        <v/>
      </c>
      <c r="M19" s="204" t="str">
        <f>IF(Table4[[#This Row],[Residual Security Risk Acceptability Justification]]&gt;0,Table4[[#This Row],[Residual Security Risk Acceptability Justification]],"")</f>
        <v/>
      </c>
      <c r="N19"/>
    </row>
    <row r="20" spans="1:14" s="53" customFormat="1" ht="71.25" x14ac:dyDescent="0.25">
      <c r="A20" s="203">
        <f>Table4[[#This Row],[
ID '#]]</f>
        <v>16</v>
      </c>
      <c r="B20" s="57" t="str">
        <f>IF(Table4[[#This Row],[T ID]]&gt;0,Table4[[#This Row],[T ID]],"")</f>
        <v>T01</v>
      </c>
      <c r="C20" s="195" t="str">
        <f>Table4[[#This Row],[Threat Event(s)]]</f>
        <v>Deliver undirected malware
(CAPEC-185)</v>
      </c>
      <c r="D20" s="204" t="str">
        <f>IF(Table4[[#This Row],[V ID]]&gt;0,Table4[[#This Row],[V ID]],"")</f>
        <v>V17</v>
      </c>
      <c r="E20" s="195" t="str">
        <f>Table4[[#This Row],[Vulnerabilities]]</f>
        <v>Unencrypted data in flight in all flowchannels</v>
      </c>
      <c r="F20" s="205" t="str">
        <f>IF(Table4[[#This Row],[A ID]]&gt;0,Table4[[#This Row],[A ID]],"")</f>
        <v>A03</v>
      </c>
      <c r="G20" s="195" t="str">
        <f>Table4[[#This Row],[Asset]]</f>
        <v>Smart medic (Stryker device) System Component</v>
      </c>
      <c r="H20" s="208" t="str">
        <f>IF(Table4[[#This Row],[Impact Description]]&gt;0,Table4[[#This Row],[Impact Description]],"")</f>
        <v xml:space="preserve">1) Malicious utilization of  computer resources 2) computing power  
3) denial of service attacks, 
4) ransomware attack 
5) Bitcoin mining, etc </v>
      </c>
      <c r="I20" s="204" t="str">
        <f>IF(Table4[[#This Row],[Safety Impact 
(Risk ID'# or N/A)]]&gt;0,Table4[[#This Row],[Safety Impact 
(Risk ID'# or N/A)]],"")</f>
        <v/>
      </c>
      <c r="J20" s="199" t="str">
        <f>Table4[[#This Row],[Security 
Risk 
Level]]</f>
        <v>MEDIUM</v>
      </c>
      <c r="K20" s="204" t="str">
        <f>IF(Table4[[#This Row],[Security Risk Control Measures]]&gt;0,Table4[[#This Row],[Security Risk Control Measures]],"")</f>
        <v xml:space="preserve">▪Asset should be behind stateful firewall
•  Use secure tunnel communications channel </v>
      </c>
      <c r="L20" s="202" t="str">
        <f>Table4[[#This Row],[Security Risk LevelP]]</f>
        <v/>
      </c>
      <c r="M20" s="204" t="str">
        <f>IF(Table4[[#This Row],[Residual Security Risk Acceptability Justification]]&gt;0,Table4[[#This Row],[Residual Security Risk Acceptability Justification]],"")</f>
        <v/>
      </c>
      <c r="N20"/>
    </row>
    <row r="21" spans="1:14" s="53" customFormat="1" ht="71.25" x14ac:dyDescent="0.25">
      <c r="A21" s="203">
        <f>Table4[[#This Row],[
ID '#]]</f>
        <v>17</v>
      </c>
      <c r="B21" s="57" t="str">
        <f>IF(Table4[[#This Row],[T ID]]&gt;0,Table4[[#This Row],[T ID]],"")</f>
        <v>T01</v>
      </c>
      <c r="C21" s="195" t="str">
        <f>Table4[[#This Row],[Threat Event(s)]]</f>
        <v>Deliver undirected malware
(CAPEC-185)</v>
      </c>
      <c r="D21" s="204" t="str">
        <f>IF(Table4[[#This Row],[V ID]]&gt;0,Table4[[#This Row],[V ID]],"")</f>
        <v>V17</v>
      </c>
      <c r="E21" s="195" t="str">
        <f>Table4[[#This Row],[Vulnerabilities]]</f>
        <v>Unencrypted data in flight in all flowchannels</v>
      </c>
      <c r="F21" s="205" t="str">
        <f>IF(Table4[[#This Row],[A ID]]&gt;0,Table4[[#This Row],[A ID]],"")</f>
        <v>A01</v>
      </c>
      <c r="G21" s="195" t="str">
        <f>Table4[[#This Row],[Asset]]</f>
        <v>Tablet Resources - web cam, microphone, OTG devices, Removable USB, Tablet Application,</v>
      </c>
      <c r="H21" s="208" t="str">
        <f>IF(Table4[[#This Row],[Impact Description]]&gt;0,Table4[[#This Row],[Impact Description]],"")</f>
        <v xml:space="preserve">1) Malicious utilization of  computer resources 2) computing power  
3) denial of service attacks, 
4) ransomware attack 
5) Bitcoin mining, etc </v>
      </c>
      <c r="I21" s="204" t="str">
        <f>IF(Table4[[#This Row],[Safety Impact 
(Risk ID'# or N/A)]]&gt;0,Table4[[#This Row],[Safety Impact 
(Risk ID'# or N/A)]],"")</f>
        <v/>
      </c>
      <c r="J21" s="199" t="str">
        <f>Table4[[#This Row],[Security 
Risk 
Level]]</f>
        <v>MEDIUM</v>
      </c>
      <c r="K21" s="204" t="str">
        <f>IF(Table4[[#This Row],[Security Risk Control Measures]]&gt;0,Table4[[#This Row],[Security Risk Control Measures]],"")</f>
        <v xml:space="preserve">▪Asset should be behind stateful firewall
•  Use secure tunnel communications channel </v>
      </c>
      <c r="L21" s="202" t="str">
        <f>Table4[[#This Row],[Security Risk LevelP]]</f>
        <v/>
      </c>
      <c r="M21" s="204" t="str">
        <f>IF(Table4[[#This Row],[Residual Security Risk Acceptability Justification]]&gt;0,Table4[[#This Row],[Residual Security Risk Acceptability Justification]],"")</f>
        <v/>
      </c>
      <c r="N21"/>
    </row>
    <row r="22" spans="1:14" s="53" customFormat="1" ht="71.25" x14ac:dyDescent="0.25">
      <c r="A22" s="203">
        <f>Table4[[#This Row],[
ID '#]]</f>
        <v>18</v>
      </c>
      <c r="B22" s="57" t="str">
        <f>IF(Table4[[#This Row],[T ID]]&gt;0,Table4[[#This Row],[T ID]],"")</f>
        <v>T01</v>
      </c>
      <c r="C22" s="195" t="str">
        <f>Table4[[#This Row],[Threat Event(s)]]</f>
        <v>Deliver undirected malware
(CAPEC-185)</v>
      </c>
      <c r="D22" s="204" t="str">
        <f>IF(Table4[[#This Row],[V ID]]&gt;0,Table4[[#This Row],[V ID]],"")</f>
        <v>V23</v>
      </c>
      <c r="E22" s="195" t="str">
        <f>Table4[[#This Row],[Vulnerabilities]]</f>
        <v>Outdated  - Software/Hardware</v>
      </c>
      <c r="F22" s="205" t="str">
        <f>IF(Table4[[#This Row],[A ID]]&gt;0,Table4[[#This Row],[A ID]],"")</f>
        <v>A05</v>
      </c>
      <c r="G22" s="195" t="str">
        <f>Table4[[#This Row],[Asset]]</f>
        <v>Device Maintainence tool (Hardware/Software)</v>
      </c>
      <c r="H22" s="208" t="str">
        <f>IF(Table4[[#This Row],[Impact Description]]&gt;0,Table4[[#This Row],[Impact Description]],"")</f>
        <v xml:space="preserve">1) Malicious utilization of  computer resources 2) computing power  
3) denial of service attacks, 
4) ransomware attack 
5) Bitcoin mining, etc </v>
      </c>
      <c r="I22" s="204" t="str">
        <f>IF(Table4[[#This Row],[Safety Impact 
(Risk ID'# or N/A)]]&gt;0,Table4[[#This Row],[Safety Impact 
(Risk ID'# or N/A)]],"")</f>
        <v/>
      </c>
      <c r="J22" s="199" t="str">
        <f>Table4[[#This Row],[Security 
Risk 
Level]]</f>
        <v>LOW</v>
      </c>
      <c r="K22" s="204" t="str">
        <f>IF(Table4[[#This Row],[Security Risk Control Measures]]&gt;0,Table4[[#This Row],[Security Risk Control Measures]],"")</f>
        <v xml:space="preserve">▪Asset should be behind stateful firewall
•  Use secure tunnel communications channel </v>
      </c>
      <c r="L22" s="202" t="str">
        <f>Table4[[#This Row],[Security Risk LevelP]]</f>
        <v/>
      </c>
      <c r="M22" s="204" t="str">
        <f>IF(Table4[[#This Row],[Residual Security Risk Acceptability Justification]]&gt;0,Table4[[#This Row],[Residual Security Risk Acceptability Justification]],"")</f>
        <v/>
      </c>
      <c r="N22"/>
    </row>
    <row r="23" spans="1:14" s="53" customFormat="1" ht="71.25" x14ac:dyDescent="0.25">
      <c r="A23" s="203">
        <f>Table4[[#This Row],[
ID '#]]</f>
        <v>19</v>
      </c>
      <c r="B23" s="57" t="str">
        <f>IF(Table4[[#This Row],[T ID]]&gt;0,Table4[[#This Row],[T ID]],"")</f>
        <v>T01</v>
      </c>
      <c r="C23" s="195" t="str">
        <f>Table4[[#This Row],[Threat Event(s)]]</f>
        <v>Deliver undirected malware
(CAPEC-185)</v>
      </c>
      <c r="D23" s="204" t="str">
        <f>IF(Table4[[#This Row],[V ID]]&gt;0,Table4[[#This Row],[V ID]],"")</f>
        <v>V23</v>
      </c>
      <c r="E23" s="195" t="str">
        <f>Table4[[#This Row],[Vulnerabilities]]</f>
        <v>Outdated  - Software/Hardware</v>
      </c>
      <c r="F23" s="205" t="str">
        <f>IF(Table4[[#This Row],[A ID]]&gt;0,Table4[[#This Row],[A ID]],"")</f>
        <v>A03</v>
      </c>
      <c r="G23" s="195" t="str">
        <f>Table4[[#This Row],[Asset]]</f>
        <v>Smart medic (Stryker device) System Component</v>
      </c>
      <c r="H23" s="208" t="str">
        <f>IF(Table4[[#This Row],[Impact Description]]&gt;0,Table4[[#This Row],[Impact Description]],"")</f>
        <v xml:space="preserve">1) Malicious utilization of  computer resources 2) computing power  
3) denial of service attacks, 
4) ransomware attack 
5) Bitcoin mining, etc </v>
      </c>
      <c r="I23" s="204" t="str">
        <f>IF(Table4[[#This Row],[Safety Impact 
(Risk ID'# or N/A)]]&gt;0,Table4[[#This Row],[Safety Impact 
(Risk ID'# or N/A)]],"")</f>
        <v/>
      </c>
      <c r="J23" s="199" t="str">
        <f>Table4[[#This Row],[Security 
Risk 
Level]]</f>
        <v>LOW</v>
      </c>
      <c r="K23" s="204" t="str">
        <f>IF(Table4[[#This Row],[Security Risk Control Measures]]&gt;0,Table4[[#This Row],[Security Risk Control Measures]],"")</f>
        <v xml:space="preserve">▪Asset should be behind stateful firewall
•  Use secure tunnel communications channel </v>
      </c>
      <c r="L23" s="202" t="str">
        <f>Table4[[#This Row],[Security Risk LevelP]]</f>
        <v/>
      </c>
      <c r="M23" s="204" t="str">
        <f>IF(Table4[[#This Row],[Residual Security Risk Acceptability Justification]]&gt;0,Table4[[#This Row],[Residual Security Risk Acceptability Justification]],"")</f>
        <v/>
      </c>
      <c r="N23"/>
    </row>
    <row r="24" spans="1:14" s="53" customFormat="1" ht="71.25" x14ac:dyDescent="0.25">
      <c r="A24" s="203">
        <f>Table4[[#This Row],[
ID '#]]</f>
        <v>20</v>
      </c>
      <c r="B24" s="57" t="str">
        <f>IF(Table4[[#This Row],[T ID]]&gt;0,Table4[[#This Row],[T ID]],"")</f>
        <v>T01</v>
      </c>
      <c r="C24" s="195" t="str">
        <f>Table4[[#This Row],[Threat Event(s)]]</f>
        <v>Deliver undirected malware
(CAPEC-185)</v>
      </c>
      <c r="D24" s="204" t="str">
        <f>IF(Table4[[#This Row],[V ID]]&gt;0,Table4[[#This Row],[V ID]],"")</f>
        <v>V23</v>
      </c>
      <c r="E24" s="195" t="str">
        <f>Table4[[#This Row],[Vulnerabilities]]</f>
        <v>Outdated  - Software/Hardware</v>
      </c>
      <c r="F24" s="205" t="str">
        <f>IF(Table4[[#This Row],[A ID]]&gt;0,Table4[[#This Row],[A ID]],"")</f>
        <v>A01</v>
      </c>
      <c r="G24" s="195" t="str">
        <f>Table4[[#This Row],[Asset]]</f>
        <v>Tablet Resources - web cam, microphone, OTG devices, Removable USB, Tablet Application,</v>
      </c>
      <c r="H24" s="208" t="str">
        <f>IF(Table4[[#This Row],[Impact Description]]&gt;0,Table4[[#This Row],[Impact Description]],"")</f>
        <v xml:space="preserve">1) Malicious utilization of  computer resources 2) computing power  
3) denial of service attacks, 
4) ransomware attack 
5) Bitcoin mining, etc </v>
      </c>
      <c r="I24" s="204" t="str">
        <f>IF(Table4[[#This Row],[Safety Impact 
(Risk ID'# or N/A)]]&gt;0,Table4[[#This Row],[Safety Impact 
(Risk ID'# or N/A)]],"")</f>
        <v/>
      </c>
      <c r="J24" s="199" t="str">
        <f>Table4[[#This Row],[Security 
Risk 
Level]]</f>
        <v>LOW</v>
      </c>
      <c r="K24" s="204" t="str">
        <f>IF(Table4[[#This Row],[Security Risk Control Measures]]&gt;0,Table4[[#This Row],[Security Risk Control Measures]],"")</f>
        <v xml:space="preserve">▪Asset should be behind stateful firewall
•  Use secure tunnel communications channel </v>
      </c>
      <c r="L24" s="202" t="str">
        <f>Table4[[#This Row],[Security Risk LevelP]]</f>
        <v/>
      </c>
      <c r="M24" s="204" t="str">
        <f>IF(Table4[[#This Row],[Residual Security Risk Acceptability Justification]]&gt;0,Table4[[#This Row],[Residual Security Risk Acceptability Justification]],"")</f>
        <v/>
      </c>
      <c r="N24"/>
    </row>
    <row r="25" spans="1:14" s="53" customFormat="1" ht="71.25" x14ac:dyDescent="0.25">
      <c r="A25" s="203">
        <f>Table4[[#This Row],[
ID '#]]</f>
        <v>21</v>
      </c>
      <c r="B25" s="57" t="str">
        <f>IF(Table4[[#This Row],[T ID]]&gt;0,Table4[[#This Row],[T ID]],"")</f>
        <v>T02</v>
      </c>
      <c r="C25" s="195" t="str">
        <f>Table4[[#This Row],[Threat Event(s)]]</f>
        <v>Deliver directed malware
(CAPEC-185)</v>
      </c>
      <c r="D25" s="204" t="str">
        <f>IF(Table4[[#This Row],[V ID]]&gt;0,Table4[[#This Row],[V ID]],"")</f>
        <v>V21</v>
      </c>
      <c r="E25" s="195" t="str">
        <f>Table4[[#This Row],[Vulnerabilities]]</f>
        <v>InSecure Configuration for Software/OS on Mobile Devices, Laptops, Workstations, and Servers</v>
      </c>
      <c r="F25" s="205" t="str">
        <f>IF(Table4[[#This Row],[A ID]]&gt;0,Table4[[#This Row],[A ID]],"")</f>
        <v>A05</v>
      </c>
      <c r="G25" s="195" t="str">
        <f>Table4[[#This Row],[Asset]]</f>
        <v>Device Maintainence tool (Hardware/Software)</v>
      </c>
      <c r="H25" s="208" t="str">
        <f>IF(Table4[[#This Row],[Impact Description]]&gt;0,Table4[[#This Row],[Impact Description]],"")</f>
        <v xml:space="preserve">1) Malicious utilization of  computer resources 2) computing power  
3) denial of service attacks, 
4) ransomware attack 
5) Bitcoin mining, etc </v>
      </c>
      <c r="I25" s="204" t="str">
        <f>IF(Table4[[#This Row],[Safety Impact 
(Risk ID'# or N/A)]]&gt;0,Table4[[#This Row],[Safety Impact 
(Risk ID'# or N/A)]],"")</f>
        <v/>
      </c>
      <c r="J25" s="199" t="str">
        <f>Table4[[#This Row],[Security 
Risk 
Level]]</f>
        <v>MEDIUM</v>
      </c>
      <c r="K25" s="204" t="str">
        <f>IF(Table4[[#This Row],[Security Risk Control Measures]]&gt;0,Table4[[#This Row],[Security Risk Control Measures]],"")</f>
        <v xml:space="preserve">▪Asset should be behind stateful firewall
•  Use secure tunnel communications channel </v>
      </c>
      <c r="L25" s="202" t="str">
        <f>Table4[[#This Row],[Security Risk LevelP]]</f>
        <v>MEDIUM</v>
      </c>
      <c r="M25" s="204" t="str">
        <f>IF(Table4[[#This Row],[Residual Security Risk Acceptability Justification]]&gt;0,Table4[[#This Row],[Residual Security Risk Acceptability Justification]],"")</f>
        <v>Justification</v>
      </c>
      <c r="N25"/>
    </row>
    <row r="26" spans="1:14" s="53" customFormat="1" ht="71.25" x14ac:dyDescent="0.25">
      <c r="A26" s="203">
        <f>Table4[[#This Row],[
ID '#]]</f>
        <v>22</v>
      </c>
      <c r="B26" s="57" t="str">
        <f>IF(Table4[[#This Row],[T ID]]&gt;0,Table4[[#This Row],[T ID]],"")</f>
        <v>T02</v>
      </c>
      <c r="C26" s="195" t="str">
        <f>Table4[[#This Row],[Threat Event(s)]]</f>
        <v>Deliver directed malware
(CAPEC-185)</v>
      </c>
      <c r="D26" s="204" t="str">
        <f>IF(Table4[[#This Row],[V ID]]&gt;0,Table4[[#This Row],[V ID]],"")</f>
        <v>V21</v>
      </c>
      <c r="E26" s="195" t="str">
        <f>Table4[[#This Row],[Vulnerabilities]]</f>
        <v>InSecure Configuration for Software/OS on Mobile Devices, Laptops, Workstations, and Servers</v>
      </c>
      <c r="F26" s="205" t="str">
        <f>IF(Table4[[#This Row],[A ID]]&gt;0,Table4[[#This Row],[A ID]],"")</f>
        <v>A03</v>
      </c>
      <c r="G26" s="195" t="str">
        <f>Table4[[#This Row],[Asset]]</f>
        <v>Smart medic (Stryker device) System Component</v>
      </c>
      <c r="H26" s="208" t="str">
        <f>IF(Table4[[#This Row],[Impact Description]]&gt;0,Table4[[#This Row],[Impact Description]],"")</f>
        <v xml:space="preserve">1) Malicious utilization of  computer resources 2) computing power  
3) denial of service attacks, 
4) ransomware attack 
5) Bitcoin mining, etc </v>
      </c>
      <c r="I26" s="204" t="str">
        <f>IF(Table4[[#This Row],[Safety Impact 
(Risk ID'# or N/A)]]&gt;0,Table4[[#This Row],[Safety Impact 
(Risk ID'# or N/A)]],"")</f>
        <v/>
      </c>
      <c r="J26" s="199" t="str">
        <f>Table4[[#This Row],[Security 
Risk 
Level]]</f>
        <v>MEDIUM</v>
      </c>
      <c r="K26" s="204" t="str">
        <f>IF(Table4[[#This Row],[Security Risk Control Measures]]&gt;0,Table4[[#This Row],[Security Risk Control Measures]],"")</f>
        <v xml:space="preserve">▪Asset should be behind stateful firewall
•  Use secure tunnel communications channel </v>
      </c>
      <c r="L26" s="202" t="str">
        <f>Table4[[#This Row],[Security Risk LevelP]]</f>
        <v/>
      </c>
      <c r="M26" s="204" t="str">
        <f>IF(Table4[[#This Row],[Residual Security Risk Acceptability Justification]]&gt;0,Table4[[#This Row],[Residual Security Risk Acceptability Justification]],"")</f>
        <v/>
      </c>
      <c r="N26"/>
    </row>
    <row r="27" spans="1:14" s="53" customFormat="1" ht="71.25" x14ac:dyDescent="0.25">
      <c r="A27" s="203">
        <f>Table4[[#This Row],[
ID '#]]</f>
        <v>23</v>
      </c>
      <c r="B27" s="57" t="str">
        <f>IF(Table4[[#This Row],[T ID]]&gt;0,Table4[[#This Row],[T ID]],"")</f>
        <v>T02</v>
      </c>
      <c r="C27" s="195" t="str">
        <f>Table4[[#This Row],[Threat Event(s)]]</f>
        <v>Deliver directed malware
(CAPEC-185)</v>
      </c>
      <c r="D27" s="204" t="str">
        <f>IF(Table4[[#This Row],[V ID]]&gt;0,Table4[[#This Row],[V ID]],"")</f>
        <v>V21</v>
      </c>
      <c r="E27" s="195" t="str">
        <f>Table4[[#This Row],[Vulnerabilities]]</f>
        <v>InSecure Configuration for Software/OS on Mobile Devices, Laptops, Workstations, and Servers</v>
      </c>
      <c r="F27" s="205" t="str">
        <f>IF(Table4[[#This Row],[A ID]]&gt;0,Table4[[#This Row],[A ID]],"")</f>
        <v>A01</v>
      </c>
      <c r="G27" s="195" t="str">
        <f>Table4[[#This Row],[Asset]]</f>
        <v>Tablet Resources - web cam, microphone, OTG devices, Removable USB, Tablet Application,</v>
      </c>
      <c r="H27" s="208" t="str">
        <f>IF(Table4[[#This Row],[Impact Description]]&gt;0,Table4[[#This Row],[Impact Description]],"")</f>
        <v xml:space="preserve">1) Malicious utilization of  computer resources 2) computing power  
3) denial of service attacks, 
4) ransomware attack 
5) Bitcoin mining, etc </v>
      </c>
      <c r="I27" s="204" t="str">
        <f>IF(Table4[[#This Row],[Safety Impact 
(Risk ID'# or N/A)]]&gt;0,Table4[[#This Row],[Safety Impact 
(Risk ID'# or N/A)]],"")</f>
        <v/>
      </c>
      <c r="J27" s="199" t="str">
        <f>Table4[[#This Row],[Security 
Risk 
Level]]</f>
        <v>LOW</v>
      </c>
      <c r="K27" s="204" t="str">
        <f>IF(Table4[[#This Row],[Security Risk Control Measures]]&gt;0,Table4[[#This Row],[Security Risk Control Measures]],"")</f>
        <v xml:space="preserve">▪Asset should be behind stateful firewall
•  Use secure tunnel communications channel </v>
      </c>
      <c r="L27" s="202" t="str">
        <f>Table4[[#This Row],[Security Risk LevelP]]</f>
        <v/>
      </c>
      <c r="M27" s="204" t="str">
        <f>IF(Table4[[#This Row],[Residual Security Risk Acceptability Justification]]&gt;0,Table4[[#This Row],[Residual Security Risk Acceptability Justification]],"")</f>
        <v/>
      </c>
      <c r="N27"/>
    </row>
    <row r="28" spans="1:14" s="53" customFormat="1" ht="71.25" x14ac:dyDescent="0.25">
      <c r="A28" s="203">
        <f>Table4[[#This Row],[
ID '#]]</f>
        <v>24</v>
      </c>
      <c r="B28" s="57" t="str">
        <f>IF(Table4[[#This Row],[T ID]]&gt;0,Table4[[#This Row],[T ID]],"")</f>
        <v>T02</v>
      </c>
      <c r="C28" s="195" t="str">
        <f>Table4[[#This Row],[Threat Event(s)]]</f>
        <v>Deliver directed malware
(CAPEC-185)</v>
      </c>
      <c r="D28" s="204" t="str">
        <f>IF(Table4[[#This Row],[V ID]]&gt;0,Table4[[#This Row],[V ID]],"")</f>
        <v>V13</v>
      </c>
      <c r="E28" s="195" t="str">
        <f>Table4[[#This Row],[Vulnerabilities]]</f>
        <v>Unprotected external USB Port on the tablet/devices.</v>
      </c>
      <c r="F28" s="205" t="str">
        <f>IF(Table4[[#This Row],[A ID]]&gt;0,Table4[[#This Row],[A ID]],"")</f>
        <v>A08</v>
      </c>
      <c r="G28" s="195" t="str">
        <f>Table4[[#This Row],[Asset]]</f>
        <v>Wireless Network device</v>
      </c>
      <c r="H28" s="208" t="str">
        <f>IF(Table4[[#This Row],[Impact Description]]&gt;0,Table4[[#This Row],[Impact Description]],"")</f>
        <v xml:space="preserve">1) Malicious utilization of  computer resources 2) computing power  
3) denial of service attacks, 
4) ransomware attack 
5) Bitcoin mining, etc </v>
      </c>
      <c r="I28" s="204" t="str">
        <f>IF(Table4[[#This Row],[Safety Impact 
(Risk ID'# or N/A)]]&gt;0,Table4[[#This Row],[Safety Impact 
(Risk ID'# or N/A)]],"")</f>
        <v/>
      </c>
      <c r="J28" s="199" t="str">
        <f>Table4[[#This Row],[Security 
Risk 
Level]]</f>
        <v>LOW</v>
      </c>
      <c r="K28" s="204" t="str">
        <f>IF(Table4[[#This Row],[Security Risk Control Measures]]&gt;0,Table4[[#This Row],[Security Risk Control Measures]],"")</f>
        <v>•  Stateful Firewall
• Maintain access control list</v>
      </c>
      <c r="L28" s="202" t="str">
        <f>Table4[[#This Row],[Security Risk LevelP]]</f>
        <v/>
      </c>
      <c r="M28" s="204" t="str">
        <f>IF(Table4[[#This Row],[Residual Security Risk Acceptability Justification]]&gt;0,Table4[[#This Row],[Residual Security Risk Acceptability Justification]],"")</f>
        <v/>
      </c>
      <c r="N28"/>
    </row>
    <row r="29" spans="1:14" s="53" customFormat="1" ht="71.25" x14ac:dyDescent="0.25">
      <c r="A29" s="203">
        <f>Table4[[#This Row],[
ID '#]]</f>
        <v>25</v>
      </c>
      <c r="B29" s="57" t="str">
        <f>IF(Table4[[#This Row],[T ID]]&gt;0,Table4[[#This Row],[T ID]],"")</f>
        <v>T02</v>
      </c>
      <c r="C29" s="195" t="str">
        <f>Table4[[#This Row],[Threat Event(s)]]</f>
        <v>Deliver directed malware
(CAPEC-185)</v>
      </c>
      <c r="D29" s="204" t="str">
        <f>IF(Table4[[#This Row],[V ID]]&gt;0,Table4[[#This Row],[V ID]],"")</f>
        <v>V13</v>
      </c>
      <c r="E29" s="195" t="str">
        <f>Table4[[#This Row],[Vulnerabilities]]</f>
        <v>Unprotected external USB Port on the tablet/devices.</v>
      </c>
      <c r="F29" s="205" t="str">
        <f>IF(Table4[[#This Row],[A ID]]&gt;0,Table4[[#This Row],[A ID]],"")</f>
        <v>A01</v>
      </c>
      <c r="G29" s="195" t="str">
        <f>Table4[[#This Row],[Asset]]</f>
        <v>Tablet Resources - web cam, microphone, OTG devices, Removable USB, Tablet Application,</v>
      </c>
      <c r="H29" s="208" t="str">
        <f>IF(Table4[[#This Row],[Impact Description]]&gt;0,Table4[[#This Row],[Impact Description]],"")</f>
        <v xml:space="preserve">1) Malicious utilization of  computer resources 2) computing power  
3) denial of service attacks, 
4) ransomware attack 
5) Bitcoin mining, etc </v>
      </c>
      <c r="I29" s="204" t="str">
        <f>IF(Table4[[#This Row],[Safety Impact 
(Risk ID'# or N/A)]]&gt;0,Table4[[#This Row],[Safety Impact 
(Risk ID'# or N/A)]],"")</f>
        <v/>
      </c>
      <c r="J29" s="199" t="str">
        <f>Table4[[#This Row],[Security 
Risk 
Level]]</f>
        <v>LOW</v>
      </c>
      <c r="K29" s="204" t="str">
        <f>IF(Table4[[#This Row],[Security Risk Control Measures]]&gt;0,Table4[[#This Row],[Security Risk Control Measures]],"")</f>
        <v xml:space="preserve">▪Asset should be behind stateful firewall
•  Use secure tunnel communications channel </v>
      </c>
      <c r="L29" s="202" t="str">
        <f>Table4[[#This Row],[Security Risk LevelP]]</f>
        <v/>
      </c>
      <c r="M29" s="204" t="str">
        <f>IF(Table4[[#This Row],[Residual Security Risk Acceptability Justification]]&gt;0,Table4[[#This Row],[Residual Security Risk Acceptability Justification]],"")</f>
        <v/>
      </c>
      <c r="N29"/>
    </row>
    <row r="30" spans="1:14" s="53" customFormat="1" ht="71.25" x14ac:dyDescent="0.25">
      <c r="A30" s="203">
        <f>Table4[[#This Row],[
ID '#]]</f>
        <v>26</v>
      </c>
      <c r="B30" s="57" t="str">
        <f>IF(Table4[[#This Row],[T ID]]&gt;0,Table4[[#This Row],[T ID]],"")</f>
        <v>T02</v>
      </c>
      <c r="C30" s="195" t="str">
        <f>Table4[[#This Row],[Threat Event(s)]]</f>
        <v>Deliver directed malware
(CAPEC-185)</v>
      </c>
      <c r="D30" s="204" t="str">
        <f>IF(Table4[[#This Row],[V ID]]&gt;0,Table4[[#This Row],[V ID]],"")</f>
        <v>V13</v>
      </c>
      <c r="E30" s="195" t="str">
        <f>Table4[[#This Row],[Vulnerabilities]]</f>
        <v>Unprotected external USB Port on the tablet/devices.</v>
      </c>
      <c r="F30" s="205" t="str">
        <f>IF(Table4[[#This Row],[A ID]]&gt;0,Table4[[#This Row],[A ID]],"")</f>
        <v>A11</v>
      </c>
      <c r="G30" s="195" t="str">
        <f>Table4[[#This Row],[Asset]]</f>
        <v>Smart medic app (Stryker Azure Cloud Web Application)</v>
      </c>
      <c r="H30" s="208" t="str">
        <f>IF(Table4[[#This Row],[Impact Description]]&gt;0,Table4[[#This Row],[Impact Description]],"")</f>
        <v xml:space="preserve">1) Malicious utilization of  computer resources 2) computing power  
3) denial of service attacks, 
4) ransomware attack 
5) Bitcoin mining, etc </v>
      </c>
      <c r="I30" s="204" t="str">
        <f>IF(Table4[[#This Row],[Safety Impact 
(Risk ID'# or N/A)]]&gt;0,Table4[[#This Row],[Safety Impact 
(Risk ID'# or N/A)]],"")</f>
        <v/>
      </c>
      <c r="J30" s="199" t="str">
        <f>Table4[[#This Row],[Security 
Risk 
Level]]</f>
        <v>LOW</v>
      </c>
      <c r="K30" s="204" t="str">
        <f>IF(Table4[[#This Row],[Security Risk Control Measures]]&gt;0,Table4[[#This Row],[Security Risk Control Measures]],"")</f>
        <v xml:space="preserve">• Use Secure tunnel Communications channel </v>
      </c>
      <c r="L30" s="202" t="str">
        <f>Table4[[#This Row],[Security Risk LevelP]]</f>
        <v/>
      </c>
      <c r="M30" s="204" t="str">
        <f>IF(Table4[[#This Row],[Residual Security Risk Acceptability Justification]]&gt;0,Table4[[#This Row],[Residual Security Risk Acceptability Justification]],"")</f>
        <v/>
      </c>
      <c r="N30"/>
    </row>
    <row r="31" spans="1:14" s="53" customFormat="1" ht="114" x14ac:dyDescent="0.25">
      <c r="A31" s="203">
        <f>Table4[[#This Row],[
ID '#]]</f>
        <v>27</v>
      </c>
      <c r="B31" s="57" t="str">
        <f>IF(Table4[[#This Row],[T ID]]&gt;0,Table4[[#This Row],[T ID]],"")</f>
        <v>T02</v>
      </c>
      <c r="C31" s="195" t="str">
        <f>Table4[[#This Row],[Threat Event(s)]]</f>
        <v>Deliver directed malware
(CAPEC-185)</v>
      </c>
      <c r="D31" s="204" t="str">
        <f>IF(Table4[[#This Row],[V ID]]&gt;0,Table4[[#This Row],[V ID]],"")</f>
        <v>V02</v>
      </c>
      <c r="E31" s="195" t="str">
        <f>Table4[[#This Row],[Vulnerabilities]]</f>
        <v>External communications and exposure for communciation channels from and to application and devices like tablet and smartmedic device.</v>
      </c>
      <c r="F31" s="205" t="str">
        <f>IF(Table4[[#This Row],[A ID]]&gt;0,Table4[[#This Row],[A ID]],"")</f>
        <v>A01</v>
      </c>
      <c r="G31" s="195" t="str">
        <f>Table4[[#This Row],[Asset]]</f>
        <v>Tablet Resources - web cam, microphone, OTG devices, Removable USB, Tablet Application,</v>
      </c>
      <c r="H31" s="208" t="str">
        <f>IF(Table4[[#This Row],[Impact Description]]&gt;0,Table4[[#This Row],[Impact Description]],"")</f>
        <v xml:space="preserve">1) Malicious utilization of  computer resources 2) computing power  
3) denial of service attacks, 
4) ransomware attack 
5) Bitcoin mining, etc </v>
      </c>
      <c r="I31" s="204" t="str">
        <f>IF(Table4[[#This Row],[Safety Impact 
(Risk ID'# or N/A)]]&gt;0,Table4[[#This Row],[Safety Impact 
(Risk ID'# or N/A)]],"")</f>
        <v/>
      </c>
      <c r="J31" s="199" t="str">
        <f>Table4[[#This Row],[Security 
Risk 
Level]]</f>
        <v>MEDIUM</v>
      </c>
      <c r="K31" s="204" t="str">
        <f>IF(Table4[[#This Row],[Security Risk Control Measures]]&gt;0,Table4[[#This Row],[Security Risk Control Measures]],"")</f>
        <v xml:space="preserve">▪Asset should be behind stateful firewall
•  Use secure tunnel communications channel </v>
      </c>
      <c r="L31" s="202" t="str">
        <f>Table4[[#This Row],[Security Risk LevelP]]</f>
        <v/>
      </c>
      <c r="M31" s="204" t="str">
        <f>IF(Table4[[#This Row],[Residual Security Risk Acceptability Justification]]&gt;0,Table4[[#This Row],[Residual Security Risk Acceptability Justification]],"")</f>
        <v/>
      </c>
      <c r="N31"/>
    </row>
    <row r="32" spans="1:14" s="53" customFormat="1" ht="85.5" x14ac:dyDescent="0.25">
      <c r="A32" s="203">
        <f>Table4[[#This Row],[
ID '#]]</f>
        <v>28</v>
      </c>
      <c r="B32" s="57" t="str">
        <f>IF(Table4[[#This Row],[T ID]]&gt;0,Table4[[#This Row],[T ID]],"")</f>
        <v>T02</v>
      </c>
      <c r="C32" s="195" t="str">
        <f>Table4[[#This Row],[Threat Event(s)]]</f>
        <v>Deliver directed malware
(CAPEC-185)</v>
      </c>
      <c r="D32" s="204" t="str">
        <f>IF(Table4[[#This Row],[V ID]]&gt;0,Table4[[#This Row],[V ID]],"")</f>
        <v>V08</v>
      </c>
      <c r="E32" s="195" t="str">
        <f>Table4[[#This Row],[Vulnerabilities]]</f>
        <v>Ineffective patch management of firware, OS and applications thoughout the information system plan</v>
      </c>
      <c r="F32" s="205" t="str">
        <f>IF(Table4[[#This Row],[A ID]]&gt;0,Table4[[#This Row],[A ID]],"")</f>
        <v>A05</v>
      </c>
      <c r="G32" s="195" t="str">
        <f>Table4[[#This Row],[Asset]]</f>
        <v>Device Maintainence tool (Hardware/Software)</v>
      </c>
      <c r="H32" s="208" t="str">
        <f>IF(Table4[[#This Row],[Impact Description]]&gt;0,Table4[[#This Row],[Impact Description]],"")</f>
        <v xml:space="preserve">1) Malicious utilization of  computer resources 2) computing power  
3) denial of service attacks, 
4) ransomware attack 
5) Bitcoin mining, etc </v>
      </c>
      <c r="I32" s="204" t="str">
        <f>IF(Table4[[#This Row],[Safety Impact 
(Risk ID'# or N/A)]]&gt;0,Table4[[#This Row],[Safety Impact 
(Risk ID'# or N/A)]],"")</f>
        <v/>
      </c>
      <c r="J32" s="199" t="str">
        <f>Table4[[#This Row],[Security 
Risk 
Level]]</f>
        <v>LOW</v>
      </c>
      <c r="K32" s="204" t="str">
        <f>IF(Table4[[#This Row],[Security Risk Control Measures]]&gt;0,Table4[[#This Row],[Security Risk Control Measures]],"")</f>
        <v xml:space="preserve">▪Asset should be behind stateful firewall
•  Use secure tunnel communications channel </v>
      </c>
      <c r="L32" s="202" t="str">
        <f>Table4[[#This Row],[Security Risk LevelP]]</f>
        <v/>
      </c>
      <c r="M32" s="204" t="str">
        <f>IF(Table4[[#This Row],[Residual Security Risk Acceptability Justification]]&gt;0,Table4[[#This Row],[Residual Security Risk Acceptability Justification]],"")</f>
        <v/>
      </c>
      <c r="N32"/>
    </row>
    <row r="33" spans="1:14" s="53" customFormat="1" ht="85.5" x14ac:dyDescent="0.25">
      <c r="A33" s="203">
        <f>Table4[[#This Row],[
ID '#]]</f>
        <v>29</v>
      </c>
      <c r="B33" s="57" t="str">
        <f>IF(Table4[[#This Row],[T ID]]&gt;0,Table4[[#This Row],[T ID]],"")</f>
        <v>T02</v>
      </c>
      <c r="C33" s="195" t="str">
        <f>Table4[[#This Row],[Threat Event(s)]]</f>
        <v>Deliver directed malware
(CAPEC-185)</v>
      </c>
      <c r="D33" s="204" t="str">
        <f>IF(Table4[[#This Row],[V ID]]&gt;0,Table4[[#This Row],[V ID]],"")</f>
        <v>V08</v>
      </c>
      <c r="E33" s="195" t="str">
        <f>Table4[[#This Row],[Vulnerabilities]]</f>
        <v>Ineffective patch management of firware, OS and applications thoughout the information system plan</v>
      </c>
      <c r="F33" s="205" t="str">
        <f>IF(Table4[[#This Row],[A ID]]&gt;0,Table4[[#This Row],[A ID]],"")</f>
        <v>A03</v>
      </c>
      <c r="G33" s="195" t="str">
        <f>Table4[[#This Row],[Asset]]</f>
        <v>Smart medic (Stryker device) System Component</v>
      </c>
      <c r="H33" s="208" t="str">
        <f>IF(Table4[[#This Row],[Impact Description]]&gt;0,Table4[[#This Row],[Impact Description]],"")</f>
        <v xml:space="preserve">1) Malicious utilization of  computer resources 2) computing power  
3) denial of service attacks, 
4) ransomware attack 
5) Bitcoin mining, etc </v>
      </c>
      <c r="I33" s="204" t="str">
        <f>IF(Table4[[#This Row],[Safety Impact 
(Risk ID'# or N/A)]]&gt;0,Table4[[#This Row],[Safety Impact 
(Risk ID'# or N/A)]],"")</f>
        <v/>
      </c>
      <c r="J33" s="199" t="str">
        <f>Table4[[#This Row],[Security 
Risk 
Level]]</f>
        <v>LOW</v>
      </c>
      <c r="K33" s="204" t="str">
        <f>IF(Table4[[#This Row],[Security Risk Control Measures]]&gt;0,Table4[[#This Row],[Security Risk Control Measures]],"")</f>
        <v xml:space="preserve">▪Asset should be behind stateful firewall
•  Use secure tunnel communications channel </v>
      </c>
      <c r="L33" s="202" t="str">
        <f>Table4[[#This Row],[Security Risk LevelP]]</f>
        <v/>
      </c>
      <c r="M33" s="204" t="str">
        <f>IF(Table4[[#This Row],[Residual Security Risk Acceptability Justification]]&gt;0,Table4[[#This Row],[Residual Security Risk Acceptability Justification]],"")</f>
        <v/>
      </c>
      <c r="N33"/>
    </row>
    <row r="34" spans="1:14" s="53" customFormat="1" ht="85.5" x14ac:dyDescent="0.25">
      <c r="A34" s="203">
        <f>Table4[[#This Row],[
ID '#]]</f>
        <v>30</v>
      </c>
      <c r="B34" s="57" t="str">
        <f>IF(Table4[[#This Row],[T ID]]&gt;0,Table4[[#This Row],[T ID]],"")</f>
        <v>T02</v>
      </c>
      <c r="C34" s="195" t="str">
        <f>Table4[[#This Row],[Threat Event(s)]]</f>
        <v>Deliver directed malware
(CAPEC-185)</v>
      </c>
      <c r="D34" s="204" t="str">
        <f>IF(Table4[[#This Row],[V ID]]&gt;0,Table4[[#This Row],[V ID]],"")</f>
        <v>V08</v>
      </c>
      <c r="E34" s="195" t="str">
        <f>Table4[[#This Row],[Vulnerabilities]]</f>
        <v>Ineffective patch management of firware, OS and applications thoughout the information system plan</v>
      </c>
      <c r="F34" s="205" t="str">
        <f>IF(Table4[[#This Row],[A ID]]&gt;0,Table4[[#This Row],[A ID]],"")</f>
        <v>A01</v>
      </c>
      <c r="G34" s="195" t="str">
        <f>Table4[[#This Row],[Asset]]</f>
        <v>Tablet Resources - web cam, microphone, OTG devices, Removable USB, Tablet Application,</v>
      </c>
      <c r="H34" s="208" t="str">
        <f>IF(Table4[[#This Row],[Impact Description]]&gt;0,Table4[[#This Row],[Impact Description]],"")</f>
        <v xml:space="preserve">1) Malicious utilization of  computer resources 2) computing power  
3) denial of service attacks, 
4) ransomware attack 
5) Bitcoin mining, etc </v>
      </c>
      <c r="I34" s="204" t="str">
        <f>IF(Table4[[#This Row],[Safety Impact 
(Risk ID'# or N/A)]]&gt;0,Table4[[#This Row],[Safety Impact 
(Risk ID'# or N/A)]],"")</f>
        <v/>
      </c>
      <c r="J34" s="199" t="str">
        <f>Table4[[#This Row],[Security 
Risk 
Level]]</f>
        <v>LOW</v>
      </c>
      <c r="K34" s="204" t="str">
        <f>IF(Table4[[#This Row],[Security Risk Control Measures]]&gt;0,Table4[[#This Row],[Security Risk Control Measures]],"")</f>
        <v xml:space="preserve">▪Asset should be behind stateful firewall
•  Use secure tunnel communications channel </v>
      </c>
      <c r="L34" s="202" t="str">
        <f>Table4[[#This Row],[Security Risk LevelP]]</f>
        <v/>
      </c>
      <c r="M34" s="204" t="str">
        <f>IF(Table4[[#This Row],[Residual Security Risk Acceptability Justification]]&gt;0,Table4[[#This Row],[Residual Security Risk Acceptability Justification]],"")</f>
        <v/>
      </c>
      <c r="N34"/>
    </row>
    <row r="35" spans="1:14" s="53" customFormat="1" ht="85.5" x14ac:dyDescent="0.25">
      <c r="A35" s="203">
        <f>Table4[[#This Row],[
ID '#]]</f>
        <v>31</v>
      </c>
      <c r="B35" s="57" t="str">
        <f>IF(Table4[[#This Row],[T ID]]&gt;0,Table4[[#This Row],[T ID]],"")</f>
        <v>T02</v>
      </c>
      <c r="C35" s="195" t="str">
        <f>Table4[[#This Row],[Threat Event(s)]]</f>
        <v>Deliver directed malware
(CAPEC-185)</v>
      </c>
      <c r="D35" s="204" t="str">
        <f>IF(Table4[[#This Row],[V ID]]&gt;0,Table4[[#This Row],[V ID]],"")</f>
        <v>V12</v>
      </c>
      <c r="E35" s="195" t="str">
        <f>Table4[[#This Row],[Vulnerabilities]]</f>
        <v>Unprotected network port(s) on network devices and connection points</v>
      </c>
      <c r="F35" s="205" t="str">
        <f>IF(Table4[[#This Row],[A ID]]&gt;0,Table4[[#This Row],[A ID]],"")</f>
        <v>A03</v>
      </c>
      <c r="G35" s="195" t="str">
        <f>Table4[[#This Row],[Asset]]</f>
        <v>Smart medic (Stryker device) System Component</v>
      </c>
      <c r="H35" s="208" t="str">
        <f>IF(Table4[[#This Row],[Impact Description]]&gt;0,Table4[[#This Row],[Impact Description]],"")</f>
        <v xml:space="preserve">1) Malicious utilization of  computer resources 
2) computing power  
3) denial of service attacks, 
4) ransomware attack 
5) Bitcoin mining, etc </v>
      </c>
      <c r="I35" s="204" t="str">
        <f>IF(Table4[[#This Row],[Safety Impact 
(Risk ID'# or N/A)]]&gt;0,Table4[[#This Row],[Safety Impact 
(Risk ID'# or N/A)]],"")</f>
        <v/>
      </c>
      <c r="J35" s="199" t="str">
        <f>Table4[[#This Row],[Security 
Risk 
Level]]</f>
        <v>MEDIUM</v>
      </c>
      <c r="K35" s="204" t="str">
        <f>IF(Table4[[#This Row],[Security Risk Control Measures]]&gt;0,Table4[[#This Row],[Security Risk Control Measures]],"")</f>
        <v xml:space="preserve">▪Asset should be behind stateful firewall
•  Use secure tunnel communications channel </v>
      </c>
      <c r="L35" s="202" t="str">
        <f>Table4[[#This Row],[Security Risk LevelP]]</f>
        <v/>
      </c>
      <c r="M35" s="204" t="str">
        <f>IF(Table4[[#This Row],[Residual Security Risk Acceptability Justification]]&gt;0,Table4[[#This Row],[Residual Security Risk Acceptability Justification]],"")</f>
        <v/>
      </c>
      <c r="N35"/>
    </row>
    <row r="36" spans="1:14" s="53" customFormat="1" ht="85.5" x14ac:dyDescent="0.25">
      <c r="A36" s="203">
        <f>Table4[[#This Row],[
ID '#]]</f>
        <v>32</v>
      </c>
      <c r="B36" s="57" t="str">
        <f>IF(Table4[[#This Row],[T ID]]&gt;0,Table4[[#This Row],[T ID]],"")</f>
        <v>T02</v>
      </c>
      <c r="C36" s="195" t="str">
        <f>Table4[[#This Row],[Threat Event(s)]]</f>
        <v>Deliver directed malware
(CAPEC-185)</v>
      </c>
      <c r="D36" s="204" t="str">
        <f>IF(Table4[[#This Row],[V ID]]&gt;0,Table4[[#This Row],[V ID]],"")</f>
        <v>V12</v>
      </c>
      <c r="E36" s="195" t="str">
        <f>Table4[[#This Row],[Vulnerabilities]]</f>
        <v>Unprotected network port(s) on network devices and connection points</v>
      </c>
      <c r="F36" s="205" t="str">
        <f>IF(Table4[[#This Row],[A ID]]&gt;0,Table4[[#This Row],[A ID]],"")</f>
        <v>A01</v>
      </c>
      <c r="G36" s="195" t="str">
        <f>Table4[[#This Row],[Asset]]</f>
        <v>Tablet Resources - web cam, microphone, OTG devices, Removable USB, Tablet Application,</v>
      </c>
      <c r="H36" s="208" t="str">
        <f>IF(Table4[[#This Row],[Impact Description]]&gt;0,Table4[[#This Row],[Impact Description]],"")</f>
        <v xml:space="preserve">1) Malicious utilization of  computer resources 
2) computing power  
3) denial of service attacks, 
4) ransomware attack 
5) Bitcoin mining, etc </v>
      </c>
      <c r="I36" s="204" t="str">
        <f>IF(Table4[[#This Row],[Safety Impact 
(Risk ID'# or N/A)]]&gt;0,Table4[[#This Row],[Safety Impact 
(Risk ID'# or N/A)]],"")</f>
        <v/>
      </c>
      <c r="J36" s="199" t="str">
        <f>Table4[[#This Row],[Security 
Risk 
Level]]</f>
        <v>MEDIUM</v>
      </c>
      <c r="K36" s="204" t="str">
        <f>IF(Table4[[#This Row],[Security Risk Control Measures]]&gt;0,Table4[[#This Row],[Security Risk Control Measures]],"")</f>
        <v xml:space="preserve">▪Asset should be behind stateful firewall
•  Use secure tunnel communications channel </v>
      </c>
      <c r="L36" s="202" t="str">
        <f>Table4[[#This Row],[Security Risk LevelP]]</f>
        <v/>
      </c>
      <c r="M36" s="204" t="str">
        <f>IF(Table4[[#This Row],[Residual Security Risk Acceptability Justification]]&gt;0,Table4[[#This Row],[Residual Security Risk Acceptability Justification]],"")</f>
        <v/>
      </c>
      <c r="N36"/>
    </row>
    <row r="37" spans="1:14" s="53" customFormat="1" ht="85.5" x14ac:dyDescent="0.25">
      <c r="A37" s="203">
        <f>Table4[[#This Row],[
ID '#]]</f>
        <v>33</v>
      </c>
      <c r="B37" s="57" t="str">
        <f>IF(Table4[[#This Row],[T ID]]&gt;0,Table4[[#This Row],[T ID]],"")</f>
        <v>T02</v>
      </c>
      <c r="C37" s="195" t="str">
        <f>Table4[[#This Row],[Threat Event(s)]]</f>
        <v>Deliver directed malware
(CAPEC-185)</v>
      </c>
      <c r="D37" s="204" t="str">
        <f>IF(Table4[[#This Row],[V ID]]&gt;0,Table4[[#This Row],[V ID]],"")</f>
        <v>V12</v>
      </c>
      <c r="E37" s="195" t="str">
        <f>Table4[[#This Row],[Vulnerabilities]]</f>
        <v>Unprotected network port(s) on network devices and connection points</v>
      </c>
      <c r="F37" s="205" t="str">
        <f>IF(Table4[[#This Row],[A ID]]&gt;0,Table4[[#This Row],[A ID]],"")</f>
        <v>A08</v>
      </c>
      <c r="G37" s="195" t="str">
        <f>Table4[[#This Row],[Asset]]</f>
        <v>Wireless Network device</v>
      </c>
      <c r="H37" s="208" t="str">
        <f>IF(Table4[[#This Row],[Impact Description]]&gt;0,Table4[[#This Row],[Impact Description]],"")</f>
        <v xml:space="preserve">1) Malicious utilization of  computer resources 
2) computing power  
3) denial of service attacks, 
4) ransomware attack 
5) Bitcoin mining, etc </v>
      </c>
      <c r="I37" s="204" t="str">
        <f>IF(Table4[[#This Row],[Safety Impact 
(Risk ID'# or N/A)]]&gt;0,Table4[[#This Row],[Safety Impact 
(Risk ID'# or N/A)]],"")</f>
        <v/>
      </c>
      <c r="J37" s="199" t="str">
        <f>Table4[[#This Row],[Security 
Risk 
Level]]</f>
        <v>MEDIUM</v>
      </c>
      <c r="K37" s="204" t="str">
        <f>IF(Table4[[#This Row],[Security Risk Control Measures]]&gt;0,Table4[[#This Row],[Security Risk Control Measures]],"")</f>
        <v>• Disable the device network discoverable
• Maintain Access Control List.
• Block all unrequired ports
• Stateful firewall</v>
      </c>
      <c r="L37" s="202" t="str">
        <f>Table4[[#This Row],[Security Risk LevelP]]</f>
        <v/>
      </c>
      <c r="M37" s="204" t="str">
        <f>IF(Table4[[#This Row],[Residual Security Risk Acceptability Justification]]&gt;0,Table4[[#This Row],[Residual Security Risk Acceptability Justification]],"")</f>
        <v/>
      </c>
      <c r="N37"/>
    </row>
    <row r="38" spans="1:14" s="53" customFormat="1" ht="85.5" x14ac:dyDescent="0.25">
      <c r="A38" s="203">
        <f>Table4[[#This Row],[
ID '#]]</f>
        <v>34</v>
      </c>
      <c r="B38" s="57" t="str">
        <f>IF(Table4[[#This Row],[T ID]]&gt;0,Table4[[#This Row],[T ID]],"")</f>
        <v>T02</v>
      </c>
      <c r="C38" s="195" t="str">
        <f>Table4[[#This Row],[Threat Event(s)]]</f>
        <v>Deliver directed malware
(CAPEC-185)</v>
      </c>
      <c r="D38" s="204" t="str">
        <f>IF(Table4[[#This Row],[V ID]]&gt;0,Table4[[#This Row],[V ID]],"")</f>
        <v>V21</v>
      </c>
      <c r="E38" s="195" t="str">
        <f>Table4[[#This Row],[Vulnerabilities]]</f>
        <v>InSecure Configuration for Software/OS on Mobile Devices, Laptops, Workstations, and Servers</v>
      </c>
      <c r="F38" s="205" t="str">
        <f>IF(Table4[[#This Row],[A ID]]&gt;0,Table4[[#This Row],[A ID]],"")</f>
        <v>A11</v>
      </c>
      <c r="G38" s="195" t="str">
        <f>Table4[[#This Row],[Asset]]</f>
        <v>Smart medic app (Stryker Azure Cloud Web Application)</v>
      </c>
      <c r="H38" s="208" t="str">
        <f>IF(Table4[[#This Row],[Impact Description]]&gt;0,Table4[[#This Row],[Impact Description]],"")</f>
        <v xml:space="preserve">1) Malicious utilization of  computer resources 
2) computing power  
3) denial of service attacks, 
4) ransomware attack 
5) Bitcoin mining, etc </v>
      </c>
      <c r="I38" s="204" t="str">
        <f>IF(Table4[[#This Row],[Safety Impact 
(Risk ID'# or N/A)]]&gt;0,Table4[[#This Row],[Safety Impact 
(Risk ID'# or N/A)]],"")</f>
        <v/>
      </c>
      <c r="J38" s="199" t="str">
        <f>Table4[[#This Row],[Security 
Risk 
Level]]</f>
        <v>MEDIUM</v>
      </c>
      <c r="K38" s="204" t="str">
        <f>IF(Table4[[#This Row],[Security Risk Control Measures]]&gt;0,Table4[[#This Row],[Security Risk Control Measures]],"")</f>
        <v xml:space="preserve">• Implement automated configuration monitoring systems
• Use Secure tunnel Communications channel </v>
      </c>
      <c r="L38" s="202" t="str">
        <f>Table4[[#This Row],[Security Risk LevelP]]</f>
        <v/>
      </c>
      <c r="M38" s="204" t="str">
        <f>IF(Table4[[#This Row],[Residual Security Risk Acceptability Justification]]&gt;0,Table4[[#This Row],[Residual Security Risk Acceptability Justification]],"")</f>
        <v/>
      </c>
      <c r="N38"/>
    </row>
    <row r="39" spans="1:14" s="53" customFormat="1" ht="85.5" x14ac:dyDescent="0.25">
      <c r="A39" s="203">
        <f>Table4[[#This Row],[
ID '#]]</f>
        <v>35</v>
      </c>
      <c r="B39" s="57" t="str">
        <f>IF(Table4[[#This Row],[T ID]]&gt;0,Table4[[#This Row],[T ID]],"")</f>
        <v>T02</v>
      </c>
      <c r="C39" s="195" t="str">
        <f>Table4[[#This Row],[Threat Event(s)]]</f>
        <v>Deliver directed malware
(CAPEC-185)</v>
      </c>
      <c r="D39" s="204" t="str">
        <f>IF(Table4[[#This Row],[V ID]]&gt;0,Table4[[#This Row],[V ID]],"")</f>
        <v>V21</v>
      </c>
      <c r="E39" s="195" t="str">
        <f>Table4[[#This Row],[Vulnerabilities]]</f>
        <v>InSecure Configuration for Software/OS on Mobile Devices, Laptops, Workstations, and Servers</v>
      </c>
      <c r="F39" s="205" t="str">
        <f>IF(Table4[[#This Row],[A ID]]&gt;0,Table4[[#This Row],[A ID]],"")</f>
        <v>A01</v>
      </c>
      <c r="G39" s="195" t="str">
        <f>Table4[[#This Row],[Asset]]</f>
        <v>Tablet Resources - web cam, microphone, OTG devices, Removable USB, Tablet Application,</v>
      </c>
      <c r="H39" s="208" t="str">
        <f>IF(Table4[[#This Row],[Impact Description]]&gt;0,Table4[[#This Row],[Impact Description]],"")</f>
        <v xml:space="preserve">1) Malicious utilization of  computer resources 
2) computing power  
3) denial of service attacks, 
4) ransomware attack 
5) Bitcoin mining, etc </v>
      </c>
      <c r="I39" s="204" t="str">
        <f>IF(Table4[[#This Row],[Safety Impact 
(Risk ID'# or N/A)]]&gt;0,Table4[[#This Row],[Safety Impact 
(Risk ID'# or N/A)]],"")</f>
        <v/>
      </c>
      <c r="J39" s="199" t="str">
        <f>Table4[[#This Row],[Security 
Risk 
Level]]</f>
        <v>LOW</v>
      </c>
      <c r="K39" s="204" t="str">
        <f>IF(Table4[[#This Row],[Security Risk Control Measures]]&gt;0,Table4[[#This Row],[Security Risk Control Measures]],"")</f>
        <v xml:space="preserve">▪Asset should be behind stateful firewall
•  Use secure tunnel communications channel </v>
      </c>
      <c r="L39" s="202" t="str">
        <f>Table4[[#This Row],[Security Risk LevelP]]</f>
        <v/>
      </c>
      <c r="M39" s="204" t="str">
        <f>IF(Table4[[#This Row],[Residual Security Risk Acceptability Justification]]&gt;0,Table4[[#This Row],[Residual Security Risk Acceptability Justification]],"")</f>
        <v/>
      </c>
      <c r="N39"/>
    </row>
    <row r="40" spans="1:14" s="53" customFormat="1" ht="85.5" x14ac:dyDescent="0.25">
      <c r="A40" s="203">
        <f>Table4[[#This Row],[
ID '#]]</f>
        <v>36</v>
      </c>
      <c r="B40" s="57" t="str">
        <f>IF(Table4[[#This Row],[T ID]]&gt;0,Table4[[#This Row],[T ID]],"")</f>
        <v>T02</v>
      </c>
      <c r="C40" s="195" t="str">
        <f>Table4[[#This Row],[Threat Event(s)]]</f>
        <v>Deliver directed malware
(CAPEC-185)</v>
      </c>
      <c r="D40" s="204" t="str">
        <f>IF(Table4[[#This Row],[V ID]]&gt;0,Table4[[#This Row],[V ID]],"")</f>
        <v>V16</v>
      </c>
      <c r="E40" s="195" t="str">
        <f>Table4[[#This Row],[Vulnerabilities]]</f>
        <v>Unencrypted data at rest in all possible locations</v>
      </c>
      <c r="F40" s="205" t="str">
        <f>IF(Table4[[#This Row],[A ID]]&gt;0,Table4[[#This Row],[A ID]],"")</f>
        <v>A01</v>
      </c>
      <c r="G40" s="195" t="str">
        <f>Table4[[#This Row],[Asset]]</f>
        <v>Tablet Resources - web cam, microphone, OTG devices, Removable USB, Tablet Application,</v>
      </c>
      <c r="H40" s="208" t="str">
        <f>IF(Table4[[#This Row],[Impact Description]]&gt;0,Table4[[#This Row],[Impact Description]],"")</f>
        <v xml:space="preserve">1) Malicious utilization of  computer resources 
2) computing power  
3) denial of service attacks, 
4) ransomware attack 
5) Bitcoin mining, etc </v>
      </c>
      <c r="I40" s="204" t="str">
        <f>IF(Table4[[#This Row],[Safety Impact 
(Risk ID'# or N/A)]]&gt;0,Table4[[#This Row],[Safety Impact 
(Risk ID'# or N/A)]],"")</f>
        <v/>
      </c>
      <c r="J40" s="199" t="str">
        <f>Table4[[#This Row],[Security 
Risk 
Level]]</f>
        <v>LOW</v>
      </c>
      <c r="K40" s="204" t="str">
        <f>IF(Table4[[#This Row],[Security Risk Control Measures]]&gt;0,Table4[[#This Row],[Security Risk Control Measures]],"")</f>
        <v xml:space="preserve">▪Asset should be behind stateful firewall
•  Use secure tunnel communications channel </v>
      </c>
      <c r="L40" s="202" t="str">
        <f>Table4[[#This Row],[Security Risk LevelP]]</f>
        <v>LOW</v>
      </c>
      <c r="M40" s="204" t="str">
        <f>IF(Table4[[#This Row],[Residual Security Risk Acceptability Justification]]&gt;0,Table4[[#This Row],[Residual Security Risk Acceptability Justification]],"")</f>
        <v/>
      </c>
      <c r="N40"/>
    </row>
    <row r="41" spans="1:14" s="53" customFormat="1" ht="85.5" x14ac:dyDescent="0.25">
      <c r="A41" s="203">
        <f>Table4[[#This Row],[
ID '#]]</f>
        <v>37</v>
      </c>
      <c r="B41" s="57" t="str">
        <f>IF(Table4[[#This Row],[T ID]]&gt;0,Table4[[#This Row],[T ID]],"")</f>
        <v>T02</v>
      </c>
      <c r="C41" s="195" t="str">
        <f>Table4[[#This Row],[Threat Event(s)]]</f>
        <v>Deliver directed malware
(CAPEC-185)</v>
      </c>
      <c r="D41" s="204" t="str">
        <f>IF(Table4[[#This Row],[V ID]]&gt;0,Table4[[#This Row],[V ID]],"")</f>
        <v>V16</v>
      </c>
      <c r="E41" s="195" t="str">
        <f>Table4[[#This Row],[Vulnerabilities]]</f>
        <v>Unencrypted data at rest in all possible locations</v>
      </c>
      <c r="F41" s="205" t="str">
        <f>IF(Table4[[#This Row],[A ID]]&gt;0,Table4[[#This Row],[A ID]],"")</f>
        <v>A02</v>
      </c>
      <c r="G41" s="195" t="str">
        <f>Table4[[#This Row],[Asset]]</f>
        <v>Tablet OS/network details &amp; Tablet Application</v>
      </c>
      <c r="H41" s="208" t="str">
        <f>IF(Table4[[#This Row],[Impact Description]]&gt;0,Table4[[#This Row],[Impact Description]],"")</f>
        <v xml:space="preserve">1) Malicious utilization of  computer resources 
2) computing power  
3) denial of service attacks, 
4) ransomware attack 
5) Bitcoin mining, etc </v>
      </c>
      <c r="I41" s="204" t="str">
        <f>IF(Table4[[#This Row],[Safety Impact 
(Risk ID'# or N/A)]]&gt;0,Table4[[#This Row],[Safety Impact 
(Risk ID'# or N/A)]],"")</f>
        <v/>
      </c>
      <c r="J41" s="199" t="str">
        <f>Table4[[#This Row],[Security 
Risk 
Level]]</f>
        <v>LOW</v>
      </c>
      <c r="K41" s="204" t="str">
        <f>IF(Table4[[#This Row],[Security Risk Control Measures]]&gt;0,Table4[[#This Row],[Security Risk Control Measures]],"")</f>
        <v xml:space="preserve">▪Asset should be behind stateful firewall
•  Use secure tunnel communications channel </v>
      </c>
      <c r="L41" s="202" t="str">
        <f>Table4[[#This Row],[Security Risk LevelP]]</f>
        <v/>
      </c>
      <c r="M41" s="204" t="str">
        <f>IF(Table4[[#This Row],[Residual Security Risk Acceptability Justification]]&gt;0,Table4[[#This Row],[Residual Security Risk Acceptability Justification]],"")</f>
        <v/>
      </c>
      <c r="N41"/>
    </row>
    <row r="42" spans="1:14" s="53" customFormat="1" ht="85.5" x14ac:dyDescent="0.25">
      <c r="A42" s="203">
        <f>Table4[[#This Row],[
ID '#]]</f>
        <v>38</v>
      </c>
      <c r="B42" s="57" t="str">
        <f>IF(Table4[[#This Row],[T ID]]&gt;0,Table4[[#This Row],[T ID]],"")</f>
        <v>T02</v>
      </c>
      <c r="C42" s="195" t="str">
        <f>Table4[[#This Row],[Threat Event(s)]]</f>
        <v>Deliver directed malware
(CAPEC-185)</v>
      </c>
      <c r="D42" s="204" t="str">
        <f>IF(Table4[[#This Row],[V ID]]&gt;0,Table4[[#This Row],[V ID]],"")</f>
        <v>V16</v>
      </c>
      <c r="E42" s="195" t="str">
        <f>Table4[[#This Row],[Vulnerabilities]]</f>
        <v>Unencrypted data at rest in all possible locations</v>
      </c>
      <c r="F42" s="205" t="str">
        <f>IF(Table4[[#This Row],[A ID]]&gt;0,Table4[[#This Row],[A ID]],"")</f>
        <v>A11</v>
      </c>
      <c r="G42" s="195" t="str">
        <f>Table4[[#This Row],[Asset]]</f>
        <v>Smart medic app (Stryker Azure Cloud Web Application)</v>
      </c>
      <c r="H42" s="208" t="str">
        <f>IF(Table4[[#This Row],[Impact Description]]&gt;0,Table4[[#This Row],[Impact Description]],"")</f>
        <v xml:space="preserve">1) Malicious utilization of  computer resources 
2) computing power  
3) denial of service attacks, 
4) ransomware attack 
5) Bitcoin mining, etc </v>
      </c>
      <c r="I42" s="204" t="str">
        <f>IF(Table4[[#This Row],[Safety Impact 
(Risk ID'# or N/A)]]&gt;0,Table4[[#This Row],[Safety Impact 
(Risk ID'# or N/A)]],"")</f>
        <v/>
      </c>
      <c r="J42" s="199" t="str">
        <f>Table4[[#This Row],[Security 
Risk 
Level]]</f>
        <v>LOW</v>
      </c>
      <c r="K42" s="204" t="str">
        <f>IF(Table4[[#This Row],[Security Risk Control Measures]]&gt;0,Table4[[#This Row],[Security Risk Control Measures]],"")</f>
        <v xml:space="preserve">• Encrypting the storage subsystem
• Encryption methods such as HTTPS, SSL, and TLS are often used to protect data in motion.
• Stateful firewall
•  Maintain access control list.
•  Use strong encrption algorithm </v>
      </c>
      <c r="L42" s="202" t="str">
        <f>Table4[[#This Row],[Security Risk LevelP]]</f>
        <v/>
      </c>
      <c r="M42" s="204" t="str">
        <f>IF(Table4[[#This Row],[Residual Security Risk Acceptability Justification]]&gt;0,Table4[[#This Row],[Residual Security Risk Acceptability Justification]],"")</f>
        <v/>
      </c>
      <c r="N42"/>
    </row>
    <row r="43" spans="1:14" s="53" customFormat="1" ht="71.25" x14ac:dyDescent="0.25">
      <c r="A43" s="203">
        <f>Table4[[#This Row],[
ID '#]]</f>
        <v>39</v>
      </c>
      <c r="B43" s="57" t="str">
        <f>IF(Table4[[#This Row],[T ID]]&gt;0,Table4[[#This Row],[T ID]],"")</f>
        <v>T03</v>
      </c>
      <c r="C43" s="195" t="str">
        <f>Table4[[#This Row],[Threat Event(s)]]</f>
        <v>Gaining Access
([S]TRID[E])</v>
      </c>
      <c r="D43" s="204" t="str">
        <f>IF(Table4[[#This Row],[V ID]]&gt;0,Table4[[#This Row],[V ID]],"")</f>
        <v>V12</v>
      </c>
      <c r="E43" s="195" t="str">
        <f>Table4[[#This Row],[Vulnerabilities]]</f>
        <v>Unprotected network port(s) on network devices and connection points</v>
      </c>
      <c r="F43" s="205" t="str">
        <f>IF(Table4[[#This Row],[A ID]]&gt;0,Table4[[#This Row],[A ID]],"")</f>
        <v>A02</v>
      </c>
      <c r="G43" s="195" t="str">
        <f>Table4[[#This Row],[Asset]]</f>
        <v>Tablet OS/network details &amp; Tablet Application</v>
      </c>
      <c r="H43" s="208" t="str">
        <f>IF(Table4[[#This Row],[Impact Description]]&gt;0,Table4[[#This Row],[Impact Description]],"")</f>
        <v>1)  Obtain knowledge about system internals
2)  Attempt to find attack vectors 
3)  Possibilities for exploitation of publicly known Vulnerabilities.</v>
      </c>
      <c r="I43" s="204" t="str">
        <f>IF(Table4[[#This Row],[Safety Impact 
(Risk ID'# or N/A)]]&gt;0,Table4[[#This Row],[Safety Impact 
(Risk ID'# or N/A)]],"")</f>
        <v/>
      </c>
      <c r="J43" s="199" t="str">
        <f>Table4[[#This Row],[Security 
Risk 
Level]]</f>
        <v>MEDIUM</v>
      </c>
      <c r="K43" s="204" t="str">
        <f>IF(Table4[[#This Row],[Security Risk Control Measures]]&gt;0,Table4[[#This Row],[Security Risk Control Measures]],"")</f>
        <v xml:space="preserve">▪Asset should be behind stateful firewall
•  Use secure tunnel communications channel </v>
      </c>
      <c r="L43" s="202" t="str">
        <f>Table4[[#This Row],[Security Risk LevelP]]</f>
        <v/>
      </c>
      <c r="M43" s="204" t="str">
        <f>IF(Table4[[#This Row],[Residual Security Risk Acceptability Justification]]&gt;0,Table4[[#This Row],[Residual Security Risk Acceptability Justification]],"")</f>
        <v/>
      </c>
      <c r="N43"/>
    </row>
    <row r="44" spans="1:14" s="53" customFormat="1" ht="71.25" x14ac:dyDescent="0.25">
      <c r="A44" s="203">
        <f>Table4[[#This Row],[
ID '#]]</f>
        <v>40</v>
      </c>
      <c r="B44" s="57" t="str">
        <f>IF(Table4[[#This Row],[T ID]]&gt;0,Table4[[#This Row],[T ID]],"")</f>
        <v>T03</v>
      </c>
      <c r="C44" s="195" t="str">
        <f>Table4[[#This Row],[Threat Event(s)]]</f>
        <v>Gaining Access
([S]TRID[E])</v>
      </c>
      <c r="D44" s="204" t="str">
        <f>IF(Table4[[#This Row],[V ID]]&gt;0,Table4[[#This Row],[V ID]],"")</f>
        <v>V12</v>
      </c>
      <c r="E44" s="195" t="str">
        <f>Table4[[#This Row],[Vulnerabilities]]</f>
        <v>Unprotected network port(s) on network devices and connection points</v>
      </c>
      <c r="F44" s="205" t="str">
        <f>IF(Table4[[#This Row],[A ID]]&gt;0,Table4[[#This Row],[A ID]],"")</f>
        <v>A11</v>
      </c>
      <c r="G44" s="195" t="str">
        <f>Table4[[#This Row],[Asset]]</f>
        <v>Smart medic app (Stryker Azure Cloud Web Application)</v>
      </c>
      <c r="H44" s="208" t="str">
        <f>IF(Table4[[#This Row],[Impact Description]]&gt;0,Table4[[#This Row],[Impact Description]],"")</f>
        <v>1)  Obtain knowledge about system internals
2)  Attempt to find attack vectors 
3)  Possibilities for exploitation of publicly known Vulnerabilities.</v>
      </c>
      <c r="I44" s="204" t="str">
        <f>IF(Table4[[#This Row],[Safety Impact 
(Risk ID'# or N/A)]]&gt;0,Table4[[#This Row],[Safety Impact 
(Risk ID'# or N/A)]],"")</f>
        <v/>
      </c>
      <c r="J44" s="199" t="str">
        <f>Table4[[#This Row],[Security 
Risk 
Level]]</f>
        <v>HIGH</v>
      </c>
      <c r="K44" s="204" t="str">
        <f>IF(Table4[[#This Row],[Security Risk Control Measures]]&gt;0,Table4[[#This Row],[Security Risk Control Measures]],"")</f>
        <v>• Configuring account lockout policies cannot be exploited to lock out well known service accounts.
• Ensuring application is capable of handling required volumes of traffic and that thresholds are in place to handle optimal  loads.
• Review your application's failover functionality.
• Maintain Access Control List.
• Block all unrequired ports
• Stateful firewall</v>
      </c>
      <c r="L44" s="202" t="str">
        <f>Table4[[#This Row],[Security Risk LevelP]]</f>
        <v/>
      </c>
      <c r="M44" s="204" t="str">
        <f>IF(Table4[[#This Row],[Residual Security Risk Acceptability Justification]]&gt;0,Table4[[#This Row],[Residual Security Risk Acceptability Justification]],"")</f>
        <v/>
      </c>
      <c r="N44"/>
    </row>
    <row r="45" spans="1:14" s="53" customFormat="1" ht="71.25" x14ac:dyDescent="0.25">
      <c r="A45" s="203">
        <f>Table4[[#This Row],[
ID '#]]</f>
        <v>41</v>
      </c>
      <c r="B45" s="57" t="str">
        <f>IF(Table4[[#This Row],[T ID]]&gt;0,Table4[[#This Row],[T ID]],"")</f>
        <v>T03</v>
      </c>
      <c r="C45" s="195" t="str">
        <f>Table4[[#This Row],[Threat Event(s)]]</f>
        <v>Gaining Access
([S]TRID[E])</v>
      </c>
      <c r="D45" s="204" t="str">
        <f>IF(Table4[[#This Row],[V ID]]&gt;0,Table4[[#This Row],[V ID]],"")</f>
        <v>V12</v>
      </c>
      <c r="E45" s="195" t="str">
        <f>Table4[[#This Row],[Vulnerabilities]]</f>
        <v>Unprotected network port(s) on network devices and connection points</v>
      </c>
      <c r="F45" s="205" t="str">
        <f>IF(Table4[[#This Row],[A ID]]&gt;0,Table4[[#This Row],[A ID]],"")</f>
        <v>A01</v>
      </c>
      <c r="G45" s="195" t="str">
        <f>Table4[[#This Row],[Asset]]</f>
        <v>Tablet Resources - web cam, microphone, OTG devices, Removable USB, Tablet Application,</v>
      </c>
      <c r="H45" s="208" t="str">
        <f>IF(Table4[[#This Row],[Impact Description]]&gt;0,Table4[[#This Row],[Impact Description]],"")</f>
        <v>1)  Obtain knowledge about system internals
2)  Attempt to find attack vectors 
3)  Possibilities for exploitation of publicly known Vulnerabilities.</v>
      </c>
      <c r="I45" s="204" t="str">
        <f>IF(Table4[[#This Row],[Safety Impact 
(Risk ID'# or N/A)]]&gt;0,Table4[[#This Row],[Safety Impact 
(Risk ID'# or N/A)]],"")</f>
        <v/>
      </c>
      <c r="J45" s="199" t="str">
        <f>Table4[[#This Row],[Security 
Risk 
Level]]</f>
        <v>MEDIUM</v>
      </c>
      <c r="K45" s="204" t="str">
        <f>IF(Table4[[#This Row],[Security Risk Control Measures]]&gt;0,Table4[[#This Row],[Security Risk Control Measures]],"")</f>
        <v xml:space="preserve">▪Asset should be behind stateful firewall
•  Use secure tunnel communications channel </v>
      </c>
      <c r="L45" s="202" t="str">
        <f>Table4[[#This Row],[Security Risk LevelP]]</f>
        <v>LOW</v>
      </c>
      <c r="M45" s="204" t="str">
        <f>IF(Table4[[#This Row],[Residual Security Risk Acceptability Justification]]&gt;0,Table4[[#This Row],[Residual Security Risk Acceptability Justification]],"")</f>
        <v/>
      </c>
      <c r="N45"/>
    </row>
    <row r="46" spans="1:14" s="53" customFormat="1" ht="71.25" x14ac:dyDescent="0.25">
      <c r="A46" s="203">
        <f>Table4[[#This Row],[
ID '#]]</f>
        <v>42</v>
      </c>
      <c r="B46" s="57" t="str">
        <f>IF(Table4[[#This Row],[T ID]]&gt;0,Table4[[#This Row],[T ID]],"")</f>
        <v>T03</v>
      </c>
      <c r="C46" s="195" t="str">
        <f>Table4[[#This Row],[Threat Event(s)]]</f>
        <v>Gaining Access
([S]TRID[E])</v>
      </c>
      <c r="D46" s="204" t="str">
        <f>IF(Table4[[#This Row],[V ID]]&gt;0,Table4[[#This Row],[V ID]],"")</f>
        <v>V01</v>
      </c>
      <c r="E46" s="195" t="str">
        <f>Table4[[#This Row],[Vulnerabilities]]</f>
        <v>Devices with default passwords needs to be checked for bruteforce attacks</v>
      </c>
      <c r="F46" s="205" t="str">
        <f>IF(Table4[[#This Row],[A ID]]&gt;0,Table4[[#This Row],[A ID]],"")</f>
        <v>A04</v>
      </c>
      <c r="G46" s="195" t="str">
        <f>Table4[[#This Row],[Asset]]</f>
        <v xml:space="preserve">Authenication/Authorisation data </v>
      </c>
      <c r="H46" s="208" t="str">
        <f>IF(Table4[[#This Row],[Impact Description]]&gt;0,Table4[[#This Row],[Impact Description]],"")</f>
        <v>1)  Obtain knowledge about system internals
2)  Attempt to find attack vectors 
3)  Possibilities for exploitation of publicly known Vulnerabilities.</v>
      </c>
      <c r="I46" s="204" t="str">
        <f>IF(Table4[[#This Row],[Safety Impact 
(Risk ID'# or N/A)]]&gt;0,Table4[[#This Row],[Safety Impact 
(Risk ID'# or N/A)]],"")</f>
        <v/>
      </c>
      <c r="J46" s="199" t="str">
        <f>Table4[[#This Row],[Security 
Risk 
Level]]</f>
        <v>LOW</v>
      </c>
      <c r="K46" s="204" t="str">
        <f>IF(Table4[[#This Row],[Security Risk Control Measures]]&gt;0,Table4[[#This Row],[Security Risk Control Measures]],"")</f>
        <v xml:space="preserve">• Require multi-factor authentication
• limit authentication attempts (rate Limiting)
• Maintain Access Logs
</v>
      </c>
      <c r="L46" s="202" t="str">
        <f>Table4[[#This Row],[Security Risk LevelP]]</f>
        <v/>
      </c>
      <c r="M46" s="204" t="str">
        <f>IF(Table4[[#This Row],[Residual Security Risk Acceptability Justification]]&gt;0,Table4[[#This Row],[Residual Security Risk Acceptability Justification]],"")</f>
        <v/>
      </c>
      <c r="N46"/>
    </row>
    <row r="47" spans="1:14" s="53" customFormat="1" ht="71.25" x14ac:dyDescent="0.25">
      <c r="A47" s="203">
        <f>Table4[[#This Row],[
ID '#]]</f>
        <v>43</v>
      </c>
      <c r="B47" s="57" t="str">
        <f>IF(Table4[[#This Row],[T ID]]&gt;0,Table4[[#This Row],[T ID]],"")</f>
        <v>T03</v>
      </c>
      <c r="C47" s="195" t="str">
        <f>Table4[[#This Row],[Threat Event(s)]]</f>
        <v>Gaining Access
([S]TRID[E])</v>
      </c>
      <c r="D47" s="204" t="str">
        <f>IF(Table4[[#This Row],[V ID]]&gt;0,Table4[[#This Row],[V ID]],"")</f>
        <v>V01</v>
      </c>
      <c r="E47" s="195" t="str">
        <f>Table4[[#This Row],[Vulnerabilities]]</f>
        <v>Devices with default passwords needs to be checked for bruteforce attacks</v>
      </c>
      <c r="F47" s="205" t="str">
        <f>IF(Table4[[#This Row],[A ID]]&gt;0,Table4[[#This Row],[A ID]],"")</f>
        <v>A11</v>
      </c>
      <c r="G47" s="195" t="str">
        <f>Table4[[#This Row],[Asset]]</f>
        <v>Smart medic app (Stryker Azure Cloud Web Application)</v>
      </c>
      <c r="H47" s="208" t="str">
        <f>IF(Table4[[#This Row],[Impact Description]]&gt;0,Table4[[#This Row],[Impact Description]],"")</f>
        <v>1)  Obtain knowledge about system internals
2)  Attempt to find attack vectors 
3)  Possibilities for exploitation of publicly known Vulnerabilities.</v>
      </c>
      <c r="I47" s="204" t="str">
        <f>IF(Table4[[#This Row],[Safety Impact 
(Risk ID'# or N/A)]]&gt;0,Table4[[#This Row],[Safety Impact 
(Risk ID'# or N/A)]],"")</f>
        <v/>
      </c>
      <c r="J47" s="199" t="str">
        <f>Table4[[#This Row],[Security 
Risk 
Level]]</f>
        <v>MEDIUM</v>
      </c>
      <c r="K47"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47" s="202" t="str">
        <f>Table4[[#This Row],[Security Risk LevelP]]</f>
        <v/>
      </c>
      <c r="M47" s="204" t="str">
        <f>IF(Table4[[#This Row],[Residual Security Risk Acceptability Justification]]&gt;0,Table4[[#This Row],[Residual Security Risk Acceptability Justification]],"")</f>
        <v/>
      </c>
      <c r="N47"/>
    </row>
    <row r="48" spans="1:14" s="53" customFormat="1" ht="71.25" x14ac:dyDescent="0.25">
      <c r="A48" s="203">
        <f>Table4[[#This Row],[
ID '#]]</f>
        <v>44</v>
      </c>
      <c r="B48" s="57" t="str">
        <f>IF(Table4[[#This Row],[T ID]]&gt;0,Table4[[#This Row],[T ID]],"")</f>
        <v>T03</v>
      </c>
      <c r="C48" s="195" t="str">
        <f>Table4[[#This Row],[Threat Event(s)]]</f>
        <v>Gaining Access
([S]TRID[E])</v>
      </c>
      <c r="D48" s="204" t="str">
        <f>IF(Table4[[#This Row],[V ID]]&gt;0,Table4[[#This Row],[V ID]],"")</f>
        <v>V01</v>
      </c>
      <c r="E48" s="195" t="str">
        <f>Table4[[#This Row],[Vulnerabilities]]</f>
        <v>Devices with default passwords needs to be checked for bruteforce attacks</v>
      </c>
      <c r="F48" s="205" t="str">
        <f>IF(Table4[[#This Row],[A ID]]&gt;0,Table4[[#This Row],[A ID]],"")</f>
        <v>A07</v>
      </c>
      <c r="G48" s="195" t="str">
        <f>Table4[[#This Row],[Asset]]</f>
        <v>Interface/API Communication</v>
      </c>
      <c r="H48" s="208" t="str">
        <f>IF(Table4[[#This Row],[Impact Description]]&gt;0,Table4[[#This Row],[Impact Description]],"")</f>
        <v>1)  Obtain knowledge about system internals
2)  Attempt to find attack vectors 
3)  Possibilities for exploitation of publicly known Vulnerabilities.</v>
      </c>
      <c r="I48" s="204" t="str">
        <f>IF(Table4[[#This Row],[Safety Impact 
(Risk ID'# or N/A)]]&gt;0,Table4[[#This Row],[Safety Impact 
(Risk ID'# or N/A)]],"")</f>
        <v/>
      </c>
      <c r="J48" s="199" t="str">
        <f>Table4[[#This Row],[Security 
Risk 
Level]]</f>
        <v>LOW</v>
      </c>
      <c r="K48" s="204" t="str">
        <f>IF(Table4[[#This Row],[Security Risk Control Measures]]&gt;0,Table4[[#This Row],[Security Risk Control Measures]],"")</f>
        <v xml:space="preserve">
• Require multi-factor authentication
• limit authentication attempts (rate Limiting)
• Maintain Access Logs
• Maintain Server Security Logs
• Stronger authentication methods</v>
      </c>
      <c r="L48" s="202" t="str">
        <f>Table4[[#This Row],[Security Risk LevelP]]</f>
        <v/>
      </c>
      <c r="M48" s="204" t="str">
        <f>IF(Table4[[#This Row],[Residual Security Risk Acceptability Justification]]&gt;0,Table4[[#This Row],[Residual Security Risk Acceptability Justification]],"")</f>
        <v/>
      </c>
      <c r="N48"/>
    </row>
    <row r="49" spans="1:14" s="53" customFormat="1" ht="71.25" x14ac:dyDescent="0.25">
      <c r="A49" s="203">
        <f>Table4[[#This Row],[
ID '#]]</f>
        <v>45</v>
      </c>
      <c r="B49" s="57" t="str">
        <f>IF(Table4[[#This Row],[T ID]]&gt;0,Table4[[#This Row],[T ID]],"")</f>
        <v>T03</v>
      </c>
      <c r="C49" s="195" t="str">
        <f>Table4[[#This Row],[Threat Event(s)]]</f>
        <v>Gaining Access
([S]TRID[E])</v>
      </c>
      <c r="D49" s="204" t="str">
        <f>IF(Table4[[#This Row],[V ID]]&gt;0,Table4[[#This Row],[V ID]],"")</f>
        <v>V03</v>
      </c>
      <c r="E49" s="195" t="str">
        <f>Table4[[#This Row],[Vulnerabilities]]</f>
        <v>The password complexity or location vulnerability. Like weak passwords and hardcoded passwords.</v>
      </c>
      <c r="F49" s="205" t="str">
        <f>IF(Table4[[#This Row],[A ID]]&gt;0,Table4[[#This Row],[A ID]],"")</f>
        <v>A04</v>
      </c>
      <c r="G49" s="195" t="str">
        <f>Table4[[#This Row],[Asset]]</f>
        <v xml:space="preserve">Authenication/Authorisation data </v>
      </c>
      <c r="H49" s="208" t="str">
        <f>IF(Table4[[#This Row],[Impact Description]]&gt;0,Table4[[#This Row],[Impact Description]],"")</f>
        <v>1)  Obtain knowledge about system internals
2)  Attempt to find attack vectors 
3)  Possibilities for exploitation of publicly known Vulnerabilities.</v>
      </c>
      <c r="I49" s="204" t="str">
        <f>IF(Table4[[#This Row],[Safety Impact 
(Risk ID'# or N/A)]]&gt;0,Table4[[#This Row],[Safety Impact 
(Risk ID'# or N/A)]],"")</f>
        <v/>
      </c>
      <c r="J49" s="199" t="str">
        <f>Table4[[#This Row],[Security 
Risk 
Level]]</f>
        <v>LOW</v>
      </c>
      <c r="K49"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49" s="202" t="str">
        <f>Table4[[#This Row],[Security Risk LevelP]]</f>
        <v/>
      </c>
      <c r="M49" s="204" t="str">
        <f>IF(Table4[[#This Row],[Residual Security Risk Acceptability Justification]]&gt;0,Table4[[#This Row],[Residual Security Risk Acceptability Justification]],"")</f>
        <v/>
      </c>
      <c r="N49"/>
    </row>
    <row r="50" spans="1:14" s="53" customFormat="1" ht="71.25" x14ac:dyDescent="0.25">
      <c r="A50" s="203">
        <f>Table4[[#This Row],[
ID '#]]</f>
        <v>46</v>
      </c>
      <c r="B50" s="57" t="str">
        <f>IF(Table4[[#This Row],[T ID]]&gt;0,Table4[[#This Row],[T ID]],"")</f>
        <v>T03</v>
      </c>
      <c r="C50" s="195" t="str">
        <f>Table4[[#This Row],[Threat Event(s)]]</f>
        <v>Gaining Access
([S]TRID[E])</v>
      </c>
      <c r="D50" s="204" t="str">
        <f>IF(Table4[[#This Row],[V ID]]&gt;0,Table4[[#This Row],[V ID]],"")</f>
        <v>V03</v>
      </c>
      <c r="E50" s="195" t="str">
        <f>Table4[[#This Row],[Vulnerabilities]]</f>
        <v>The password complexity or location vulnerability. Like weak passwords and hardcoded passwords.</v>
      </c>
      <c r="F50" s="205" t="str">
        <f>IF(Table4[[#This Row],[A ID]]&gt;0,Table4[[#This Row],[A ID]],"")</f>
        <v>A11</v>
      </c>
      <c r="G50" s="195" t="str">
        <f>Table4[[#This Row],[Asset]]</f>
        <v>Smart medic app (Stryker Azure Cloud Web Application)</v>
      </c>
      <c r="H50" s="208" t="str">
        <f>IF(Table4[[#This Row],[Impact Description]]&gt;0,Table4[[#This Row],[Impact Description]],"")</f>
        <v>1)  Obtain knowledge about system internals
2)  Attempt to find attack vectors 
3)  Possibilities for exploitation of publicly known Vulnerabilities.</v>
      </c>
      <c r="I50" s="204" t="str">
        <f>IF(Table4[[#This Row],[Safety Impact 
(Risk ID'# or N/A)]]&gt;0,Table4[[#This Row],[Safety Impact 
(Risk ID'# or N/A)]],"")</f>
        <v/>
      </c>
      <c r="J50" s="199" t="str">
        <f>Table4[[#This Row],[Security 
Risk 
Level]]</f>
        <v>MEDIUM</v>
      </c>
      <c r="K50" s="204" t="str">
        <f>IF(Table4[[#This Row],[Security Risk Control Measures]]&gt;0,Table4[[#This Row],[Security Risk Control Measures]],"")</f>
        <v xml:space="preserve">• Require multi-factor authentication
• limit authentication attempts (rate Limiting)
• Maintain Access Logs
• Maintain Server Security Logs
• Stronger authentication methods
</v>
      </c>
      <c r="L50" s="202" t="str">
        <f>Table4[[#This Row],[Security Risk LevelP]]</f>
        <v/>
      </c>
      <c r="M50" s="204" t="str">
        <f>IF(Table4[[#This Row],[Residual Security Risk Acceptability Justification]]&gt;0,Table4[[#This Row],[Residual Security Risk Acceptability Justification]],"")</f>
        <v/>
      </c>
      <c r="N50"/>
    </row>
    <row r="51" spans="1:14" s="53" customFormat="1" ht="71.25" x14ac:dyDescent="0.25">
      <c r="A51" s="203">
        <f>Table4[[#This Row],[
ID '#]]</f>
        <v>47</v>
      </c>
      <c r="B51" s="57" t="str">
        <f>IF(Table4[[#This Row],[T ID]]&gt;0,Table4[[#This Row],[T ID]],"")</f>
        <v>T03</v>
      </c>
      <c r="C51" s="195" t="str">
        <f>Table4[[#This Row],[Threat Event(s)]]</f>
        <v>Gaining Access
([S]TRID[E])</v>
      </c>
      <c r="D51" s="204" t="str">
        <f>IF(Table4[[#This Row],[V ID]]&gt;0,Table4[[#This Row],[V ID]],"")</f>
        <v>V03</v>
      </c>
      <c r="E51" s="195" t="str">
        <f>Table4[[#This Row],[Vulnerabilities]]</f>
        <v>The password complexity or location vulnerability. Like weak passwords and hardcoded passwords.</v>
      </c>
      <c r="F51" s="205" t="str">
        <f>IF(Table4[[#This Row],[A ID]]&gt;0,Table4[[#This Row],[A ID]],"")</f>
        <v>A12</v>
      </c>
      <c r="G51" s="195" t="str">
        <f>Table4[[#This Row],[Asset]]</f>
        <v>Smart medic app (Azure Portal Administrator)</v>
      </c>
      <c r="H51" s="208" t="str">
        <f>IF(Table4[[#This Row],[Impact Description]]&gt;0,Table4[[#This Row],[Impact Description]],"")</f>
        <v>1)  Obtain knowledge about system internals
2)  Attempt to find attack vectors 
3)  Possibilities for exploitation of publicly known Vulnerabilities.</v>
      </c>
      <c r="I51" s="204" t="str">
        <f>IF(Table4[[#This Row],[Safety Impact 
(Risk ID'# or N/A)]]&gt;0,Table4[[#This Row],[Safety Impact 
(Risk ID'# or N/A)]],"")</f>
        <v/>
      </c>
      <c r="J51" s="199" t="str">
        <f>Table4[[#This Row],[Security 
Risk 
Level]]</f>
        <v>MEDIUM</v>
      </c>
      <c r="K51" s="204" t="str">
        <f>IF(Table4[[#This Row],[Security Risk Control Measures]]&gt;0,Table4[[#This Row],[Security Risk Control Measures]],"")</f>
        <v xml:space="preserve">• Require multi-factor authentication
• limit authentication attempts (rate Limiting)
• Maintain Access Logs
• Maintain Server Security Logs
• Stronger authentication methods
</v>
      </c>
      <c r="L51" s="202" t="str">
        <f>Table4[[#This Row],[Security Risk LevelP]]</f>
        <v/>
      </c>
      <c r="M51" s="204" t="str">
        <f>IF(Table4[[#This Row],[Residual Security Risk Acceptability Justification]]&gt;0,Table4[[#This Row],[Residual Security Risk Acceptability Justification]],"")</f>
        <v/>
      </c>
      <c r="N51"/>
    </row>
    <row r="52" spans="1:14" s="53" customFormat="1" ht="71.25" x14ac:dyDescent="0.25">
      <c r="A52" s="203">
        <f>Table4[[#This Row],[
ID '#]]</f>
        <v>48</v>
      </c>
      <c r="B52" s="57" t="str">
        <f>IF(Table4[[#This Row],[T ID]]&gt;0,Table4[[#This Row],[T ID]],"")</f>
        <v>T03</v>
      </c>
      <c r="C52" s="195" t="str">
        <f>Table4[[#This Row],[Threat Event(s)]]</f>
        <v>Gaining Access
([S]TRID[E])</v>
      </c>
      <c r="D52" s="204" t="str">
        <f>IF(Table4[[#This Row],[V ID]]&gt;0,Table4[[#This Row],[V ID]],"")</f>
        <v>V04</v>
      </c>
      <c r="E52" s="195" t="str">
        <f>Table4[[#This Row],[Vulnerabilities]]</f>
        <v>Checking authentication modes for possible hacks and bypasses</v>
      </c>
      <c r="F52" s="205" t="str">
        <f>IF(Table4[[#This Row],[A ID]]&gt;0,Table4[[#This Row],[A ID]],"")</f>
        <v>A04</v>
      </c>
      <c r="G52" s="195" t="str">
        <f>Table4[[#This Row],[Asset]]</f>
        <v xml:space="preserve">Authenication/Authorisation data </v>
      </c>
      <c r="H52" s="208" t="str">
        <f>IF(Table4[[#This Row],[Impact Description]]&gt;0,Table4[[#This Row],[Impact Description]],"")</f>
        <v>1)  Obtain knowledge about system internals
2)  Attempt to find attack vectors 
3)  Possibilities for exploitation of publicly known Vulnerabilities.</v>
      </c>
      <c r="I52" s="204" t="str">
        <f>IF(Table4[[#This Row],[Safety Impact 
(Risk ID'# or N/A)]]&gt;0,Table4[[#This Row],[Safety Impact 
(Risk ID'# or N/A)]],"")</f>
        <v/>
      </c>
      <c r="J52" s="199" t="str">
        <f>Table4[[#This Row],[Security 
Risk 
Level]]</f>
        <v>LOW</v>
      </c>
      <c r="K52" s="204" t="str">
        <f>IF(Table4[[#This Row],[Security Risk Control Measures]]&gt;0,Table4[[#This Row],[Security Risk Control Measures]],"")</f>
        <v>•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v>
      </c>
      <c r="L52" s="202" t="str">
        <f>Table4[[#This Row],[Security Risk LevelP]]</f>
        <v/>
      </c>
      <c r="M52" s="204" t="str">
        <f>IF(Table4[[#This Row],[Residual Security Risk Acceptability Justification]]&gt;0,Table4[[#This Row],[Residual Security Risk Acceptability Justification]],"")</f>
        <v/>
      </c>
      <c r="N52"/>
    </row>
    <row r="53" spans="1:14" s="53" customFormat="1" ht="71.25" x14ac:dyDescent="0.25">
      <c r="A53" s="203">
        <f>Table4[[#This Row],[
ID '#]]</f>
        <v>49</v>
      </c>
      <c r="B53" s="57" t="str">
        <f>IF(Table4[[#This Row],[T ID]]&gt;0,Table4[[#This Row],[T ID]],"")</f>
        <v>T03</v>
      </c>
      <c r="C53" s="195" t="str">
        <f>Table4[[#This Row],[Threat Event(s)]]</f>
        <v>Gaining Access
([S]TRID[E])</v>
      </c>
      <c r="D53" s="204" t="str">
        <f>IF(Table4[[#This Row],[V ID]]&gt;0,Table4[[#This Row],[V ID]],"")</f>
        <v>V04</v>
      </c>
      <c r="E53" s="195" t="str">
        <f>Table4[[#This Row],[Vulnerabilities]]</f>
        <v>Checking authentication modes for possible hacks and bypasses</v>
      </c>
      <c r="F53" s="205" t="str">
        <f>IF(Table4[[#This Row],[A ID]]&gt;0,Table4[[#This Row],[A ID]],"")</f>
        <v>A11</v>
      </c>
      <c r="G53" s="195" t="str">
        <f>Table4[[#This Row],[Asset]]</f>
        <v>Smart medic app (Stryker Azure Cloud Web Application)</v>
      </c>
      <c r="H53" s="208" t="str">
        <f>IF(Table4[[#This Row],[Impact Description]]&gt;0,Table4[[#This Row],[Impact Description]],"")</f>
        <v>1)  Obtain knowledge about system internals
2)  Attempt to find attack vectors 
3)  Possibilities for exploitation of publicly known Vulnerabilities.</v>
      </c>
      <c r="I53" s="204" t="str">
        <f>IF(Table4[[#This Row],[Safety Impact 
(Risk ID'# or N/A)]]&gt;0,Table4[[#This Row],[Safety Impact 
(Risk ID'# or N/A)]],"")</f>
        <v/>
      </c>
      <c r="J53" s="199" t="str">
        <f>Table4[[#This Row],[Security 
Risk 
Level]]</f>
        <v>LOW</v>
      </c>
      <c r="K53" s="204" t="str">
        <f>IF(Table4[[#This Row],[Security Risk Control Measures]]&gt;0,Table4[[#This Row],[Security Risk Control Measures]],"")</f>
        <v>•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v>
      </c>
      <c r="L53" s="202" t="str">
        <f>Table4[[#This Row],[Security Risk LevelP]]</f>
        <v/>
      </c>
      <c r="M53" s="204" t="str">
        <f>IF(Table4[[#This Row],[Residual Security Risk Acceptability Justification]]&gt;0,Table4[[#This Row],[Residual Security Risk Acceptability Justification]],"")</f>
        <v/>
      </c>
      <c r="N53"/>
    </row>
    <row r="54" spans="1:14" s="53" customFormat="1" ht="71.25" x14ac:dyDescent="0.25">
      <c r="A54" s="203">
        <f>Table4[[#This Row],[
ID '#]]</f>
        <v>50</v>
      </c>
      <c r="B54" s="57" t="str">
        <f>IF(Table4[[#This Row],[T ID]]&gt;0,Table4[[#This Row],[T ID]],"")</f>
        <v>T03</v>
      </c>
      <c r="C54" s="195" t="str">
        <f>Table4[[#This Row],[Threat Event(s)]]</f>
        <v>Gaining Access
([S]TRID[E])</v>
      </c>
      <c r="D54" s="204" t="str">
        <f>IF(Table4[[#This Row],[V ID]]&gt;0,Table4[[#This Row],[V ID]],"")</f>
        <v>V04</v>
      </c>
      <c r="E54" s="195" t="str">
        <f>Table4[[#This Row],[Vulnerabilities]]</f>
        <v>Checking authentication modes for possible hacks and bypasses</v>
      </c>
      <c r="F54" s="205" t="str">
        <f>IF(Table4[[#This Row],[A ID]]&gt;0,Table4[[#This Row],[A ID]],"")</f>
        <v>A12</v>
      </c>
      <c r="G54" s="195" t="str">
        <f>Table4[[#This Row],[Asset]]</f>
        <v>Smart medic app (Azure Portal Administrator)</v>
      </c>
      <c r="H54" s="208" t="str">
        <f>IF(Table4[[#This Row],[Impact Description]]&gt;0,Table4[[#This Row],[Impact Description]],"")</f>
        <v>1)  Obtain knowledge about system internals
2)  Attempt to find attack vectors 
3)  Possibilities for exploitation of publicly known Vulnerabilities.</v>
      </c>
      <c r="I54" s="204" t="str">
        <f>IF(Table4[[#This Row],[Safety Impact 
(Risk ID'# or N/A)]]&gt;0,Table4[[#This Row],[Safety Impact 
(Risk ID'# or N/A)]],"")</f>
        <v/>
      </c>
      <c r="J54" s="199" t="str">
        <f>Table4[[#This Row],[Security 
Risk 
Level]]</f>
        <v>LOW</v>
      </c>
      <c r="K54" s="204" t="str">
        <f>IF(Table4[[#This Row],[Security Risk Control Measures]]&gt;0,Table4[[#This Row],[Security Risk Control Measures]],"")</f>
        <v>• Encrypt authentication data in storage and transit to mitigate risk of information disclosure and authentication protocol attacks 
• Encrypt authentication data using non reversible encryption such as using a digest (e.g., HASH) and a seed to prevent dictionary attacks                           • Lock out accounts after reaching a log on failure threshold and mitigate risk of brute force attacks 
•Display generic error messages upon validation of credentials to mitigate risk of account harvesting or enumeration</v>
      </c>
      <c r="L54" s="202" t="str">
        <f>Table4[[#This Row],[Security Risk LevelP]]</f>
        <v/>
      </c>
      <c r="M54" s="204" t="str">
        <f>IF(Table4[[#This Row],[Residual Security Risk Acceptability Justification]]&gt;0,Table4[[#This Row],[Residual Security Risk Acceptability Justification]],"")</f>
        <v/>
      </c>
      <c r="N54"/>
    </row>
    <row r="55" spans="1:14" s="53" customFormat="1" ht="71.25" x14ac:dyDescent="0.25">
      <c r="A55" s="203">
        <f>Table4[[#This Row],[
ID '#]]</f>
        <v>51</v>
      </c>
      <c r="B55" s="57" t="str">
        <f>IF(Table4[[#This Row],[T ID]]&gt;0,Table4[[#This Row],[T ID]],"")</f>
        <v>T03</v>
      </c>
      <c r="C55" s="195" t="str">
        <f>Table4[[#This Row],[Threat Event(s)]]</f>
        <v>Gaining Access
([S]TRID[E])</v>
      </c>
      <c r="D55" s="204" t="str">
        <f>IF(Table4[[#This Row],[V ID]]&gt;0,Table4[[#This Row],[V ID]],"")</f>
        <v>V15</v>
      </c>
      <c r="E55" s="195" t="str">
        <f>Table4[[#This Row],[Vulnerabilities]]</f>
        <v>Controlled Use of Administrative Privileges over the network</v>
      </c>
      <c r="F55" s="205" t="str">
        <f>IF(Table4[[#This Row],[A ID]]&gt;0,Table4[[#This Row],[A ID]],"")</f>
        <v>A04</v>
      </c>
      <c r="G55" s="195" t="str">
        <f>Table4[[#This Row],[Asset]]</f>
        <v xml:space="preserve">Authenication/Authorisation data </v>
      </c>
      <c r="H55" s="208" t="str">
        <f>IF(Table4[[#This Row],[Impact Description]]&gt;0,Table4[[#This Row],[Impact Description]],"")</f>
        <v>1)  Obtain knowledge about system internals
2)  Attempt to find attack vectors 
3)  Possibilities for exploitation of publicly known Vulnerabilities.</v>
      </c>
      <c r="I55" s="204" t="str">
        <f>IF(Table4[[#This Row],[Safety Impact 
(Risk ID'# or N/A)]]&gt;0,Table4[[#This Row],[Safety Impact 
(Risk ID'# or N/A)]],"")</f>
        <v/>
      </c>
      <c r="J55" s="199" t="str">
        <f>Table4[[#This Row],[Security 
Risk 
Level]]</f>
        <v>LOW</v>
      </c>
      <c r="K55" s="204" t="str">
        <f>IF(Table4[[#This Row],[Security Risk Control Measures]]&gt;0,Table4[[#This Row],[Security Risk Control Measures]],"")</f>
        <v>•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55" s="202" t="str">
        <f>Table4[[#This Row],[Security Risk LevelP]]</f>
        <v/>
      </c>
      <c r="M55" s="204" t="str">
        <f>IF(Table4[[#This Row],[Residual Security Risk Acceptability Justification]]&gt;0,Table4[[#This Row],[Residual Security Risk Acceptability Justification]],"")</f>
        <v/>
      </c>
      <c r="N55"/>
    </row>
    <row r="56" spans="1:14" s="53" customFormat="1" ht="71.25" x14ac:dyDescent="0.25">
      <c r="A56" s="203">
        <f>Table4[[#This Row],[
ID '#]]</f>
        <v>52</v>
      </c>
      <c r="B56" s="57" t="str">
        <f>IF(Table4[[#This Row],[T ID]]&gt;0,Table4[[#This Row],[T ID]],"")</f>
        <v>T03</v>
      </c>
      <c r="C56" s="195" t="str">
        <f>Table4[[#This Row],[Threat Event(s)]]</f>
        <v>Gaining Access
([S]TRID[E])</v>
      </c>
      <c r="D56" s="204" t="str">
        <f>IF(Table4[[#This Row],[V ID]]&gt;0,Table4[[#This Row],[V ID]],"")</f>
        <v>V15</v>
      </c>
      <c r="E56" s="195" t="str">
        <f>Table4[[#This Row],[Vulnerabilities]]</f>
        <v>Controlled Use of Administrative Privileges over the network</v>
      </c>
      <c r="F56" s="205" t="str">
        <f>IF(Table4[[#This Row],[A ID]]&gt;0,Table4[[#This Row],[A ID]],"")</f>
        <v>A12</v>
      </c>
      <c r="G56" s="195" t="str">
        <f>Table4[[#This Row],[Asset]]</f>
        <v>Smart medic app (Azure Portal Administrator)</v>
      </c>
      <c r="H56" s="208" t="str">
        <f>IF(Table4[[#This Row],[Impact Description]]&gt;0,Table4[[#This Row],[Impact Description]],"")</f>
        <v>1)  Obtain knowledge about system internals
2)  Attempt to find attack vectors 
3)  Possibilities for exploitation of publicly known Vulnerabilities.</v>
      </c>
      <c r="I56" s="204" t="str">
        <f>IF(Table4[[#This Row],[Safety Impact 
(Risk ID'# or N/A)]]&gt;0,Table4[[#This Row],[Safety Impact 
(Risk ID'# or N/A)]],"")</f>
        <v/>
      </c>
      <c r="J56" s="199" t="str">
        <f>Table4[[#This Row],[Security 
Risk 
Level]]</f>
        <v>LOW</v>
      </c>
      <c r="K56" s="204" t="str">
        <f>IF(Table4[[#This Row],[Security Risk Control Measures]]&gt;0,Table4[[#This Row],[Security Risk Control Measures]],"")</f>
        <v>• Require that administrators establish multi-factor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56" s="202" t="str">
        <f>Table4[[#This Row],[Security Risk LevelP]]</f>
        <v/>
      </c>
      <c r="M56" s="204" t="str">
        <f>IF(Table4[[#This Row],[Residual Security Risk Acceptability Justification]]&gt;0,Table4[[#This Row],[Residual Security Risk Acceptability Justification]],"")</f>
        <v/>
      </c>
      <c r="N56"/>
    </row>
    <row r="57" spans="1:14" s="53" customFormat="1" ht="71.25" x14ac:dyDescent="0.25">
      <c r="A57" s="203">
        <f>Table4[[#This Row],[
ID '#]]</f>
        <v>53</v>
      </c>
      <c r="B57" s="57" t="str">
        <f>IF(Table4[[#This Row],[T ID]]&gt;0,Table4[[#This Row],[T ID]],"")</f>
        <v>T03</v>
      </c>
      <c r="C57" s="195" t="str">
        <f>Table4[[#This Row],[Threat Event(s)]]</f>
        <v>Gaining Access
([S]TRID[E])</v>
      </c>
      <c r="D57" s="204" t="str">
        <f>IF(Table4[[#This Row],[V ID]]&gt;0,Table4[[#This Row],[V ID]],"")</f>
        <v>V13</v>
      </c>
      <c r="E57" s="195" t="str">
        <f>Table4[[#This Row],[Vulnerabilities]]</f>
        <v>Unprotected external USB Port on the tablet/devices.</v>
      </c>
      <c r="F57" s="205" t="str">
        <f>IF(Table4[[#This Row],[A ID]]&gt;0,Table4[[#This Row],[A ID]],"")</f>
        <v>A01</v>
      </c>
      <c r="G57" s="195" t="str">
        <f>Table4[[#This Row],[Asset]]</f>
        <v>Tablet Resources - web cam, microphone, OTG devices, Removable USB, Tablet Application,</v>
      </c>
      <c r="H57" s="208" t="str">
        <f>IF(Table4[[#This Row],[Impact Description]]&gt;0,Table4[[#This Row],[Impact Description]],"")</f>
        <v>1)  Obtain knowledge about system internals
2)  Attempt to find attack vectors 
3)  Possibilities for exploitation of publicly known Vulnerabilities.</v>
      </c>
      <c r="I57" s="204" t="str">
        <f>IF(Table4[[#This Row],[Safety Impact 
(Risk ID'# or N/A)]]&gt;0,Table4[[#This Row],[Safety Impact 
(Risk ID'# or N/A)]],"")</f>
        <v/>
      </c>
      <c r="J57" s="199" t="str">
        <f>Table4[[#This Row],[Security 
Risk 
Level]]</f>
        <v>LOW</v>
      </c>
      <c r="K57" s="204" t="str">
        <f>IF(Table4[[#This Row],[Security Risk Control Measures]]&gt;0,Table4[[#This Row],[Security Risk Control Measures]],"")</f>
        <v xml:space="preserve">▪Asset should be behind stateful firewall
•  Use secure tunnel communications channel </v>
      </c>
      <c r="L57" s="202" t="str">
        <f>Table4[[#This Row],[Security Risk LevelP]]</f>
        <v/>
      </c>
      <c r="M57" s="204" t="str">
        <f>IF(Table4[[#This Row],[Residual Security Risk Acceptability Justification]]&gt;0,Table4[[#This Row],[Residual Security Risk Acceptability Justification]],"")</f>
        <v/>
      </c>
      <c r="N57"/>
    </row>
    <row r="58" spans="1:14" s="53" customFormat="1" ht="71.25" x14ac:dyDescent="0.25">
      <c r="A58" s="203">
        <f>Table4[[#This Row],[
ID '#]]</f>
        <v>54</v>
      </c>
      <c r="B58" s="57" t="str">
        <f>IF(Table4[[#This Row],[T ID]]&gt;0,Table4[[#This Row],[T ID]],"")</f>
        <v>T04</v>
      </c>
      <c r="C58" s="195" t="str">
        <f>Table4[[#This Row],[Threat Event(s)]]</f>
        <v>Maintaining Access
(TTP)</v>
      </c>
      <c r="D58" s="204" t="str">
        <f>IF(Table4[[#This Row],[V ID]]&gt;0,Table4[[#This Row],[V ID]],"")</f>
        <v>V01</v>
      </c>
      <c r="E58" s="195" t="str">
        <f>Table4[[#This Row],[Vulnerabilities]]</f>
        <v>Devices with default passwords needs to be checked for bruteforce attacks</v>
      </c>
      <c r="F58" s="205" t="str">
        <f>IF(Table4[[#This Row],[A ID]]&gt;0,Table4[[#This Row],[A ID]],"")</f>
        <v>A11</v>
      </c>
      <c r="G58" s="195" t="str">
        <f>Table4[[#This Row],[Asset]]</f>
        <v>Smart medic app (Stryker Azure Cloud Web Application)</v>
      </c>
      <c r="H58" s="208" t="str">
        <f>IF(Table4[[#This Row],[Impact Description]]&gt;0,Table4[[#This Row],[Impact Description]],"")</f>
        <v>1)  Obtain knowledge about system internals
2)  Attempt to find attack vectors 
3)  Possibilities for exploitation of publicly known Vulnerabilities.</v>
      </c>
      <c r="I58" s="204" t="str">
        <f>IF(Table4[[#This Row],[Safety Impact 
(Risk ID'# or N/A)]]&gt;0,Table4[[#This Row],[Safety Impact 
(Risk ID'# or N/A)]],"")</f>
        <v/>
      </c>
      <c r="J58" s="199" t="str">
        <f>Table4[[#This Row],[Security 
Risk 
Level]]</f>
        <v>MEDIUM</v>
      </c>
      <c r="K58"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58" s="202" t="str">
        <f>Table4[[#This Row],[Security Risk LevelP]]</f>
        <v/>
      </c>
      <c r="M58" s="204" t="str">
        <f>IF(Table4[[#This Row],[Residual Security Risk Acceptability Justification]]&gt;0,Table4[[#This Row],[Residual Security Risk Acceptability Justification]],"")</f>
        <v/>
      </c>
      <c r="N58"/>
    </row>
    <row r="59" spans="1:14" s="53" customFormat="1" ht="71.25" x14ac:dyDescent="0.25">
      <c r="A59" s="203">
        <f>Table4[[#This Row],[
ID '#]]</f>
        <v>55</v>
      </c>
      <c r="B59" s="57" t="str">
        <f>IF(Table4[[#This Row],[T ID]]&gt;0,Table4[[#This Row],[T ID]],"")</f>
        <v>T04</v>
      </c>
      <c r="C59" s="195" t="str">
        <f>Table4[[#This Row],[Threat Event(s)]]</f>
        <v>Maintaining Access
(TTP)</v>
      </c>
      <c r="D59" s="204" t="str">
        <f>IF(Table4[[#This Row],[V ID]]&gt;0,Table4[[#This Row],[V ID]],"")</f>
        <v>V01</v>
      </c>
      <c r="E59" s="195" t="str">
        <f>Table4[[#This Row],[Vulnerabilities]]</f>
        <v>Devices with default passwords needs to be checked for bruteforce attacks</v>
      </c>
      <c r="F59" s="205" t="str">
        <f>IF(Table4[[#This Row],[A ID]]&gt;0,Table4[[#This Row],[A ID]],"")</f>
        <v>A12</v>
      </c>
      <c r="G59" s="195" t="str">
        <f>Table4[[#This Row],[Asset]]</f>
        <v>Smart medic app (Azure Portal Administrator)</v>
      </c>
      <c r="H59" s="208" t="str">
        <f>IF(Table4[[#This Row],[Impact Description]]&gt;0,Table4[[#This Row],[Impact Description]],"")</f>
        <v>1)  Obtain knowledge about system internals
2)  Attempt to find attack vectors 
3)  Possibilities for exploitation of publicly known Vulnerabilities.</v>
      </c>
      <c r="I59" s="204" t="str">
        <f>IF(Table4[[#This Row],[Safety Impact 
(Risk ID'# or N/A)]]&gt;0,Table4[[#This Row],[Safety Impact 
(Risk ID'# or N/A)]],"")</f>
        <v/>
      </c>
      <c r="J59" s="199" t="str">
        <f>Table4[[#This Row],[Security 
Risk 
Level]]</f>
        <v>MEDIUM</v>
      </c>
      <c r="K59"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59" s="202" t="str">
        <f>Table4[[#This Row],[Security Risk LevelP]]</f>
        <v/>
      </c>
      <c r="M59" s="204" t="str">
        <f>IF(Table4[[#This Row],[Residual Security Risk Acceptability Justification]]&gt;0,Table4[[#This Row],[Residual Security Risk Acceptability Justification]],"")</f>
        <v/>
      </c>
      <c r="N59"/>
    </row>
    <row r="60" spans="1:14" s="53" customFormat="1" ht="71.25" x14ac:dyDescent="0.25">
      <c r="A60" s="203">
        <f>Table4[[#This Row],[
ID '#]]</f>
        <v>56</v>
      </c>
      <c r="B60" s="57" t="str">
        <f>IF(Table4[[#This Row],[T ID]]&gt;0,Table4[[#This Row],[T ID]],"")</f>
        <v>T04</v>
      </c>
      <c r="C60" s="195" t="str">
        <f>Table4[[#This Row],[Threat Event(s)]]</f>
        <v>Maintaining Access
(TTP)</v>
      </c>
      <c r="D60" s="204" t="str">
        <f>IF(Table4[[#This Row],[V ID]]&gt;0,Table4[[#This Row],[V ID]],"")</f>
        <v>V01</v>
      </c>
      <c r="E60" s="195" t="str">
        <f>Table4[[#This Row],[Vulnerabilities]]</f>
        <v>Devices with default passwords needs to be checked for bruteforce attacks</v>
      </c>
      <c r="F60" s="205" t="str">
        <f>IF(Table4[[#This Row],[A ID]]&gt;0,Table4[[#This Row],[A ID]],"")</f>
        <v>A04</v>
      </c>
      <c r="G60" s="195" t="str">
        <f>Table4[[#This Row],[Asset]]</f>
        <v xml:space="preserve">Authenication/Authorisation data </v>
      </c>
      <c r="H60" s="208" t="str">
        <f>IF(Table4[[#This Row],[Impact Description]]&gt;0,Table4[[#This Row],[Impact Description]],"")</f>
        <v>1)  Obtain knowledge about system internals
2)  Attempt to find attack vectors 
3)  Possibilities for exploitation of publicly known Vulnerabilities.</v>
      </c>
      <c r="I60" s="204" t="str">
        <f>IF(Table4[[#This Row],[Safety Impact 
(Risk ID'# or N/A)]]&gt;0,Table4[[#This Row],[Safety Impact 
(Risk ID'# or N/A)]],"")</f>
        <v/>
      </c>
      <c r="J60" s="199" t="str">
        <f>Table4[[#This Row],[Security 
Risk 
Level]]</f>
        <v>LOW</v>
      </c>
      <c r="K60"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60" s="202" t="str">
        <f>Table4[[#This Row],[Security Risk LevelP]]</f>
        <v/>
      </c>
      <c r="M60" s="204" t="str">
        <f>IF(Table4[[#This Row],[Residual Security Risk Acceptability Justification]]&gt;0,Table4[[#This Row],[Residual Security Risk Acceptability Justification]],"")</f>
        <v/>
      </c>
      <c r="N60"/>
    </row>
    <row r="61" spans="1:14" s="53" customFormat="1" ht="71.25" x14ac:dyDescent="0.25">
      <c r="A61" s="203">
        <f>Table4[[#This Row],[
ID '#]]</f>
        <v>57</v>
      </c>
      <c r="B61" s="57" t="str">
        <f>IF(Table4[[#This Row],[T ID]]&gt;0,Table4[[#This Row],[T ID]],"")</f>
        <v>T04</v>
      </c>
      <c r="C61" s="195" t="str">
        <f>Table4[[#This Row],[Threat Event(s)]]</f>
        <v>Maintaining Access
(TTP)</v>
      </c>
      <c r="D61" s="204" t="str">
        <f>IF(Table4[[#This Row],[V ID]]&gt;0,Table4[[#This Row],[V ID]],"")</f>
        <v>V03</v>
      </c>
      <c r="E61" s="195" t="str">
        <f>Table4[[#This Row],[Vulnerabilities]]</f>
        <v>The password complexity or location vulnerability. Like weak passwords and hardcoded passwords.</v>
      </c>
      <c r="F61" s="205" t="str">
        <f>IF(Table4[[#This Row],[A ID]]&gt;0,Table4[[#This Row],[A ID]],"")</f>
        <v>A11</v>
      </c>
      <c r="G61" s="195" t="str">
        <f>Table4[[#This Row],[Asset]]</f>
        <v>Smart medic app (Stryker Azure Cloud Web Application)</v>
      </c>
      <c r="H61" s="208" t="str">
        <f>IF(Table4[[#This Row],[Impact Description]]&gt;0,Table4[[#This Row],[Impact Description]],"")</f>
        <v>1)  Obtain knowledge about system internals
2)  Attempt to find attack vectors 
3)  Possibilities for exploitation of publicly known Vulnerabilities.</v>
      </c>
      <c r="I61" s="204" t="str">
        <f>IF(Table4[[#This Row],[Safety Impact 
(Risk ID'# or N/A)]]&gt;0,Table4[[#This Row],[Safety Impact 
(Risk ID'# or N/A)]],"")</f>
        <v/>
      </c>
      <c r="J61" s="199" t="str">
        <f>Table4[[#This Row],[Security 
Risk 
Level]]</f>
        <v>LOW</v>
      </c>
      <c r="K61" s="204" t="str">
        <f>IF(Table4[[#This Row],[Security Risk Control Measures]]&gt;0,Table4[[#This Row],[Security Risk Control Measures]],"")</f>
        <v xml:space="preserve">• Require multi-factor authentication
• limit authentication attempts (rate Limiting)
• Maintain Access Logs
• Maintain Server Security Logs
• Stronger authentication methods
</v>
      </c>
      <c r="L61" s="202" t="str">
        <f>Table4[[#This Row],[Security Risk LevelP]]</f>
        <v/>
      </c>
      <c r="M61" s="204" t="str">
        <f>IF(Table4[[#This Row],[Residual Security Risk Acceptability Justification]]&gt;0,Table4[[#This Row],[Residual Security Risk Acceptability Justification]],"")</f>
        <v/>
      </c>
      <c r="N61"/>
    </row>
    <row r="62" spans="1:14" s="53" customFormat="1" ht="71.25" x14ac:dyDescent="0.25">
      <c r="A62" s="203">
        <f>Table4[[#This Row],[
ID '#]]</f>
        <v>58</v>
      </c>
      <c r="B62" s="57" t="str">
        <f>IF(Table4[[#This Row],[T ID]]&gt;0,Table4[[#This Row],[T ID]],"")</f>
        <v>T04</v>
      </c>
      <c r="C62" s="195" t="str">
        <f>Table4[[#This Row],[Threat Event(s)]]</f>
        <v>Maintaining Access
(TTP)</v>
      </c>
      <c r="D62" s="204" t="str">
        <f>IF(Table4[[#This Row],[V ID]]&gt;0,Table4[[#This Row],[V ID]],"")</f>
        <v>V03</v>
      </c>
      <c r="E62" s="195" t="str">
        <f>Table4[[#This Row],[Vulnerabilities]]</f>
        <v>The password complexity or location vulnerability. Like weak passwords and hardcoded passwords.</v>
      </c>
      <c r="F62" s="205" t="str">
        <f>IF(Table4[[#This Row],[A ID]]&gt;0,Table4[[#This Row],[A ID]],"")</f>
        <v>A12</v>
      </c>
      <c r="G62" s="195" t="str">
        <f>Table4[[#This Row],[Asset]]</f>
        <v>Smart medic app (Azure Portal Administrator)</v>
      </c>
      <c r="H62" s="208" t="str">
        <f>IF(Table4[[#This Row],[Impact Description]]&gt;0,Table4[[#This Row],[Impact Description]],"")</f>
        <v>1)  Obtain knowledge about system internals
2)  Attempt to find attack vectors 
3)  Possibilities for exploitation of publicly known Vulnerabilities.</v>
      </c>
      <c r="I62" s="204" t="str">
        <f>IF(Table4[[#This Row],[Safety Impact 
(Risk ID'# or N/A)]]&gt;0,Table4[[#This Row],[Safety Impact 
(Risk ID'# or N/A)]],"")</f>
        <v/>
      </c>
      <c r="J62" s="199" t="str">
        <f>Table4[[#This Row],[Security 
Risk 
Level]]</f>
        <v>LOW</v>
      </c>
      <c r="K62"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62" s="202" t="str">
        <f>Table4[[#This Row],[Security Risk LevelP]]</f>
        <v/>
      </c>
      <c r="M62" s="204" t="str">
        <f>IF(Table4[[#This Row],[Residual Security Risk Acceptability Justification]]&gt;0,Table4[[#This Row],[Residual Security Risk Acceptability Justification]],"")</f>
        <v/>
      </c>
      <c r="N62"/>
    </row>
    <row r="63" spans="1:14" s="53" customFormat="1" ht="71.25" x14ac:dyDescent="0.25">
      <c r="A63" s="203">
        <f>Table4[[#This Row],[
ID '#]]</f>
        <v>59</v>
      </c>
      <c r="B63" s="57" t="str">
        <f>IF(Table4[[#This Row],[T ID]]&gt;0,Table4[[#This Row],[T ID]],"")</f>
        <v>T04</v>
      </c>
      <c r="C63" s="195" t="str">
        <f>Table4[[#This Row],[Threat Event(s)]]</f>
        <v>Maintaining Access
(TTP)</v>
      </c>
      <c r="D63" s="204" t="str">
        <f>IF(Table4[[#This Row],[V ID]]&gt;0,Table4[[#This Row],[V ID]],"")</f>
        <v>V03</v>
      </c>
      <c r="E63" s="195" t="str">
        <f>Table4[[#This Row],[Vulnerabilities]]</f>
        <v>The password complexity or location vulnerability. Like weak passwords and hardcoded passwords.</v>
      </c>
      <c r="F63" s="205" t="str">
        <f>IF(Table4[[#This Row],[A ID]]&gt;0,Table4[[#This Row],[A ID]],"")</f>
        <v>A04</v>
      </c>
      <c r="G63" s="195" t="str">
        <f>Table4[[#This Row],[Asset]]</f>
        <v xml:space="preserve">Authenication/Authorisation data </v>
      </c>
      <c r="H63" s="208" t="str">
        <f>IF(Table4[[#This Row],[Impact Description]]&gt;0,Table4[[#This Row],[Impact Description]],"")</f>
        <v>1)  Obtain knowledge about system internals
2)  Attempt to find attack vectors 
3)  Possibilities for exploitation of publicly known Vulnerabilities.</v>
      </c>
      <c r="I63" s="204" t="str">
        <f>IF(Table4[[#This Row],[Safety Impact 
(Risk ID'# or N/A)]]&gt;0,Table4[[#This Row],[Safety Impact 
(Risk ID'# or N/A)]],"")</f>
        <v/>
      </c>
      <c r="J63" s="199" t="str">
        <f>Table4[[#This Row],[Security 
Risk 
Level]]</f>
        <v>LOW</v>
      </c>
      <c r="K63" s="204" t="str">
        <f>IF(Table4[[#This Row],[Security Risk Control Measures]]&gt;0,Table4[[#This Row],[Security Risk Control Measures]],"")</f>
        <v>• Require multi-factor authentication
• limit authentication attempts (rate Limiting)
• Maintain Access Logs
• Maintain Server Security Logs
• Stronger authentication methods</v>
      </c>
      <c r="L63" s="202" t="str">
        <f>Table4[[#This Row],[Security Risk LevelP]]</f>
        <v/>
      </c>
      <c r="M63" s="204" t="str">
        <f>IF(Table4[[#This Row],[Residual Security Risk Acceptability Justification]]&gt;0,Table4[[#This Row],[Residual Security Risk Acceptability Justification]],"")</f>
        <v/>
      </c>
      <c r="N63"/>
    </row>
    <row r="64" spans="1:14" s="53" customFormat="1" ht="71.25" x14ac:dyDescent="0.25">
      <c r="A64" s="203">
        <f>Table4[[#This Row],[
ID '#]]</f>
        <v>60</v>
      </c>
      <c r="B64" s="57" t="str">
        <f>IF(Table4[[#This Row],[T ID]]&gt;0,Table4[[#This Row],[T ID]],"")</f>
        <v>T04</v>
      </c>
      <c r="C64" s="195" t="str">
        <f>Table4[[#This Row],[Threat Event(s)]]</f>
        <v>Maintaining Access
(TTP)</v>
      </c>
      <c r="D64" s="204" t="str">
        <f>IF(Table4[[#This Row],[V ID]]&gt;0,Table4[[#This Row],[V ID]],"")</f>
        <v>V04</v>
      </c>
      <c r="E64" s="195" t="str">
        <f>Table4[[#This Row],[Vulnerabilities]]</f>
        <v>Checking authentication modes for possible hacks and bypasses</v>
      </c>
      <c r="F64" s="205" t="str">
        <f>IF(Table4[[#This Row],[A ID]]&gt;0,Table4[[#This Row],[A ID]],"")</f>
        <v>A11</v>
      </c>
      <c r="G64" s="195" t="str">
        <f>Table4[[#This Row],[Asset]]</f>
        <v>Smart medic app (Stryker Azure Cloud Web Application)</v>
      </c>
      <c r="H64" s="208" t="str">
        <f>IF(Table4[[#This Row],[Impact Description]]&gt;0,Table4[[#This Row],[Impact Description]],"")</f>
        <v>1)  Obtain knowledge about system internals
2)  Attempt to find attack vectors 
3)  Possibilities for exploitation of publicly known Vulnerabilities.</v>
      </c>
      <c r="I64" s="204" t="str">
        <f>IF(Table4[[#This Row],[Safety Impact 
(Risk ID'# or N/A)]]&gt;0,Table4[[#This Row],[Safety Impact 
(Risk ID'# or N/A)]],"")</f>
        <v/>
      </c>
      <c r="J64" s="199" t="str">
        <f>Table4[[#This Row],[Security 
Risk 
Level]]</f>
        <v>LOW</v>
      </c>
      <c r="K64" s="204" t="str">
        <f>IF(Table4[[#This Row],[Security Risk Control Measures]]&gt;0,Table4[[#This Row],[Security Risk Control Measures]],"")</f>
        <v>•Never use credentials such as date of birth, spouse, or child’s or pet’s name
•Lockout an account subjected to too many incorrect credential guesses.</v>
      </c>
      <c r="L64" s="202" t="str">
        <f>Table4[[#This Row],[Security Risk LevelP]]</f>
        <v/>
      </c>
      <c r="M64" s="204" t="str">
        <f>IF(Table4[[#This Row],[Residual Security Risk Acceptability Justification]]&gt;0,Table4[[#This Row],[Residual Security Risk Acceptability Justification]],"")</f>
        <v/>
      </c>
      <c r="N64"/>
    </row>
    <row r="65" spans="1:14" s="53" customFormat="1" ht="71.25" x14ac:dyDescent="0.25">
      <c r="A65" s="203">
        <f>Table4[[#This Row],[
ID '#]]</f>
        <v>61</v>
      </c>
      <c r="B65" s="57" t="str">
        <f>IF(Table4[[#This Row],[T ID]]&gt;0,Table4[[#This Row],[T ID]],"")</f>
        <v>T04</v>
      </c>
      <c r="C65" s="195" t="str">
        <f>Table4[[#This Row],[Threat Event(s)]]</f>
        <v>Maintaining Access
(TTP)</v>
      </c>
      <c r="D65" s="204" t="str">
        <f>IF(Table4[[#This Row],[V ID]]&gt;0,Table4[[#This Row],[V ID]],"")</f>
        <v>V04</v>
      </c>
      <c r="E65" s="195" t="str">
        <f>Table4[[#This Row],[Vulnerabilities]]</f>
        <v>Checking authentication modes for possible hacks and bypasses</v>
      </c>
      <c r="F65" s="205" t="str">
        <f>IF(Table4[[#This Row],[A ID]]&gt;0,Table4[[#This Row],[A ID]],"")</f>
        <v>A12</v>
      </c>
      <c r="G65" s="195" t="str">
        <f>Table4[[#This Row],[Asset]]</f>
        <v>Smart medic app (Azure Portal Administrator)</v>
      </c>
      <c r="H65" s="208" t="str">
        <f>IF(Table4[[#This Row],[Impact Description]]&gt;0,Table4[[#This Row],[Impact Description]],"")</f>
        <v>1)  Obtain knowledge about system internals
2)  Attempt to find attack vectors 
3)  Possibilities for exploitation of publicly known Vulnerabilities.</v>
      </c>
      <c r="I65" s="204" t="str">
        <f>IF(Table4[[#This Row],[Safety Impact 
(Risk ID'# or N/A)]]&gt;0,Table4[[#This Row],[Safety Impact 
(Risk ID'# or N/A)]],"")</f>
        <v/>
      </c>
      <c r="J65" s="199" t="str">
        <f>Table4[[#This Row],[Security 
Risk 
Level]]</f>
        <v>LOW</v>
      </c>
      <c r="K65" s="204" t="str">
        <f>IF(Table4[[#This Row],[Security Risk Control Measures]]&gt;0,Table4[[#This Row],[Security Risk Control Measures]],"")</f>
        <v>•Never use credentials such as date of birth, spouse, or child’s or pet’s name
•Lockout an account subjected to too many incorrect credential guesses.</v>
      </c>
      <c r="L65" s="202" t="str">
        <f>Table4[[#This Row],[Security Risk LevelP]]</f>
        <v/>
      </c>
      <c r="M65" s="204" t="str">
        <f>IF(Table4[[#This Row],[Residual Security Risk Acceptability Justification]]&gt;0,Table4[[#This Row],[Residual Security Risk Acceptability Justification]],"")</f>
        <v/>
      </c>
      <c r="N65"/>
    </row>
    <row r="66" spans="1:14" s="53" customFormat="1" ht="71.25" x14ac:dyDescent="0.25">
      <c r="A66" s="203">
        <f>Table4[[#This Row],[
ID '#]]</f>
        <v>62</v>
      </c>
      <c r="B66" s="57" t="str">
        <f>IF(Table4[[#This Row],[T ID]]&gt;0,Table4[[#This Row],[T ID]],"")</f>
        <v>T04</v>
      </c>
      <c r="C66" s="195" t="str">
        <f>Table4[[#This Row],[Threat Event(s)]]</f>
        <v>Maintaining Access
(TTP)</v>
      </c>
      <c r="D66" s="204" t="str">
        <f>IF(Table4[[#This Row],[V ID]]&gt;0,Table4[[#This Row],[V ID]],"")</f>
        <v>V15</v>
      </c>
      <c r="E66" s="195" t="str">
        <f>Table4[[#This Row],[Vulnerabilities]]</f>
        <v>Controlled Use of Administrative Privileges over the network</v>
      </c>
      <c r="F66" s="205" t="str">
        <f>IF(Table4[[#This Row],[A ID]]&gt;0,Table4[[#This Row],[A ID]],"")</f>
        <v>A12</v>
      </c>
      <c r="G66" s="195" t="str">
        <f>Table4[[#This Row],[Asset]]</f>
        <v>Smart medic app (Azure Portal Administrator)</v>
      </c>
      <c r="H66" s="208" t="str">
        <f>IF(Table4[[#This Row],[Impact Description]]&gt;0,Table4[[#This Row],[Impact Description]],"")</f>
        <v>1)  Obtain knowledge about system internals
2)  Attempt to find attack vectors 
3)  Possibilities for exploitation of publicly known Vulnerabilities.</v>
      </c>
      <c r="I66" s="204" t="str">
        <f>IF(Table4[[#This Row],[Safety Impact 
(Risk ID'# or N/A)]]&gt;0,Table4[[#This Row],[Safety Impact 
(Risk ID'# or N/A)]],"")</f>
        <v/>
      </c>
      <c r="J66" s="199" t="str">
        <f>Table4[[#This Row],[Security 
Risk 
Level]]</f>
        <v>MEDIUM</v>
      </c>
      <c r="K66" s="204" t="str">
        <f>IF(Table4[[#This Row],[Security Risk Control Measures]]&gt;0,Table4[[#This Row],[Security Risk Control Measures]],"")</f>
        <v>•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66" s="202" t="str">
        <f>Table4[[#This Row],[Security Risk LevelP]]</f>
        <v/>
      </c>
      <c r="M66" s="204" t="str">
        <f>IF(Table4[[#This Row],[Residual Security Risk Acceptability Justification]]&gt;0,Table4[[#This Row],[Residual Security Risk Acceptability Justification]],"")</f>
        <v/>
      </c>
      <c r="N66"/>
    </row>
    <row r="67" spans="1:14" s="53" customFormat="1" ht="71.25" x14ac:dyDescent="0.25">
      <c r="A67" s="203">
        <f>Table4[[#This Row],[
ID '#]]</f>
        <v>63</v>
      </c>
      <c r="B67" s="57" t="str">
        <f>IF(Table4[[#This Row],[T ID]]&gt;0,Table4[[#This Row],[T ID]],"")</f>
        <v>T04</v>
      </c>
      <c r="C67" s="195" t="str">
        <f>Table4[[#This Row],[Threat Event(s)]]</f>
        <v>Maintaining Access
(TTP)</v>
      </c>
      <c r="D67" s="204" t="str">
        <f>IF(Table4[[#This Row],[V ID]]&gt;0,Table4[[#This Row],[V ID]],"")</f>
        <v>V15</v>
      </c>
      <c r="E67" s="195" t="str">
        <f>Table4[[#This Row],[Vulnerabilities]]</f>
        <v>Controlled Use of Administrative Privileges over the network</v>
      </c>
      <c r="F67" s="205" t="str">
        <f>IF(Table4[[#This Row],[A ID]]&gt;0,Table4[[#This Row],[A ID]],"")</f>
        <v>A04</v>
      </c>
      <c r="G67" s="195" t="str">
        <f>Table4[[#This Row],[Asset]]</f>
        <v xml:space="preserve">Authenication/Authorisation data </v>
      </c>
      <c r="H67" s="208" t="str">
        <f>IF(Table4[[#This Row],[Impact Description]]&gt;0,Table4[[#This Row],[Impact Description]],"")</f>
        <v>1)  Obtain knowledge about system internals
2)  Attempt to find attack vectors 
3)  Possibilities for exploitation of publicly known Vulnerabilities.</v>
      </c>
      <c r="I67" s="204" t="str">
        <f>IF(Table4[[#This Row],[Safety Impact 
(Risk ID'# or N/A)]]&gt;0,Table4[[#This Row],[Safety Impact 
(Risk ID'# or N/A)]],"")</f>
        <v/>
      </c>
      <c r="J67" s="199" t="str">
        <f>Table4[[#This Row],[Security 
Risk 
Level]]</f>
        <v>LOW</v>
      </c>
      <c r="K67" s="204" t="str">
        <f>IF(Table4[[#This Row],[Security Risk Control Measures]]&gt;0,Table4[[#This Row],[Security Risk Control Measures]],"")</f>
        <v>• Require that administrators establish multi factor authentication for their administrator and non-administrative accounts.
• Access to a machine (either remotely or locally) should be blocked for administrator-level accounts.
• Change all default credentials for applications, operating systems, routers, firewalls, wireless access points,</v>
      </c>
      <c r="L67" s="202" t="str">
        <f>Table4[[#This Row],[Security Risk LevelP]]</f>
        <v/>
      </c>
      <c r="M67" s="204" t="str">
        <f>IF(Table4[[#This Row],[Residual Security Risk Acceptability Justification]]&gt;0,Table4[[#This Row],[Residual Security Risk Acceptability Justification]],"")</f>
        <v/>
      </c>
      <c r="N67"/>
    </row>
    <row r="68" spans="1:14" s="53" customFormat="1" ht="128.25" x14ac:dyDescent="0.25">
      <c r="A68" s="203">
        <f>Table4[[#This Row],[
ID '#]]</f>
        <v>64</v>
      </c>
      <c r="B68" s="57" t="str">
        <f>IF(Table4[[#This Row],[T ID]]&gt;0,Table4[[#This Row],[T ID]],"")</f>
        <v>T05</v>
      </c>
      <c r="C68" s="195" t="str">
        <f>Table4[[#This Row],[Threat Event(s)]]</f>
        <v>Clearing Track
(TTP)</v>
      </c>
      <c r="D68" s="204" t="str">
        <f>IF(Table4[[#This Row],[V ID]]&gt;0,Table4[[#This Row],[V ID]],"")</f>
        <v>V21</v>
      </c>
      <c r="E68" s="195" t="str">
        <f>Table4[[#This Row],[Vulnerabilities]]</f>
        <v>InSecure Configuration for Software/OS on Mobile Devices, Laptops, Workstations, and Servers</v>
      </c>
      <c r="F68" s="205" t="str">
        <f>IF(Table4[[#This Row],[A ID]]&gt;0,Table4[[#This Row],[A ID]],"")</f>
        <v>A01</v>
      </c>
      <c r="G68" s="195" t="str">
        <f>Table4[[#This Row],[Asset]]</f>
        <v>Tablet Resources - web cam, microphone, OTG devices, Removable USB, Tablet Application,</v>
      </c>
      <c r="H68"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8" s="204" t="str">
        <f>IF(Table4[[#This Row],[Safety Impact 
(Risk ID'# or N/A)]]&gt;0,Table4[[#This Row],[Safety Impact 
(Risk ID'# or N/A)]],"")</f>
        <v/>
      </c>
      <c r="J68" s="199" t="str">
        <f>Table4[[#This Row],[Security 
Risk 
Level]]</f>
        <v>LOW</v>
      </c>
      <c r="K68" s="204" t="str">
        <f>IF(Table4[[#This Row],[Security Risk Control Measures]]&gt;0,Table4[[#This Row],[Security Risk Control Measures]],"")</f>
        <v xml:space="preserve">▪Asset should be behind stateful firewall
•  Use secure tunnel communications channel </v>
      </c>
      <c r="L68" s="202" t="str">
        <f>Table4[[#This Row],[Security Risk LevelP]]</f>
        <v/>
      </c>
      <c r="M68" s="204" t="str">
        <f>IF(Table4[[#This Row],[Residual Security Risk Acceptability Justification]]&gt;0,Table4[[#This Row],[Residual Security Risk Acceptability Justification]],"")</f>
        <v/>
      </c>
      <c r="N68"/>
    </row>
    <row r="69" spans="1:14" s="53" customFormat="1" ht="128.25" x14ac:dyDescent="0.25">
      <c r="A69" s="203">
        <f>Table4[[#This Row],[
ID '#]]</f>
        <v>65</v>
      </c>
      <c r="B69" s="57" t="str">
        <f>IF(Table4[[#This Row],[T ID]]&gt;0,Table4[[#This Row],[T ID]],"")</f>
        <v>T05</v>
      </c>
      <c r="C69" s="195" t="str">
        <f>Table4[[#This Row],[Threat Event(s)]]</f>
        <v>Clearing Track
(TTP)</v>
      </c>
      <c r="D69" s="204" t="str">
        <f>IF(Table4[[#This Row],[V ID]]&gt;0,Table4[[#This Row],[V ID]],"")</f>
        <v>V21</v>
      </c>
      <c r="E69" s="195" t="str">
        <f>Table4[[#This Row],[Vulnerabilities]]</f>
        <v>InSecure Configuration for Software/OS on Mobile Devices, Laptops, Workstations, and Servers</v>
      </c>
      <c r="F69" s="205" t="str">
        <f>IF(Table4[[#This Row],[A ID]]&gt;0,Table4[[#This Row],[A ID]],"")</f>
        <v>A11</v>
      </c>
      <c r="G69" s="195" t="str">
        <f>Table4[[#This Row],[Asset]]</f>
        <v>Smart medic app (Stryker Azure Cloud Web Application)</v>
      </c>
      <c r="H69"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9" s="204" t="str">
        <f>IF(Table4[[#This Row],[Safety Impact 
(Risk ID'# or N/A)]]&gt;0,Table4[[#This Row],[Safety Impact 
(Risk ID'# or N/A)]],"")</f>
        <v/>
      </c>
      <c r="J69" s="199" t="str">
        <f>Table4[[#This Row],[Security 
Risk 
Level]]</f>
        <v>LOW</v>
      </c>
      <c r="K69" s="204" t="str">
        <f>IF(Table4[[#This Row],[Security Risk Control Measures]]&gt;0,Table4[[#This Row],[Security Risk Control Measures]],"")</f>
        <v>• Establish secure configuration
• Deploy system configuration management tool
• Implement automated configuration monitoring systems
• Establish internal and external
information sources for threat
intelligence and vulnerability
data, monitoring them regularly
and taking appropriate action for
high-priority items
• Upgrades the software, firmware
• Never use credentials such as date of birth, spouse, or child’s or pet’s name
• Stateful Firewall</v>
      </c>
      <c r="L69" s="202" t="str">
        <f>Table4[[#This Row],[Security Risk LevelP]]</f>
        <v/>
      </c>
      <c r="M69" s="204" t="str">
        <f>IF(Table4[[#This Row],[Residual Security Risk Acceptability Justification]]&gt;0,Table4[[#This Row],[Residual Security Risk Acceptability Justification]],"")</f>
        <v/>
      </c>
      <c r="N69"/>
    </row>
    <row r="70" spans="1:14" s="53" customFormat="1" ht="128.25" x14ac:dyDescent="0.25">
      <c r="A70" s="203">
        <f>Table4[[#This Row],[
ID '#]]</f>
        <v>66</v>
      </c>
      <c r="B70" s="57" t="str">
        <f>IF(Table4[[#This Row],[T ID]]&gt;0,Table4[[#This Row],[T ID]],"")</f>
        <v>T05</v>
      </c>
      <c r="C70" s="195" t="str">
        <f>Table4[[#This Row],[Threat Event(s)]]</f>
        <v>Clearing Track
(TTP)</v>
      </c>
      <c r="D70" s="204" t="str">
        <f>IF(Table4[[#This Row],[V ID]]&gt;0,Table4[[#This Row],[V ID]],"")</f>
        <v>V23</v>
      </c>
      <c r="E70" s="195" t="str">
        <f>Table4[[#This Row],[Vulnerabilities]]</f>
        <v>Outdated  - Software/Hardware</v>
      </c>
      <c r="F70" s="205" t="str">
        <f>IF(Table4[[#This Row],[A ID]]&gt;0,Table4[[#This Row],[A ID]],"")</f>
        <v>A01</v>
      </c>
      <c r="G70" s="195" t="str">
        <f>Table4[[#This Row],[Asset]]</f>
        <v>Tablet Resources - web cam, microphone, OTG devices, Removable USB, Tablet Application,</v>
      </c>
      <c r="H70"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0" s="204" t="str">
        <f>IF(Table4[[#This Row],[Safety Impact 
(Risk ID'# or N/A)]]&gt;0,Table4[[#This Row],[Safety Impact 
(Risk ID'# or N/A)]],"")</f>
        <v/>
      </c>
      <c r="J70" s="199" t="str">
        <f>Table4[[#This Row],[Security 
Risk 
Level]]</f>
        <v>LOW</v>
      </c>
      <c r="K70" s="204" t="str">
        <f>IF(Table4[[#This Row],[Security Risk Control Measures]]&gt;0,Table4[[#This Row],[Security Risk Control Measures]],"")</f>
        <v xml:space="preserve">▪Asset should be behind stateful firewall
•  Use secure tunnel communications channel </v>
      </c>
      <c r="L70" s="202" t="str">
        <f>Table4[[#This Row],[Security Risk LevelP]]</f>
        <v/>
      </c>
      <c r="M70" s="204" t="str">
        <f>IF(Table4[[#This Row],[Residual Security Risk Acceptability Justification]]&gt;0,Table4[[#This Row],[Residual Security Risk Acceptability Justification]],"")</f>
        <v/>
      </c>
      <c r="N70"/>
    </row>
    <row r="71" spans="1:14" s="53" customFormat="1" ht="128.25" x14ac:dyDescent="0.25">
      <c r="A71" s="203">
        <f>Table4[[#This Row],[
ID '#]]</f>
        <v>67</v>
      </c>
      <c r="B71" s="57" t="str">
        <f>IF(Table4[[#This Row],[T ID]]&gt;0,Table4[[#This Row],[T ID]],"")</f>
        <v>T05</v>
      </c>
      <c r="C71" s="195" t="str">
        <f>Table4[[#This Row],[Threat Event(s)]]</f>
        <v>Clearing Track
(TTP)</v>
      </c>
      <c r="D71" s="204" t="str">
        <f>IF(Table4[[#This Row],[V ID]]&gt;0,Table4[[#This Row],[V ID]],"")</f>
        <v>V07</v>
      </c>
      <c r="E71" s="195" t="str">
        <f>Table4[[#This Row],[Vulnerabilities]]</f>
        <v>Lack of configuration controls for IT assets in the informaion system plan</v>
      </c>
      <c r="F71" s="205" t="str">
        <f>IF(Table4[[#This Row],[A ID]]&gt;0,Table4[[#This Row],[A ID]],"")</f>
        <v>A01</v>
      </c>
      <c r="G71" s="195" t="str">
        <f>Table4[[#This Row],[Asset]]</f>
        <v>Tablet Resources - web cam, microphone, OTG devices, Removable USB, Tablet Application,</v>
      </c>
      <c r="H71"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1" s="204" t="str">
        <f>IF(Table4[[#This Row],[Safety Impact 
(Risk ID'# or N/A)]]&gt;0,Table4[[#This Row],[Safety Impact 
(Risk ID'# or N/A)]],"")</f>
        <v/>
      </c>
      <c r="J71" s="199" t="str">
        <f>Table4[[#This Row],[Security 
Risk 
Level]]</f>
        <v>LOW</v>
      </c>
      <c r="K71" s="204" t="str">
        <f>IF(Table4[[#This Row],[Security Risk Control Measures]]&gt;0,Table4[[#This Row],[Security Risk Control Measures]],"")</f>
        <v xml:space="preserve">▪Asset should be behind stateful firewall
•  Use secure tunnel communications channel </v>
      </c>
      <c r="L71" s="202" t="str">
        <f>Table4[[#This Row],[Security Risk LevelP]]</f>
        <v/>
      </c>
      <c r="M71" s="204" t="str">
        <f>IF(Table4[[#This Row],[Residual Security Risk Acceptability Justification]]&gt;0,Table4[[#This Row],[Residual Security Risk Acceptability Justification]],"")</f>
        <v/>
      </c>
      <c r="N71"/>
    </row>
    <row r="72" spans="1:14" s="53" customFormat="1" ht="57" x14ac:dyDescent="0.25">
      <c r="A72" s="203">
        <f>Table4[[#This Row],[
ID '#]]</f>
        <v>68</v>
      </c>
      <c r="B72" s="57" t="str">
        <f>IF(Table4[[#This Row],[T ID]]&gt;0,Table4[[#This Row],[T ID]],"")</f>
        <v>T05</v>
      </c>
      <c r="C72" s="195" t="str">
        <f>Table4[[#This Row],[Threat Event(s)]]</f>
        <v>Clearing Track
(TTP)</v>
      </c>
      <c r="D72" s="204" t="str">
        <f>IF(Table4[[#This Row],[V ID]]&gt;0,Table4[[#This Row],[V ID]],"")</f>
        <v>V07</v>
      </c>
      <c r="E72" s="195" t="str">
        <f>Table4[[#This Row],[Vulnerabilities]]</f>
        <v>Lack of configuration controls for IT assets in the informaion system plan</v>
      </c>
      <c r="F72" s="205" t="str">
        <f>IF(Table4[[#This Row],[A ID]]&gt;0,Table4[[#This Row],[A ID]],"")</f>
        <v>A05</v>
      </c>
      <c r="G72" s="195" t="str">
        <f>Table4[[#This Row],[Asset]]</f>
        <v>Device Maintainence tool (Hardware/Software)</v>
      </c>
      <c r="H72" s="208" t="str">
        <f>IF(Table4[[#This Row],[Impact Description]]&gt;0,Table4[[#This Row],[Impact Description]],"")</f>
        <v/>
      </c>
      <c r="I72" s="204" t="str">
        <f>IF(Table4[[#This Row],[Safety Impact 
(Risk ID'# or N/A)]]&gt;0,Table4[[#This Row],[Safety Impact 
(Risk ID'# or N/A)]],"")</f>
        <v/>
      </c>
      <c r="J72" s="199" t="str">
        <f>Table4[[#This Row],[Security 
Risk 
Level]]</f>
        <v>LOW</v>
      </c>
      <c r="K72" s="204" t="str">
        <f>IF(Table4[[#This Row],[Security Risk Control Measures]]&gt;0,Table4[[#This Row],[Security Risk Control Measures]],"")</f>
        <v xml:space="preserve">▪Asset should be behind stateful firewall
•  Use secure tunnel communications channel </v>
      </c>
      <c r="L72" s="202" t="str">
        <f>Table4[[#This Row],[Security Risk LevelP]]</f>
        <v/>
      </c>
      <c r="M72" s="204" t="str">
        <f>IF(Table4[[#This Row],[Residual Security Risk Acceptability Justification]]&gt;0,Table4[[#This Row],[Residual Security Risk Acceptability Justification]],"")</f>
        <v/>
      </c>
      <c r="N72"/>
    </row>
    <row r="73" spans="1:14" s="53" customFormat="1" ht="128.25" x14ac:dyDescent="0.25">
      <c r="A73" s="203">
        <f>Table4[[#This Row],[
ID '#]]</f>
        <v>69</v>
      </c>
      <c r="B73" s="57" t="str">
        <f>IF(Table4[[#This Row],[T ID]]&gt;0,Table4[[#This Row],[T ID]],"")</f>
        <v>T05</v>
      </c>
      <c r="C73" s="195" t="str">
        <f>Table4[[#This Row],[Threat Event(s)]]</f>
        <v>Clearing Track
(TTP)</v>
      </c>
      <c r="D73" s="204" t="str">
        <f>IF(Table4[[#This Row],[V ID]]&gt;0,Table4[[#This Row],[V ID]],"")</f>
        <v>V08</v>
      </c>
      <c r="E73" s="195" t="str">
        <f>Table4[[#This Row],[Vulnerabilities]]</f>
        <v>Ineffective patch management of firware, OS and applications thoughout the information system plan</v>
      </c>
      <c r="F73" s="205" t="str">
        <f>IF(Table4[[#This Row],[A ID]]&gt;0,Table4[[#This Row],[A ID]],"")</f>
        <v>A01</v>
      </c>
      <c r="G73" s="195" t="str">
        <f>Table4[[#This Row],[Asset]]</f>
        <v>Tablet Resources - web cam, microphone, OTG devices, Removable USB, Tablet Application,</v>
      </c>
      <c r="H73"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3" s="204" t="str">
        <f>IF(Table4[[#This Row],[Safety Impact 
(Risk ID'# or N/A)]]&gt;0,Table4[[#This Row],[Safety Impact 
(Risk ID'# or N/A)]],"")</f>
        <v/>
      </c>
      <c r="J73" s="199" t="str">
        <f>Table4[[#This Row],[Security 
Risk 
Level]]</f>
        <v>MEDIUM</v>
      </c>
      <c r="K73" s="204" t="str">
        <f>IF(Table4[[#This Row],[Security Risk Control Measures]]&gt;0,Table4[[#This Row],[Security Risk Control Measures]],"")</f>
        <v xml:space="preserve">▪Asset should be behind stateful firewall
•  Use secure tunnel communications channel </v>
      </c>
      <c r="L73" s="202" t="str">
        <f>Table4[[#This Row],[Security Risk LevelP]]</f>
        <v/>
      </c>
      <c r="M73" s="204" t="str">
        <f>IF(Table4[[#This Row],[Residual Security Risk Acceptability Justification]]&gt;0,Table4[[#This Row],[Residual Security Risk Acceptability Justification]],"")</f>
        <v/>
      </c>
      <c r="N73"/>
    </row>
    <row r="74" spans="1:14" s="53" customFormat="1" ht="128.25" x14ac:dyDescent="0.25">
      <c r="A74" s="203">
        <f>Table4[[#This Row],[
ID '#]]</f>
        <v>70</v>
      </c>
      <c r="B74" s="57" t="str">
        <f>IF(Table4[[#This Row],[T ID]]&gt;0,Table4[[#This Row],[T ID]],"")</f>
        <v>T05</v>
      </c>
      <c r="C74" s="195" t="str">
        <f>Table4[[#This Row],[Threat Event(s)]]</f>
        <v>Clearing Track
(TTP)</v>
      </c>
      <c r="D74" s="204" t="str">
        <f>IF(Table4[[#This Row],[V ID]]&gt;0,Table4[[#This Row],[V ID]],"")</f>
        <v>V08</v>
      </c>
      <c r="E74" s="195" t="str">
        <f>Table4[[#This Row],[Vulnerabilities]]</f>
        <v>Ineffective patch management of firware, OS and applications thoughout the information system plan</v>
      </c>
      <c r="F74" s="205" t="str">
        <f>IF(Table4[[#This Row],[A ID]]&gt;0,Table4[[#This Row],[A ID]],"")</f>
        <v>A05</v>
      </c>
      <c r="G74" s="195" t="str">
        <f>Table4[[#This Row],[Asset]]</f>
        <v>Device Maintainence tool (Hardware/Software)</v>
      </c>
      <c r="H74"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4" s="204" t="str">
        <f>IF(Table4[[#This Row],[Safety Impact 
(Risk ID'# or N/A)]]&gt;0,Table4[[#This Row],[Safety Impact 
(Risk ID'# or N/A)]],"")</f>
        <v/>
      </c>
      <c r="J74" s="199" t="str">
        <f>Table4[[#This Row],[Security 
Risk 
Level]]</f>
        <v>LOW</v>
      </c>
      <c r="K74" s="204" t="str">
        <f>IF(Table4[[#This Row],[Security Risk Control Measures]]&gt;0,Table4[[#This Row],[Security Risk Control Measures]],"")</f>
        <v xml:space="preserve">▪Asset should be behind stateful firewall
•  Use secure tunnel communications channel </v>
      </c>
      <c r="L74" s="202" t="str">
        <f>Table4[[#This Row],[Security Risk LevelP]]</f>
        <v/>
      </c>
      <c r="M74" s="204" t="str">
        <f>IF(Table4[[#This Row],[Residual Security Risk Acceptability Justification]]&gt;0,Table4[[#This Row],[Residual Security Risk Acceptability Justification]],"")</f>
        <v/>
      </c>
      <c r="N74"/>
    </row>
    <row r="75" spans="1:14" s="53" customFormat="1" ht="128.25" x14ac:dyDescent="0.25">
      <c r="A75" s="203">
        <f>Table4[[#This Row],[
ID '#]]</f>
        <v>71</v>
      </c>
      <c r="B75" s="57" t="str">
        <f>IF(Table4[[#This Row],[T ID]]&gt;0,Table4[[#This Row],[T ID]],"")</f>
        <v>T05</v>
      </c>
      <c r="C75" s="195" t="str">
        <f>Table4[[#This Row],[Threat Event(s)]]</f>
        <v>Clearing Track
(TTP)</v>
      </c>
      <c r="D75" s="204" t="str">
        <f>IF(Table4[[#This Row],[V ID]]&gt;0,Table4[[#This Row],[V ID]],"")</f>
        <v>V08</v>
      </c>
      <c r="E75" s="195" t="str">
        <f>Table4[[#This Row],[Vulnerabilities]]</f>
        <v>Ineffective patch management of firware, OS and applications thoughout the information system plan</v>
      </c>
      <c r="F75" s="205" t="str">
        <f>IF(Table4[[#This Row],[A ID]]&gt;0,Table4[[#This Row],[A ID]],"")</f>
        <v>A02</v>
      </c>
      <c r="G75" s="195" t="str">
        <f>Table4[[#This Row],[Asset]]</f>
        <v>Tablet OS/network details &amp; Tablet Application</v>
      </c>
      <c r="H75"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5" s="204" t="str">
        <f>IF(Table4[[#This Row],[Safety Impact 
(Risk ID'# or N/A)]]&gt;0,Table4[[#This Row],[Safety Impact 
(Risk ID'# or N/A)]],"")</f>
        <v/>
      </c>
      <c r="J75" s="199" t="str">
        <f>Table4[[#This Row],[Security 
Risk 
Level]]</f>
        <v>LOW</v>
      </c>
      <c r="K75" s="204" t="str">
        <f>IF(Table4[[#This Row],[Security Risk Control Measures]]&gt;0,Table4[[#This Row],[Security Risk Control Measures]],"")</f>
        <v xml:space="preserve">▪Asset should be behind stateful firewall
•  Use secure tunnel communications channel </v>
      </c>
      <c r="L75" s="202" t="str">
        <f>Table4[[#This Row],[Security Risk LevelP]]</f>
        <v/>
      </c>
      <c r="M75" s="204" t="str">
        <f>IF(Table4[[#This Row],[Residual Security Risk Acceptability Justification]]&gt;0,Table4[[#This Row],[Residual Security Risk Acceptability Justification]],"")</f>
        <v/>
      </c>
      <c r="N75"/>
    </row>
    <row r="76" spans="1:14" s="53" customFormat="1" ht="128.25" x14ac:dyDescent="0.25">
      <c r="A76" s="203">
        <f>Table4[[#This Row],[
ID '#]]</f>
        <v>72</v>
      </c>
      <c r="B76" s="57" t="str">
        <f>IF(Table4[[#This Row],[T ID]]&gt;0,Table4[[#This Row],[T ID]],"")</f>
        <v>T05</v>
      </c>
      <c r="C76" s="195" t="str">
        <f>Table4[[#This Row],[Threat Event(s)]]</f>
        <v>Clearing Track
(TTP)</v>
      </c>
      <c r="D76" s="204" t="str">
        <f>IF(Table4[[#This Row],[V ID]]&gt;0,Table4[[#This Row],[V ID]],"")</f>
        <v>V10</v>
      </c>
      <c r="E76" s="195" t="str">
        <f>Table4[[#This Row],[Vulnerabilities]]</f>
        <v>The  static connection digaram between devices and applications with provision for periodic updation as per changes</v>
      </c>
      <c r="F76" s="205" t="str">
        <f>IF(Table4[[#This Row],[A ID]]&gt;0,Table4[[#This Row],[A ID]],"")</f>
        <v>A05</v>
      </c>
      <c r="G76" s="195" t="str">
        <f>Table4[[#This Row],[Asset]]</f>
        <v>Device Maintainence tool (Hardware/Software)</v>
      </c>
      <c r="H76" s="208"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76" s="204" t="str">
        <f>IF(Table4[[#This Row],[Safety Impact 
(Risk ID'# or N/A)]]&gt;0,Table4[[#This Row],[Safety Impact 
(Risk ID'# or N/A)]],"")</f>
        <v/>
      </c>
      <c r="J76" s="199" t="str">
        <f>Table4[[#This Row],[Security 
Risk 
Level]]</f>
        <v>LOW</v>
      </c>
      <c r="K76" s="204" t="str">
        <f>IF(Table4[[#This Row],[Security Risk Control Measures]]&gt;0,Table4[[#This Row],[Security Risk Control Measures]],"")</f>
        <v xml:space="preserve">▪Asset should be behind stateful firewall
•  Use secure tunnel communications channel </v>
      </c>
      <c r="L76" s="202" t="str">
        <f>Table4[[#This Row],[Security Risk LevelP]]</f>
        <v/>
      </c>
      <c r="M76" s="204" t="str">
        <f>IF(Table4[[#This Row],[Residual Security Risk Acceptability Justification]]&gt;0,Table4[[#This Row],[Residual Security Risk Acceptability Justification]],"")</f>
        <v/>
      </c>
      <c r="N76"/>
    </row>
    <row r="77" spans="1:14" s="53" customFormat="1" x14ac:dyDescent="0.25">
      <c r="A77" s="203"/>
      <c r="B77" s="204"/>
      <c r="C77" s="195"/>
      <c r="D77" s="204"/>
      <c r="E77" s="195"/>
      <c r="F77" s="205"/>
      <c r="G77" s="195"/>
      <c r="H77" s="208"/>
      <c r="I77" s="204"/>
      <c r="J77" s="199"/>
      <c r="K77" s="204"/>
      <c r="L77" s="202"/>
      <c r="M77" s="204"/>
      <c r="N77"/>
    </row>
    <row r="78" spans="1:14" s="53" customFormat="1" x14ac:dyDescent="0.25">
      <c r="A78" s="203"/>
      <c r="B78" s="204"/>
      <c r="C78" s="195"/>
      <c r="D78" s="204"/>
      <c r="E78" s="195"/>
      <c r="F78" s="205"/>
      <c r="G78" s="195"/>
      <c r="H78" s="208"/>
      <c r="I78" s="204"/>
      <c r="J78" s="199"/>
      <c r="K78" s="204"/>
      <c r="L78" s="202"/>
      <c r="M78" s="204"/>
      <c r="N78"/>
    </row>
    <row r="79" spans="1:14" s="53" customFormat="1" x14ac:dyDescent="0.25">
      <c r="A79" s="203"/>
      <c r="B79" s="204"/>
      <c r="C79" s="195"/>
      <c r="D79" s="204"/>
      <c r="E79" s="195"/>
      <c r="F79" s="205"/>
      <c r="G79" s="195"/>
      <c r="H79" s="208"/>
      <c r="I79" s="204"/>
      <c r="J79" s="199"/>
      <c r="K79" s="204"/>
      <c r="L79" s="202"/>
      <c r="M79" s="204"/>
      <c r="N79"/>
    </row>
    <row r="80" spans="1:14" s="53" customFormat="1" x14ac:dyDescent="0.25">
      <c r="A80" s="203"/>
      <c r="B80" s="204"/>
      <c r="C80" s="195"/>
      <c r="D80" s="204"/>
      <c r="E80" s="195"/>
      <c r="F80" s="205"/>
      <c r="G80" s="195"/>
      <c r="H80" s="208"/>
      <c r="I80" s="204"/>
      <c r="J80" s="199"/>
      <c r="K80" s="204"/>
      <c r="L80" s="202"/>
      <c r="M80" s="204"/>
      <c r="N80"/>
    </row>
    <row r="81" spans="1:14" s="53" customFormat="1" x14ac:dyDescent="0.25">
      <c r="A81" s="203"/>
      <c r="B81" s="204"/>
      <c r="C81" s="195"/>
      <c r="D81" s="204"/>
      <c r="E81" s="195"/>
      <c r="F81" s="205"/>
      <c r="G81" s="195"/>
      <c r="H81" s="208"/>
      <c r="I81" s="204"/>
      <c r="J81" s="199"/>
      <c r="K81" s="204"/>
      <c r="L81" s="202"/>
      <c r="M81" s="204"/>
      <c r="N81"/>
    </row>
    <row r="82" spans="1:14" s="53" customFormat="1" x14ac:dyDescent="0.25">
      <c r="A82" s="203"/>
      <c r="B82" s="204"/>
      <c r="C82" s="195"/>
      <c r="D82" s="204"/>
      <c r="E82" s="195"/>
      <c r="F82" s="205"/>
      <c r="G82" s="195"/>
      <c r="H82" s="208"/>
      <c r="I82" s="204"/>
      <c r="J82" s="199"/>
      <c r="K82" s="204"/>
      <c r="L82" s="202"/>
      <c r="M82" s="204"/>
      <c r="N82"/>
    </row>
    <row r="83" spans="1:14" s="53" customFormat="1" x14ac:dyDescent="0.25">
      <c r="A83" s="203"/>
      <c r="B83" s="204"/>
      <c r="C83" s="195"/>
      <c r="D83" s="204"/>
      <c r="E83" s="195"/>
      <c r="F83" s="205"/>
      <c r="G83" s="195"/>
      <c r="H83" s="208"/>
      <c r="I83" s="204"/>
      <c r="J83" s="199"/>
      <c r="K83" s="204"/>
      <c r="L83" s="202"/>
      <c r="M83" s="204"/>
      <c r="N83"/>
    </row>
    <row r="84" spans="1:14" s="53" customFormat="1" x14ac:dyDescent="0.25">
      <c r="A84" s="69"/>
      <c r="B84" s="57"/>
      <c r="C84" s="49"/>
      <c r="D84" s="59"/>
      <c r="E84" s="49"/>
      <c r="F84" s="59"/>
      <c r="G84" s="49"/>
      <c r="H84" s="49"/>
      <c r="I84" s="59"/>
      <c r="J84" s="87"/>
      <c r="K84" s="59"/>
      <c r="L84" s="157"/>
      <c r="M84" s="59"/>
      <c r="N84"/>
    </row>
    <row r="85" spans="1:14" s="53" customFormat="1" x14ac:dyDescent="0.25">
      <c r="A85"/>
      <c r="B85"/>
      <c r="C85"/>
      <c r="D85"/>
      <c r="E85" s="207"/>
      <c r="F85"/>
      <c r="G85"/>
      <c r="H85"/>
      <c r="I85"/>
      <c r="J85"/>
      <c r="K85"/>
      <c r="L85"/>
      <c r="M85"/>
      <c r="N85"/>
    </row>
    <row r="86" spans="1:14" s="53" customFormat="1" x14ac:dyDescent="0.25">
      <c r="A86" s="24"/>
      <c r="B86" s="24"/>
      <c r="C86" s="25"/>
      <c r="D86" s="24"/>
      <c r="E86" s="209"/>
      <c r="F86" s="24"/>
      <c r="G86" s="24"/>
    </row>
    <row r="87" spans="1:14" s="53" customFormat="1" ht="14.25" x14ac:dyDescent="0.15">
      <c r="A87" s="29" t="s">
        <v>164</v>
      </c>
      <c r="C87" s="62"/>
      <c r="E87" s="32"/>
    </row>
    <row r="88" spans="1:14" s="53" customFormat="1" ht="32.25" customHeight="1" x14ac:dyDescent="0.15">
      <c r="B88" s="275" t="s">
        <v>165</v>
      </c>
      <c r="C88" s="275"/>
      <c r="D88" s="275"/>
      <c r="E88" s="275"/>
      <c r="F88" s="275"/>
      <c r="G88" s="275"/>
      <c r="H88" s="275"/>
    </row>
    <row r="89" spans="1:14" s="53" customFormat="1" x14ac:dyDescent="0.25">
      <c r="A89" s="24"/>
      <c r="B89" s="24"/>
      <c r="C89" s="25"/>
      <c r="D89" s="24"/>
      <c r="E89" s="209"/>
      <c r="F89" s="24"/>
      <c r="G89" s="24"/>
    </row>
    <row r="90" spans="1:14" s="53" customFormat="1" x14ac:dyDescent="0.25">
      <c r="A90" s="24"/>
      <c r="B90" s="24"/>
      <c r="C90" s="25"/>
      <c r="D90" s="24"/>
      <c r="E90" s="209"/>
      <c r="F90" s="24"/>
      <c r="G90" s="24"/>
    </row>
    <row r="91" spans="1:14" s="53" customFormat="1" x14ac:dyDescent="0.25">
      <c r="A91" s="24"/>
      <c r="B91" s="24"/>
      <c r="C91" s="25"/>
      <c r="D91" s="24"/>
      <c r="E91" s="209"/>
      <c r="F91" s="24"/>
      <c r="G91" s="24"/>
    </row>
    <row r="92" spans="1:14" s="53" customFormat="1" ht="32.25" customHeight="1" x14ac:dyDescent="0.15">
      <c r="A92" s="24"/>
      <c r="B92" s="24"/>
      <c r="C92" s="25"/>
      <c r="D92" s="24"/>
      <c r="E92" s="209"/>
      <c r="F92" s="24"/>
      <c r="G92" s="24"/>
      <c r="H92" s="185"/>
    </row>
  </sheetData>
  <mergeCells count="1">
    <mergeCell ref="B88:H88"/>
  </mergeCells>
  <conditionalFormatting sqref="L5:L84 J5:J84">
    <cfRule type="cellIs" dxfId="50" priority="1" operator="equal">
      <formula>"Critical"</formula>
    </cfRule>
    <cfRule type="cellIs" dxfId="49" priority="2" operator="equal">
      <formula>"HIGH"</formula>
    </cfRule>
    <cfRule type="cellIs" dxfId="48" priority="3" operator="equal">
      <formula>"Medium"</formula>
    </cfRule>
    <cfRule type="cellIs" dxfId="47" priority="4" operator="equal">
      <formula>"None"</formula>
    </cfRule>
    <cfRule type="cellIs" dxfId="46" priority="5"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30"/>
  <sheetViews>
    <sheetView zoomScaleNormal="100" workbookViewId="0">
      <selection activeCell="B6" sqref="B6"/>
    </sheetView>
  </sheetViews>
  <sheetFormatPr defaultColWidth="9.140625" defaultRowHeight="15" x14ac:dyDescent="0.25"/>
  <cols>
    <col min="1" max="1" width="2.28515625" customWidth="1"/>
    <col min="2" max="2" width="15.28515625" customWidth="1"/>
    <col min="4" max="4" width="5.28515625" customWidth="1"/>
    <col min="7" max="7" width="5.42578125" customWidth="1"/>
    <col min="11" max="11" width="5.28515625" customWidth="1"/>
    <col min="14" max="14" width="5.140625" customWidth="1"/>
    <col min="16" max="16" width="13.85546875" customWidth="1"/>
    <col min="17" max="17" width="11" customWidth="1"/>
    <col min="18" max="18" width="17" customWidth="1"/>
  </cols>
  <sheetData>
    <row r="1" spans="2:18" s="75" customFormat="1" ht="27.75" customHeight="1" x14ac:dyDescent="0.2">
      <c r="B1" s="90" t="s">
        <v>159</v>
      </c>
    </row>
    <row r="2" spans="2:18" s="75" customFormat="1" thickBot="1" x14ac:dyDescent="0.25"/>
    <row r="3" spans="2:18" s="75" customFormat="1" ht="18.75" thickBot="1" x14ac:dyDescent="0.3">
      <c r="B3" s="286" t="s">
        <v>82</v>
      </c>
      <c r="C3" s="287"/>
      <c r="D3" s="287"/>
      <c r="E3" s="287"/>
      <c r="F3" s="287"/>
      <c r="G3" s="287"/>
      <c r="H3" s="287"/>
      <c r="I3" s="287"/>
      <c r="J3" s="287"/>
      <c r="K3" s="287"/>
      <c r="L3" s="287"/>
      <c r="M3" s="287"/>
      <c r="N3" s="288"/>
      <c r="P3" s="286" t="s">
        <v>67</v>
      </c>
      <c r="Q3" s="287"/>
      <c r="R3" s="288"/>
    </row>
    <row r="4" spans="2:18" s="75" customFormat="1" ht="16.5" thickBot="1" x14ac:dyDescent="0.25">
      <c r="B4" s="293" t="s">
        <v>83</v>
      </c>
      <c r="C4" s="294"/>
      <c r="D4" s="295"/>
      <c r="E4" s="293" t="s">
        <v>84</v>
      </c>
      <c r="F4" s="294"/>
      <c r="G4" s="295"/>
      <c r="H4" s="293" t="s">
        <v>85</v>
      </c>
      <c r="I4" s="294"/>
      <c r="J4" s="294"/>
      <c r="K4" s="295"/>
      <c r="L4" s="296" t="s">
        <v>86</v>
      </c>
      <c r="M4" s="297"/>
      <c r="N4" s="298"/>
      <c r="P4" s="91"/>
      <c r="Q4" s="92" t="s">
        <v>133</v>
      </c>
      <c r="R4" s="93" t="s">
        <v>74</v>
      </c>
    </row>
    <row r="5" spans="2:18" s="75" customFormat="1" ht="16.5" thickBot="1" x14ac:dyDescent="0.25">
      <c r="B5" s="94" t="s">
        <v>87</v>
      </c>
      <c r="C5" s="94" t="s">
        <v>88</v>
      </c>
      <c r="D5" s="94" t="s">
        <v>89</v>
      </c>
      <c r="E5" s="94" t="s">
        <v>90</v>
      </c>
      <c r="F5" s="94" t="s">
        <v>88</v>
      </c>
      <c r="G5" s="94" t="s">
        <v>89</v>
      </c>
      <c r="H5" s="94" t="s">
        <v>87</v>
      </c>
      <c r="I5" s="300" t="s">
        <v>88</v>
      </c>
      <c r="J5" s="301"/>
      <c r="K5" s="94" t="s">
        <v>89</v>
      </c>
      <c r="L5" s="94" t="s">
        <v>87</v>
      </c>
      <c r="M5" s="94" t="s">
        <v>88</v>
      </c>
      <c r="N5" s="94" t="s">
        <v>89</v>
      </c>
      <c r="P5" s="95"/>
      <c r="Q5" s="96" t="s">
        <v>50</v>
      </c>
      <c r="R5" s="97">
        <v>0.04</v>
      </c>
    </row>
    <row r="6" spans="2:18" s="75" customFormat="1" ht="15.75" x14ac:dyDescent="0.2">
      <c r="B6" s="98" t="s">
        <v>79</v>
      </c>
      <c r="C6" s="99">
        <v>0.85</v>
      </c>
      <c r="D6" s="100" t="s">
        <v>59</v>
      </c>
      <c r="E6" s="98" t="s">
        <v>57</v>
      </c>
      <c r="F6" s="99">
        <v>0.77</v>
      </c>
      <c r="G6" s="101" t="s">
        <v>91</v>
      </c>
      <c r="H6" s="98" t="s">
        <v>78</v>
      </c>
      <c r="I6" s="102">
        <v>0.85</v>
      </c>
      <c r="J6" s="103">
        <v>0.85</v>
      </c>
      <c r="K6" s="100" t="s">
        <v>59</v>
      </c>
      <c r="L6" s="98" t="s">
        <v>78</v>
      </c>
      <c r="M6" s="104">
        <v>0.85</v>
      </c>
      <c r="N6" s="105" t="s">
        <v>59</v>
      </c>
      <c r="P6" s="95"/>
      <c r="Q6" s="106" t="s">
        <v>57</v>
      </c>
      <c r="R6" s="107">
        <v>0.2</v>
      </c>
    </row>
    <row r="7" spans="2:18" s="75" customFormat="1" ht="15.75" x14ac:dyDescent="0.2">
      <c r="B7" s="98" t="s">
        <v>81</v>
      </c>
      <c r="C7" s="108">
        <v>0.62</v>
      </c>
      <c r="D7" s="100" t="s">
        <v>92</v>
      </c>
      <c r="E7" s="98" t="s">
        <v>66</v>
      </c>
      <c r="F7" s="108">
        <v>0.44</v>
      </c>
      <c r="G7" s="101" t="s">
        <v>93</v>
      </c>
      <c r="H7" s="98" t="s">
        <v>57</v>
      </c>
      <c r="I7" s="109">
        <v>0.62</v>
      </c>
      <c r="J7" s="103">
        <v>0.68</v>
      </c>
      <c r="K7" s="100" t="s">
        <v>91</v>
      </c>
      <c r="L7" s="98" t="s">
        <v>77</v>
      </c>
      <c r="M7" s="110">
        <v>0.62</v>
      </c>
      <c r="N7" s="105" t="s">
        <v>94</v>
      </c>
      <c r="P7" s="95"/>
      <c r="Q7" s="111" t="s">
        <v>56</v>
      </c>
      <c r="R7" s="107">
        <v>0.5</v>
      </c>
    </row>
    <row r="8" spans="2:18" s="75" customFormat="1" ht="15.75" x14ac:dyDescent="0.2">
      <c r="B8" s="98" t="s">
        <v>80</v>
      </c>
      <c r="C8" s="108">
        <v>0.55000000000000004</v>
      </c>
      <c r="D8" s="100" t="s">
        <v>91</v>
      </c>
      <c r="E8" s="98"/>
      <c r="F8" s="108"/>
      <c r="G8" s="100"/>
      <c r="H8" s="98" t="s">
        <v>66</v>
      </c>
      <c r="I8" s="109">
        <v>0.27</v>
      </c>
      <c r="J8" s="103">
        <v>0.5</v>
      </c>
      <c r="K8" s="100" t="s">
        <v>93</v>
      </c>
      <c r="L8" s="98"/>
      <c r="M8" s="103"/>
      <c r="N8" s="105"/>
      <c r="P8" s="95"/>
      <c r="Q8" s="112" t="s">
        <v>66</v>
      </c>
      <c r="R8" s="107">
        <v>0.8</v>
      </c>
    </row>
    <row r="9" spans="2:18" s="75" customFormat="1" ht="15.75" x14ac:dyDescent="0.2">
      <c r="B9" s="98" t="s">
        <v>76</v>
      </c>
      <c r="C9" s="108">
        <v>0.2</v>
      </c>
      <c r="D9" s="105" t="s">
        <v>95</v>
      </c>
      <c r="E9" s="129"/>
      <c r="F9" s="128"/>
      <c r="G9" s="184"/>
      <c r="H9" s="98"/>
      <c r="I9" s="109"/>
      <c r="J9" s="103"/>
      <c r="K9" s="105"/>
      <c r="L9" s="98"/>
      <c r="M9" s="103"/>
      <c r="N9" s="105"/>
      <c r="P9" s="95"/>
      <c r="Q9" s="122" t="s">
        <v>106</v>
      </c>
      <c r="R9" s="107">
        <v>1</v>
      </c>
    </row>
    <row r="10" spans="2:18" s="75" customFormat="1" ht="16.5" thickBot="1" x14ac:dyDescent="0.25">
      <c r="B10" s="113"/>
      <c r="C10" s="114"/>
      <c r="D10" s="115"/>
      <c r="E10" s="116"/>
      <c r="F10" s="117"/>
      <c r="G10" s="118"/>
      <c r="H10" s="113"/>
      <c r="I10" s="119"/>
      <c r="J10" s="120"/>
      <c r="K10" s="115"/>
      <c r="L10" s="113"/>
      <c r="M10" s="120"/>
      <c r="N10" s="115"/>
      <c r="P10" s="121"/>
      <c r="R10" s="107"/>
    </row>
    <row r="11" spans="2:18" s="75" customFormat="1" thickBot="1" x14ac:dyDescent="0.25"/>
    <row r="12" spans="2:18" s="75" customFormat="1" ht="18.75" thickBot="1" x14ac:dyDescent="0.3">
      <c r="B12" s="286" t="s">
        <v>96</v>
      </c>
      <c r="C12" s="287"/>
      <c r="D12" s="287"/>
      <c r="E12" s="287"/>
      <c r="F12" s="287"/>
      <c r="G12" s="287"/>
      <c r="H12" s="287"/>
      <c r="I12" s="287"/>
      <c r="J12" s="287"/>
      <c r="K12" s="287"/>
      <c r="L12" s="287"/>
      <c r="M12" s="287"/>
      <c r="N12" s="288"/>
      <c r="P12" s="160" t="s">
        <v>170</v>
      </c>
      <c r="Q12" s="124" t="s">
        <v>131</v>
      </c>
    </row>
    <row r="13" spans="2:18" s="75" customFormat="1" ht="16.5" thickBot="1" x14ac:dyDescent="0.25">
      <c r="B13" s="289" t="s">
        <v>97</v>
      </c>
      <c r="C13" s="290"/>
      <c r="D13" s="290"/>
      <c r="E13" s="290"/>
      <c r="F13" s="290"/>
      <c r="G13" s="291"/>
      <c r="H13" s="290"/>
      <c r="I13" s="290"/>
      <c r="J13" s="290"/>
      <c r="K13" s="290"/>
      <c r="L13" s="290"/>
      <c r="M13" s="290"/>
      <c r="N13" s="292"/>
      <c r="P13" s="98"/>
      <c r="Q13" s="103" t="s">
        <v>171</v>
      </c>
    </row>
    <row r="14" spans="2:18" s="75" customFormat="1" thickBot="1" x14ac:dyDescent="0.25">
      <c r="B14" s="94" t="s">
        <v>87</v>
      </c>
      <c r="C14" s="94" t="s">
        <v>88</v>
      </c>
      <c r="D14" s="94" t="s">
        <v>89</v>
      </c>
      <c r="E14" s="123"/>
      <c r="F14" s="123"/>
      <c r="G14" s="123"/>
      <c r="H14" s="123"/>
      <c r="I14" s="123"/>
      <c r="J14" s="123"/>
      <c r="K14" s="123"/>
      <c r="L14" s="123"/>
      <c r="M14" s="123"/>
      <c r="N14" s="124"/>
      <c r="P14" s="113"/>
      <c r="Q14" s="120"/>
    </row>
    <row r="15" spans="2:18" s="75" customFormat="1" ht="17.25" x14ac:dyDescent="0.3">
      <c r="B15" s="125" t="s">
        <v>78</v>
      </c>
      <c r="C15" s="99">
        <v>0</v>
      </c>
      <c r="D15" s="126" t="s">
        <v>59</v>
      </c>
      <c r="E15" s="127" t="s">
        <v>166</v>
      </c>
      <c r="F15" s="128"/>
      <c r="G15" s="128"/>
      <c r="H15" s="128"/>
      <c r="J15" s="128"/>
      <c r="K15" s="128"/>
      <c r="L15" s="128"/>
      <c r="M15" s="128"/>
      <c r="N15" s="103"/>
    </row>
    <row r="16" spans="2:18" s="75" customFormat="1" ht="14.25" x14ac:dyDescent="0.2">
      <c r="B16" s="129" t="s">
        <v>57</v>
      </c>
      <c r="C16" s="108">
        <v>0.22</v>
      </c>
      <c r="D16" s="130" t="s">
        <v>91</v>
      </c>
      <c r="E16" s="128"/>
      <c r="F16" s="128"/>
      <c r="G16" s="128"/>
      <c r="H16" s="128"/>
      <c r="I16" s="128"/>
      <c r="J16" s="128"/>
      <c r="K16" s="128"/>
      <c r="L16" s="128"/>
      <c r="M16" s="128"/>
      <c r="N16" s="103"/>
    </row>
    <row r="17" spans="2:17" s="75" customFormat="1" ht="14.25" x14ac:dyDescent="0.2">
      <c r="B17" s="129" t="s">
        <v>66</v>
      </c>
      <c r="C17" s="108">
        <v>0.56000000000000005</v>
      </c>
      <c r="D17" s="130" t="s">
        <v>93</v>
      </c>
      <c r="E17" s="128"/>
      <c r="F17" s="128"/>
      <c r="G17" s="128"/>
      <c r="H17" s="128"/>
      <c r="I17" s="128"/>
      <c r="J17" s="128"/>
      <c r="K17" s="128"/>
      <c r="L17" s="128"/>
      <c r="M17" s="128"/>
      <c r="N17" s="103"/>
    </row>
    <row r="18" spans="2:17" s="75" customFormat="1" thickBot="1" x14ac:dyDescent="0.25">
      <c r="B18" s="116"/>
      <c r="C18" s="114"/>
      <c r="D18" s="131"/>
      <c r="E18" s="117"/>
      <c r="F18" s="117"/>
      <c r="G18" s="117"/>
      <c r="H18" s="117"/>
      <c r="I18" s="117"/>
      <c r="J18" s="117"/>
      <c r="K18" s="117"/>
      <c r="L18" s="117"/>
      <c r="M18" s="117"/>
      <c r="N18" s="120"/>
    </row>
    <row r="19" spans="2:17" s="75" customFormat="1" thickBot="1" x14ac:dyDescent="0.25"/>
    <row r="20" spans="2:17" s="75" customFormat="1" ht="18.75" thickBot="1" x14ac:dyDescent="0.3">
      <c r="B20" s="286" t="s">
        <v>70</v>
      </c>
      <c r="C20" s="287"/>
      <c r="D20" s="287"/>
      <c r="E20" s="287"/>
      <c r="F20" s="287"/>
      <c r="G20" s="287"/>
      <c r="H20" s="287"/>
      <c r="I20" s="287"/>
      <c r="J20" s="287"/>
      <c r="K20" s="287"/>
      <c r="L20" s="287"/>
      <c r="M20" s="287"/>
      <c r="N20" s="288"/>
    </row>
    <row r="21" spans="2:17" s="75" customFormat="1" ht="42.6" customHeight="1" thickBot="1" x14ac:dyDescent="0.25">
      <c r="B21" s="132" t="s">
        <v>75</v>
      </c>
      <c r="C21" s="302" t="s">
        <v>98</v>
      </c>
      <c r="D21" s="303"/>
      <c r="E21" s="303"/>
      <c r="F21" s="303"/>
      <c r="G21" s="303"/>
      <c r="H21" s="303"/>
      <c r="I21" s="303"/>
      <c r="J21" s="303"/>
      <c r="K21" s="303"/>
      <c r="L21" s="303"/>
      <c r="M21" s="304"/>
      <c r="N21" s="133" t="s">
        <v>99</v>
      </c>
    </row>
    <row r="22" spans="2:17" s="75" customFormat="1" ht="43.9" customHeight="1" thickBot="1" x14ac:dyDescent="0.25">
      <c r="B22" s="134" t="s">
        <v>100</v>
      </c>
      <c r="C22" s="305" t="s">
        <v>101</v>
      </c>
      <c r="D22" s="303"/>
      <c r="E22" s="303"/>
      <c r="F22" s="303"/>
      <c r="G22" s="303"/>
      <c r="H22" s="303"/>
      <c r="I22" s="303"/>
      <c r="J22" s="303"/>
      <c r="K22" s="303"/>
      <c r="L22" s="303"/>
      <c r="M22" s="304"/>
      <c r="N22" s="135" t="s">
        <v>102</v>
      </c>
      <c r="O22" s="136"/>
      <c r="P22" s="136"/>
      <c r="Q22" s="136"/>
    </row>
    <row r="23" spans="2:17" s="75" customFormat="1" ht="16.5" thickBot="1" x14ac:dyDescent="0.25">
      <c r="B23" s="134"/>
      <c r="C23" s="305"/>
      <c r="D23" s="303"/>
      <c r="E23" s="303"/>
      <c r="F23" s="303"/>
      <c r="G23" s="303"/>
      <c r="H23" s="303"/>
      <c r="I23" s="303"/>
      <c r="J23" s="303"/>
      <c r="K23" s="303"/>
      <c r="L23" s="303"/>
      <c r="M23" s="304"/>
      <c r="N23" s="135"/>
    </row>
    <row r="24" spans="2:17" s="75" customFormat="1" ht="14.25" x14ac:dyDescent="0.2"/>
    <row r="25" spans="2:17" s="75" customFormat="1" ht="14.25" x14ac:dyDescent="0.2">
      <c r="B25" s="75" t="s">
        <v>103</v>
      </c>
    </row>
    <row r="26" spans="2:17" s="75" customFormat="1" ht="262.5" customHeight="1" x14ac:dyDescent="0.2">
      <c r="B26" s="53" t="s">
        <v>104</v>
      </c>
      <c r="C26" s="299" t="s">
        <v>105</v>
      </c>
      <c r="D26" s="299"/>
      <c r="E26" s="299"/>
      <c r="F26" s="299"/>
      <c r="G26" s="299"/>
      <c r="H26" s="299"/>
      <c r="I26" s="299"/>
      <c r="J26" s="299"/>
    </row>
    <row r="29" spans="2:17" x14ac:dyDescent="0.25">
      <c r="B29" s="29" t="s">
        <v>164</v>
      </c>
    </row>
    <row r="30" spans="2:17" ht="48" customHeight="1" x14ac:dyDescent="0.25">
      <c r="C30" s="275" t="s">
        <v>165</v>
      </c>
      <c r="D30" s="275"/>
      <c r="E30" s="275"/>
      <c r="F30" s="275"/>
      <c r="G30" s="275"/>
      <c r="H30" s="275"/>
      <c r="I30" s="275"/>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B16" sqref="B16"/>
    </sheetView>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53" customFormat="1" ht="14.25" x14ac:dyDescent="0.25">
      <c r="A1" s="90" t="s">
        <v>160</v>
      </c>
      <c r="C1" s="62"/>
    </row>
    <row r="2" spans="1:8" s="53" customFormat="1" thickBot="1" x14ac:dyDescent="0.3">
      <c r="C2" s="62"/>
    </row>
    <row r="3" spans="1:8" s="53" customFormat="1" thickBot="1" x14ac:dyDescent="0.3">
      <c r="A3" s="306" t="s">
        <v>25</v>
      </c>
      <c r="B3" s="307"/>
      <c r="C3" s="307"/>
      <c r="E3" s="308" t="s">
        <v>27</v>
      </c>
      <c r="F3" s="309"/>
      <c r="G3" s="309"/>
    </row>
    <row r="4" spans="1:8" s="53" customFormat="1" ht="14.25" x14ac:dyDescent="0.25">
      <c r="A4" s="137" t="s">
        <v>41</v>
      </c>
      <c r="B4" s="138" t="s">
        <v>16</v>
      </c>
      <c r="C4" s="139" t="s">
        <v>26</v>
      </c>
      <c r="E4" s="140" t="s">
        <v>41</v>
      </c>
      <c r="F4" s="141" t="s">
        <v>28</v>
      </c>
      <c r="G4" s="142" t="s">
        <v>26</v>
      </c>
    </row>
    <row r="5" spans="1:8" s="53" customFormat="1" ht="57" x14ac:dyDescent="0.25">
      <c r="A5" s="143" t="s">
        <v>48</v>
      </c>
      <c r="B5" s="144" t="s">
        <v>29</v>
      </c>
      <c r="C5" s="145" t="s">
        <v>58</v>
      </c>
      <c r="E5" s="143" t="s">
        <v>60</v>
      </c>
      <c r="F5" s="146" t="s">
        <v>35</v>
      </c>
      <c r="G5" s="147" t="s">
        <v>58</v>
      </c>
    </row>
    <row r="6" spans="1:8" s="53" customFormat="1" ht="28.5" x14ac:dyDescent="0.25">
      <c r="A6" s="42" t="s">
        <v>51</v>
      </c>
      <c r="B6" s="144" t="s">
        <v>30</v>
      </c>
      <c r="C6" s="145" t="s">
        <v>58</v>
      </c>
      <c r="E6" s="42" t="s">
        <v>61</v>
      </c>
      <c r="F6" s="146" t="s">
        <v>36</v>
      </c>
      <c r="G6" s="148" t="s">
        <v>58</v>
      </c>
    </row>
    <row r="7" spans="1:8" s="53" customFormat="1" ht="42.75" x14ac:dyDescent="0.25">
      <c r="A7" s="42" t="s">
        <v>52</v>
      </c>
      <c r="B7" s="144" t="s">
        <v>31</v>
      </c>
      <c r="C7" s="145" t="s">
        <v>58</v>
      </c>
      <c r="E7" s="42" t="s">
        <v>62</v>
      </c>
      <c r="F7" s="146" t="s">
        <v>37</v>
      </c>
      <c r="G7" s="148" t="s">
        <v>58</v>
      </c>
    </row>
    <row r="8" spans="1:8" s="53" customFormat="1" ht="28.5" x14ac:dyDescent="0.25">
      <c r="A8" s="149" t="s">
        <v>53</v>
      </c>
      <c r="B8" s="150" t="s">
        <v>32</v>
      </c>
      <c r="C8" s="145" t="s">
        <v>59</v>
      </c>
      <c r="E8" s="42" t="s">
        <v>63</v>
      </c>
      <c r="F8" s="146" t="s">
        <v>38</v>
      </c>
      <c r="G8" s="148" t="s">
        <v>58</v>
      </c>
    </row>
    <row r="9" spans="1:8" s="53" customFormat="1" ht="42.75" x14ac:dyDescent="0.25">
      <c r="A9" s="149" t="s">
        <v>54</v>
      </c>
      <c r="B9" s="150" t="s">
        <v>33</v>
      </c>
      <c r="C9" s="145" t="s">
        <v>59</v>
      </c>
      <c r="E9" s="42" t="s">
        <v>64</v>
      </c>
      <c r="F9" s="146" t="s">
        <v>39</v>
      </c>
      <c r="G9" s="148" t="s">
        <v>58</v>
      </c>
    </row>
    <row r="10" spans="1:8" s="53" customFormat="1" ht="57" x14ac:dyDescent="0.25">
      <c r="A10" s="151" t="s">
        <v>55</v>
      </c>
      <c r="B10" s="152" t="s">
        <v>34</v>
      </c>
      <c r="C10" s="153" t="s">
        <v>59</v>
      </c>
      <c r="E10" s="154" t="s">
        <v>65</v>
      </c>
      <c r="F10" s="155" t="s">
        <v>40</v>
      </c>
      <c r="G10" s="156" t="s">
        <v>59</v>
      </c>
    </row>
    <row r="11" spans="1:8" s="53" customFormat="1" ht="14.25" x14ac:dyDescent="0.25">
      <c r="C11" s="62"/>
    </row>
    <row r="12" spans="1:8" s="53" customFormat="1" ht="14.25" x14ac:dyDescent="0.25">
      <c r="C12" s="62"/>
    </row>
    <row r="13" spans="1:8" s="53" customFormat="1" ht="14.25" x14ac:dyDescent="0.25">
      <c r="C13" s="62"/>
    </row>
    <row r="14" spans="1:8" s="53" customFormat="1" ht="14.25" x14ac:dyDescent="0.15">
      <c r="A14" s="29" t="s">
        <v>164</v>
      </c>
      <c r="C14" s="62"/>
    </row>
    <row r="15" spans="1:8" s="53" customFormat="1" ht="32.25" customHeight="1" x14ac:dyDescent="0.15">
      <c r="B15" s="275" t="s">
        <v>165</v>
      </c>
      <c r="C15" s="275"/>
      <c r="D15" s="275"/>
      <c r="E15" s="275"/>
      <c r="F15" s="275"/>
      <c r="G15" s="275"/>
      <c r="H15" s="275"/>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7109375" customWidth="1"/>
    <col min="6" max="6" width="16.28515625" customWidth="1"/>
    <col min="7" max="7" width="20.140625" customWidth="1"/>
    <col min="8" max="8" width="20.28515625" customWidth="1"/>
  </cols>
  <sheetData>
    <row r="1" spans="1:8" x14ac:dyDescent="0.25">
      <c r="A1" s="310" t="s">
        <v>20</v>
      </c>
      <c r="B1" s="310"/>
      <c r="C1" s="310"/>
      <c r="D1" s="310"/>
      <c r="E1" s="310"/>
      <c r="F1" s="310"/>
      <c r="G1" s="310"/>
      <c r="H1" s="310"/>
    </row>
    <row r="2" spans="1:8" ht="60" x14ac:dyDescent="0.25">
      <c r="A2" s="12" t="s">
        <v>21</v>
      </c>
      <c r="B2" s="12" t="s">
        <v>24</v>
      </c>
      <c r="C2" s="12" t="s">
        <v>22</v>
      </c>
      <c r="D2" s="13" t="s">
        <v>16</v>
      </c>
      <c r="E2" s="21" t="s">
        <v>42</v>
      </c>
      <c r="F2" s="14" t="s">
        <v>43</v>
      </c>
      <c r="G2" s="14" t="s">
        <v>44</v>
      </c>
      <c r="H2" s="14" t="s">
        <v>23</v>
      </c>
    </row>
    <row r="3" spans="1:8" s="19" customFormat="1" ht="48" x14ac:dyDescent="0.25">
      <c r="A3" s="15" t="s">
        <v>45</v>
      </c>
      <c r="B3" s="16" t="s">
        <v>46</v>
      </c>
      <c r="C3" s="16" t="s">
        <v>47</v>
      </c>
      <c r="D3" s="17" t="s">
        <v>48</v>
      </c>
      <c r="E3" s="22" t="s">
        <v>49</v>
      </c>
      <c r="F3" s="18" t="s">
        <v>50</v>
      </c>
      <c r="G3" s="18" t="s">
        <v>50</v>
      </c>
      <c r="H3" s="20" t="s">
        <v>50</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formula1>"Very High, High, Moderate, Low, Very Low"</formula1>
    </dataValidation>
    <dataValidation type="list" allowBlank="1" showInputMessage="1" showErrorMessage="1" sqref="E3">
      <formula1>"Confirmed, Expected, Anticipated, Predicted, Possible, N/A"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H13" sqref="H13"/>
    </sheetView>
  </sheetViews>
  <sheetFormatPr defaultColWidth="9.140625" defaultRowHeight="15" x14ac:dyDescent="0.25"/>
  <cols>
    <col min="1" max="1" width="27.7109375" customWidth="1"/>
    <col min="2" max="2" width="102.140625" customWidth="1"/>
  </cols>
  <sheetData>
    <row r="1" spans="1:2" ht="19.5" thickBot="1" x14ac:dyDescent="0.3">
      <c r="A1" s="3"/>
      <c r="B1" s="4"/>
    </row>
    <row r="2" spans="1:2" ht="19.5" thickBot="1" x14ac:dyDescent="0.3">
      <c r="A2" s="5" t="s">
        <v>18</v>
      </c>
      <c r="B2" s="6" t="s">
        <v>19</v>
      </c>
    </row>
    <row r="3" spans="1:2" ht="19.5" thickBot="1" x14ac:dyDescent="0.3">
      <c r="A3" s="7"/>
      <c r="B3" s="8"/>
    </row>
    <row r="4" spans="1:2" x14ac:dyDescent="0.25">
      <c r="A4" s="311"/>
      <c r="B4" s="9"/>
    </row>
    <row r="5" spans="1:2" x14ac:dyDescent="0.25">
      <c r="A5" s="312"/>
      <c r="B5" s="10"/>
    </row>
    <row r="6" spans="1:2" x14ac:dyDescent="0.25">
      <c r="A6" s="312"/>
      <c r="B6" s="10"/>
    </row>
    <row r="7" spans="1:2" ht="15.75" thickBot="1" x14ac:dyDescent="0.3">
      <c r="A7" s="313"/>
      <c r="B7" s="11"/>
    </row>
    <row r="8" spans="1:2" ht="19.5" thickBot="1" x14ac:dyDescent="0.3">
      <c r="A8" s="3"/>
      <c r="B8" s="4"/>
    </row>
    <row r="9" spans="1:2" x14ac:dyDescent="0.25">
      <c r="A9" s="311"/>
      <c r="B9" s="9"/>
    </row>
    <row r="10" spans="1:2" x14ac:dyDescent="0.25">
      <c r="A10" s="312"/>
      <c r="B10" s="10"/>
    </row>
    <row r="11" spans="1:2" x14ac:dyDescent="0.25">
      <c r="A11" s="312"/>
      <c r="B11" s="10"/>
    </row>
    <row r="12" spans="1:2" x14ac:dyDescent="0.25">
      <c r="A12" s="312"/>
      <c r="B12" s="10"/>
    </row>
    <row r="13" spans="1:2" ht="15.75" thickBot="1" x14ac:dyDescent="0.3">
      <c r="A13" s="313"/>
      <c r="B13" s="11"/>
    </row>
  </sheetData>
  <mergeCells count="2">
    <mergeCell ref="A4:A7"/>
    <mergeCell ref="A9:A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663BCAEFF285478CCB19485035D25B" ma:contentTypeVersion="2" ma:contentTypeDescription="Create a new document." ma:contentTypeScope="" ma:versionID="40a457a9a8ae7e4d30f2856779b60ee9">
  <xsd:schema xmlns:xsd="http://www.w3.org/2001/XMLSchema" xmlns:xs="http://www.w3.org/2001/XMLSchema" xmlns:p="http://schemas.microsoft.com/office/2006/metadata/properties" xmlns:ns2="f2d8b341-c2fb-4100-be3a-cc1ff4af97bd" targetNamespace="http://schemas.microsoft.com/office/2006/metadata/properties" ma:root="true" ma:fieldsID="720f323119dbbd08dc253d42adc2a2d3" ns2:_="">
    <xsd:import namespace="f2d8b341-c2fb-4100-be3a-cc1ff4af97b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d8b341-c2fb-4100-be3a-cc1ff4af97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7A5100-0A0E-47AB-B112-8934D4A660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d8b341-c2fb-4100-be3a-cc1ff4af9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AF7F02-150C-44AA-ACFE-3054112CF8E2}">
  <ds:schemaRefs>
    <ds:schemaRef ds:uri="http://www.w3.org/XML/1998/namespace"/>
    <ds:schemaRef ds:uri="http://schemas.microsoft.com/office/infopath/2007/PartnerControl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03667C78-2767-48FE-B183-28F119783D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Campana, Jose</dc:creator>
  <cp:lastModifiedBy>Sai Praneetha Bhaskaruni</cp:lastModifiedBy>
  <cp:lastPrinted>2018-12-18T12:40:04Z</cp:lastPrinted>
  <dcterms:created xsi:type="dcterms:W3CDTF">2017-03-06T20:58:36Z</dcterms:created>
  <dcterms:modified xsi:type="dcterms:W3CDTF">2022-02-02T05:52:44Z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0x010100F9663BCAEFF285478CCB19485035D25B</vt:lpwstr>
  </property>
</Properties>
</file>