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showInkAnnotation="0"/>
  <mc:AlternateContent xmlns:mc="http://schemas.openxmlformats.org/markup-compatibility/2006">
    <mc:Choice Requires="x15">
      <x15ac:absPath xmlns:x15ac="http://schemas.microsoft.com/office/spreadsheetml/2010/11/ac" url="D:\Stryker\Smart Medic\"/>
    </mc:Choice>
  </mc:AlternateContent>
  <xr:revisionPtr revIDLastSave="0" documentId="13_ncr:1_{021B4E10-662D-4D2F-9663-232A4CC84DE9}" xr6:coauthVersionLast="47" xr6:coauthVersionMax="47" xr10:uidLastSave="{00000000-0000-0000-0000-000000000000}"/>
  <bookViews>
    <workbookView xWindow="-110" yWindow="-110" windowWidth="19420" windowHeight="10420" tabRatio="89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4" i="12" l="1"/>
  <c r="E104" i="12"/>
  <c r="G104" i="12"/>
  <c r="R104" i="12"/>
  <c r="S104" i="12"/>
  <c r="T104" i="12" s="1"/>
  <c r="W104" i="12"/>
  <c r="AK104" i="12"/>
  <c r="AL104" i="12"/>
  <c r="AM104" i="12"/>
  <c r="AN104" i="12" s="1"/>
  <c r="C103" i="12"/>
  <c r="E103" i="12"/>
  <c r="G103" i="12"/>
  <c r="R103" i="12"/>
  <c r="S103" i="12"/>
  <c r="T103" i="12" s="1"/>
  <c r="W103" i="12"/>
  <c r="AK103" i="12"/>
  <c r="AL103" i="12"/>
  <c r="AM103" i="12"/>
  <c r="AN103" i="12" s="1"/>
  <c r="E20" i="12"/>
  <c r="U104" i="12" l="1"/>
  <c r="X103" i="12"/>
  <c r="Y103" i="12" s="1"/>
  <c r="X104" i="12"/>
  <c r="Y104" i="12" s="1"/>
  <c r="U103" i="12"/>
  <c r="AO104" i="12"/>
  <c r="AP104" i="12" s="1"/>
  <c r="AO103" i="12"/>
  <c r="AP103" i="12" s="1"/>
  <c r="C102" i="12" l="1"/>
  <c r="E102" i="12"/>
  <c r="G102" i="12"/>
  <c r="R102" i="12"/>
  <c r="S102" i="12"/>
  <c r="T102" i="12" s="1"/>
  <c r="W102" i="12"/>
  <c r="AK102" i="12"/>
  <c r="AL102" i="12"/>
  <c r="AM102" i="12"/>
  <c r="AN102" i="12" s="1"/>
  <c r="C101" i="12"/>
  <c r="E101" i="12"/>
  <c r="G101" i="12"/>
  <c r="R101" i="12"/>
  <c r="S101" i="12"/>
  <c r="T101" i="12" s="1"/>
  <c r="W101" i="12"/>
  <c r="AK101" i="12"/>
  <c r="AL101" i="12"/>
  <c r="AM101" i="12"/>
  <c r="AO101" i="12" s="1"/>
  <c r="AP101" i="12" s="1"/>
  <c r="C100" i="12"/>
  <c r="E100" i="12"/>
  <c r="G100" i="12"/>
  <c r="R100" i="12"/>
  <c r="S100" i="12"/>
  <c r="T100" i="12" s="1"/>
  <c r="W100" i="12"/>
  <c r="AK100" i="12"/>
  <c r="AL100" i="12"/>
  <c r="AM100" i="12"/>
  <c r="AN100" i="12" s="1"/>
  <c r="C99" i="12"/>
  <c r="E99" i="12"/>
  <c r="G99" i="12"/>
  <c r="R99" i="12"/>
  <c r="S99" i="12"/>
  <c r="T99" i="12" s="1"/>
  <c r="W99" i="12"/>
  <c r="AK99" i="12"/>
  <c r="AL99" i="12"/>
  <c r="AM99" i="12"/>
  <c r="AO99" i="12" s="1"/>
  <c r="AP99" i="12" s="1"/>
  <c r="C98" i="12"/>
  <c r="E98" i="12"/>
  <c r="G98" i="12"/>
  <c r="R98" i="12"/>
  <c r="S98" i="12"/>
  <c r="T98" i="12" s="1"/>
  <c r="W98" i="12"/>
  <c r="AK98" i="12"/>
  <c r="AL98" i="12"/>
  <c r="AM98" i="12"/>
  <c r="AO98" i="12" s="1"/>
  <c r="AP98" i="12" s="1"/>
  <c r="C97" i="12"/>
  <c r="E97" i="12"/>
  <c r="G97" i="12"/>
  <c r="R97" i="12"/>
  <c r="S97" i="12"/>
  <c r="T97" i="12" s="1"/>
  <c r="W97" i="12"/>
  <c r="AK97" i="12"/>
  <c r="AL97" i="12"/>
  <c r="AM97" i="12"/>
  <c r="AO97" i="12" s="1"/>
  <c r="AP97" i="12" s="1"/>
  <c r="C96" i="12"/>
  <c r="E96" i="12"/>
  <c r="G96" i="12"/>
  <c r="R96" i="12"/>
  <c r="S96" i="12"/>
  <c r="T96" i="12" s="1"/>
  <c r="W96" i="12"/>
  <c r="AK96" i="12"/>
  <c r="AL96" i="12"/>
  <c r="AM96" i="12"/>
  <c r="AO96" i="12" s="1"/>
  <c r="AP96" i="12" s="1"/>
  <c r="X99" i="12" l="1"/>
  <c r="Y99" i="12" s="1"/>
  <c r="X98" i="12"/>
  <c r="Y98" i="12" s="1"/>
  <c r="X101" i="12"/>
  <c r="Y101" i="12" s="1"/>
  <c r="X102" i="12"/>
  <c r="Y102" i="12" s="1"/>
  <c r="X97" i="12"/>
  <c r="Y97" i="12" s="1"/>
  <c r="U100" i="12"/>
  <c r="U102" i="12"/>
  <c r="U101" i="12"/>
  <c r="AO102" i="12"/>
  <c r="AP102" i="12" s="1"/>
  <c r="AN101" i="12"/>
  <c r="U97" i="12"/>
  <c r="X100" i="12"/>
  <c r="Y100" i="12" s="1"/>
  <c r="U96" i="12"/>
  <c r="U99" i="12"/>
  <c r="U98" i="12"/>
  <c r="AN98" i="12"/>
  <c r="AN99" i="12"/>
  <c r="AO100" i="12"/>
  <c r="AP100" i="12" s="1"/>
  <c r="AN96" i="12"/>
  <c r="AN97" i="12"/>
  <c r="X96" i="12"/>
  <c r="Y96" i="12" s="1"/>
  <c r="C95" i="12" l="1"/>
  <c r="E95" i="12"/>
  <c r="G95" i="12"/>
  <c r="R95" i="12"/>
  <c r="S95" i="12"/>
  <c r="T95" i="12" s="1"/>
  <c r="W95" i="12"/>
  <c r="AK95" i="12"/>
  <c r="AL95" i="12"/>
  <c r="AM95" i="12"/>
  <c r="AN95" i="12" s="1"/>
  <c r="U95" i="12" l="1"/>
  <c r="AO95" i="12"/>
  <c r="AP95" i="12" s="1"/>
  <c r="X95" i="12"/>
  <c r="Y95" i="12" s="1"/>
  <c r="C5" i="12" l="1"/>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G28" i="12" l="1"/>
  <c r="G42" i="12" l="1"/>
  <c r="E24" i="12" l="1"/>
  <c r="E17" i="12"/>
  <c r="E7" i="12"/>
  <c r="E86" i="12" l="1"/>
  <c r="E74" i="12" l="1"/>
  <c r="W66" i="12"/>
  <c r="G81" i="12"/>
  <c r="E94" i="12" l="1"/>
  <c r="G94" i="12"/>
  <c r="R94" i="12"/>
  <c r="S94" i="12"/>
  <c r="T94" i="12" s="1"/>
  <c r="W94" i="12"/>
  <c r="AK94" i="12"/>
  <c r="AL94" i="12"/>
  <c r="AM94" i="12"/>
  <c r="AN94" i="12" s="1"/>
  <c r="E92" i="12"/>
  <c r="G92" i="12"/>
  <c r="R92" i="12"/>
  <c r="S92" i="12"/>
  <c r="T92" i="12" s="1"/>
  <c r="W92" i="12"/>
  <c r="AK92" i="12"/>
  <c r="AL92" i="12"/>
  <c r="AM92" i="12"/>
  <c r="AO92" i="12" s="1"/>
  <c r="AP92" i="12" s="1"/>
  <c r="E89" i="12"/>
  <c r="G89" i="12"/>
  <c r="R89" i="12"/>
  <c r="S89" i="12"/>
  <c r="T89" i="12" s="1"/>
  <c r="W89" i="12"/>
  <c r="AK89" i="12"/>
  <c r="AL89" i="12"/>
  <c r="AM89" i="12"/>
  <c r="AO89" i="12" s="1"/>
  <c r="AP89" i="12" s="1"/>
  <c r="E90" i="12"/>
  <c r="G90" i="12"/>
  <c r="R90" i="12"/>
  <c r="S90" i="12"/>
  <c r="T90" i="12" s="1"/>
  <c r="W90" i="12"/>
  <c r="AK90" i="12"/>
  <c r="AL90" i="12"/>
  <c r="AM90" i="12"/>
  <c r="AO90" i="12" s="1"/>
  <c r="AP90" i="12" s="1"/>
  <c r="E87" i="12"/>
  <c r="G87" i="12"/>
  <c r="R87" i="12"/>
  <c r="S87" i="12"/>
  <c r="T87" i="12" s="1"/>
  <c r="W87" i="12"/>
  <c r="AK87" i="12"/>
  <c r="AL87" i="12"/>
  <c r="AM87" i="12"/>
  <c r="AN87" i="12" s="1"/>
  <c r="E88" i="12"/>
  <c r="G88" i="12"/>
  <c r="R88" i="12"/>
  <c r="S88" i="12"/>
  <c r="T88" i="12" s="1"/>
  <c r="W88" i="12"/>
  <c r="AK88" i="12"/>
  <c r="AL88" i="12"/>
  <c r="AM88" i="12"/>
  <c r="AO88" i="12" s="1"/>
  <c r="AP88" i="12" s="1"/>
  <c r="G86" i="12"/>
  <c r="R86" i="12"/>
  <c r="S86" i="12"/>
  <c r="T86" i="12" s="1"/>
  <c r="W86" i="12"/>
  <c r="AK86" i="12"/>
  <c r="AL86" i="12"/>
  <c r="AM86" i="12"/>
  <c r="AN86" i="12" s="1"/>
  <c r="E84" i="12"/>
  <c r="G84" i="12"/>
  <c r="R84" i="12"/>
  <c r="S84" i="12"/>
  <c r="T84" i="12" s="1"/>
  <c r="W84" i="12"/>
  <c r="AK84" i="12"/>
  <c r="AL84" i="12"/>
  <c r="AM84" i="12"/>
  <c r="AO84" i="12" s="1"/>
  <c r="AP84" i="12" s="1"/>
  <c r="E82" i="12"/>
  <c r="G82" i="12"/>
  <c r="R82" i="12"/>
  <c r="S82" i="12"/>
  <c r="T82" i="12" s="1"/>
  <c r="W82" i="12"/>
  <c r="AK82" i="12"/>
  <c r="AL82" i="12"/>
  <c r="AM82" i="12"/>
  <c r="AN82" i="12" s="1"/>
  <c r="E83" i="12"/>
  <c r="G83" i="12"/>
  <c r="R83" i="12"/>
  <c r="S83" i="12"/>
  <c r="T83" i="12" s="1"/>
  <c r="W83" i="12"/>
  <c r="AK83" i="12"/>
  <c r="AL83" i="12"/>
  <c r="AM83" i="12"/>
  <c r="AN83" i="12" s="1"/>
  <c r="E80" i="12"/>
  <c r="G80" i="12"/>
  <c r="R80" i="12"/>
  <c r="S80" i="12"/>
  <c r="T80" i="12" s="1"/>
  <c r="W80" i="12"/>
  <c r="AK80" i="12"/>
  <c r="AL80" i="12"/>
  <c r="AM80" i="12"/>
  <c r="AN80" i="12" s="1"/>
  <c r="E78" i="12"/>
  <c r="G78" i="12"/>
  <c r="R78" i="12"/>
  <c r="S78" i="12"/>
  <c r="T78" i="12" s="1"/>
  <c r="W78" i="12"/>
  <c r="AK78" i="12"/>
  <c r="AL78" i="12"/>
  <c r="AM78" i="12"/>
  <c r="AO78" i="12" s="1"/>
  <c r="AP78" i="12" s="1"/>
  <c r="E77" i="12"/>
  <c r="G77" i="12"/>
  <c r="R77" i="12"/>
  <c r="S77" i="12"/>
  <c r="T77" i="12" s="1"/>
  <c r="W77" i="12"/>
  <c r="AK77" i="12"/>
  <c r="AL77" i="12"/>
  <c r="AM77" i="12"/>
  <c r="AN77" i="12" s="1"/>
  <c r="E76" i="12"/>
  <c r="G76" i="12"/>
  <c r="R76" i="12"/>
  <c r="S76" i="12"/>
  <c r="T76" i="12" s="1"/>
  <c r="W76" i="12"/>
  <c r="AK76" i="12"/>
  <c r="AL76" i="12"/>
  <c r="AM76" i="12"/>
  <c r="AN76" i="12" s="1"/>
  <c r="E71" i="12"/>
  <c r="G71" i="12"/>
  <c r="R71" i="12"/>
  <c r="S71" i="12"/>
  <c r="T71" i="12" s="1"/>
  <c r="W71" i="12"/>
  <c r="AK71" i="12"/>
  <c r="AL71" i="12"/>
  <c r="AM71" i="12"/>
  <c r="AO71" i="12" s="1"/>
  <c r="AP71" i="12" s="1"/>
  <c r="E69" i="12"/>
  <c r="G69" i="12"/>
  <c r="R69" i="12"/>
  <c r="S69" i="12"/>
  <c r="T69" i="12" s="1"/>
  <c r="W69" i="12"/>
  <c r="AK69" i="12"/>
  <c r="AL69" i="12"/>
  <c r="AM69" i="12"/>
  <c r="AO69" i="12" s="1"/>
  <c r="AP69" i="12" s="1"/>
  <c r="E65" i="12"/>
  <c r="G65" i="12"/>
  <c r="R65" i="12"/>
  <c r="S65" i="12"/>
  <c r="T65" i="12" s="1"/>
  <c r="W65" i="12"/>
  <c r="AK65" i="12"/>
  <c r="AL65" i="12"/>
  <c r="AM65" i="12"/>
  <c r="AN65" i="12" s="1"/>
  <c r="E64" i="12"/>
  <c r="G64" i="12"/>
  <c r="R64" i="12"/>
  <c r="S64" i="12"/>
  <c r="T64" i="12" s="1"/>
  <c r="W64" i="12"/>
  <c r="AK64" i="12"/>
  <c r="AL64" i="12"/>
  <c r="AM64" i="12"/>
  <c r="AO64" i="12" s="1"/>
  <c r="AP64" i="12" s="1"/>
  <c r="E62" i="12"/>
  <c r="G62" i="12"/>
  <c r="R62" i="12"/>
  <c r="S62" i="12"/>
  <c r="T62" i="12" s="1"/>
  <c r="W62" i="12"/>
  <c r="AK62" i="12"/>
  <c r="AL62" i="12"/>
  <c r="AM62" i="12"/>
  <c r="AN62" i="12" s="1"/>
  <c r="E59" i="12"/>
  <c r="G59" i="12"/>
  <c r="R59" i="12"/>
  <c r="S59" i="12"/>
  <c r="T59" i="12" s="1"/>
  <c r="W59" i="12"/>
  <c r="AK59" i="12"/>
  <c r="AL59" i="12"/>
  <c r="AM59" i="12"/>
  <c r="AN59" i="12" s="1"/>
  <c r="E60" i="12"/>
  <c r="G60" i="12"/>
  <c r="R60" i="12"/>
  <c r="S60" i="12"/>
  <c r="T60" i="12" s="1"/>
  <c r="W60" i="12"/>
  <c r="AK60" i="12"/>
  <c r="AL60" i="12"/>
  <c r="AM60" i="12"/>
  <c r="AN60" i="12" s="1"/>
  <c r="E57" i="12"/>
  <c r="G57" i="12"/>
  <c r="R57" i="12"/>
  <c r="S57" i="12"/>
  <c r="T57" i="12" s="1"/>
  <c r="W57" i="12"/>
  <c r="AK57" i="12"/>
  <c r="AL57" i="12"/>
  <c r="AM57" i="12"/>
  <c r="AN57" i="12" s="1"/>
  <c r="E53" i="12"/>
  <c r="G53" i="12"/>
  <c r="R53" i="12"/>
  <c r="S53" i="12"/>
  <c r="T53" i="12" s="1"/>
  <c r="W53" i="12"/>
  <c r="AK53" i="12"/>
  <c r="AL53" i="12"/>
  <c r="AM53" i="12"/>
  <c r="AO53" i="12" s="1"/>
  <c r="AP53" i="12" s="1"/>
  <c r="E52" i="12"/>
  <c r="G52" i="12"/>
  <c r="R52" i="12"/>
  <c r="S52" i="12"/>
  <c r="T52" i="12" s="1"/>
  <c r="W52" i="12"/>
  <c r="AK52" i="12"/>
  <c r="AL52" i="12"/>
  <c r="AM52" i="12"/>
  <c r="AN52" i="12" s="1"/>
  <c r="E49" i="12"/>
  <c r="G49" i="12"/>
  <c r="R49" i="12"/>
  <c r="S49" i="12"/>
  <c r="T49" i="12" s="1"/>
  <c r="W49" i="12"/>
  <c r="AK49" i="12"/>
  <c r="AL49" i="12"/>
  <c r="AM49" i="12"/>
  <c r="AN49" i="12" s="1"/>
  <c r="E50" i="12"/>
  <c r="G50" i="12"/>
  <c r="R50" i="12"/>
  <c r="S50" i="12"/>
  <c r="T50" i="12" s="1"/>
  <c r="W50" i="12"/>
  <c r="AK50" i="12"/>
  <c r="AL50" i="12"/>
  <c r="AM50" i="12"/>
  <c r="AN50" i="12" s="1"/>
  <c r="E46" i="12"/>
  <c r="G46" i="12"/>
  <c r="R46" i="12"/>
  <c r="S46" i="12"/>
  <c r="T46" i="12" s="1"/>
  <c r="W46" i="12"/>
  <c r="AK46" i="12"/>
  <c r="AL46" i="12"/>
  <c r="AM46" i="12"/>
  <c r="AN46" i="12" s="1"/>
  <c r="E43" i="12"/>
  <c r="G43" i="12"/>
  <c r="R43" i="12"/>
  <c r="S43" i="12"/>
  <c r="T43" i="12" s="1"/>
  <c r="W43" i="12"/>
  <c r="AK43" i="12"/>
  <c r="AL43" i="12"/>
  <c r="AM43" i="12"/>
  <c r="AN43" i="12" s="1"/>
  <c r="E42" i="12"/>
  <c r="R42" i="12"/>
  <c r="S42" i="12"/>
  <c r="T42" i="12" s="1"/>
  <c r="W42" i="12"/>
  <c r="AK42" i="12"/>
  <c r="AL42" i="12"/>
  <c r="AM42" i="12"/>
  <c r="AN42" i="12" s="1"/>
  <c r="E41" i="12"/>
  <c r="G41" i="12"/>
  <c r="R41" i="12"/>
  <c r="S41" i="12"/>
  <c r="T41" i="12" s="1"/>
  <c r="W41" i="12"/>
  <c r="AK41" i="12"/>
  <c r="AL41" i="12"/>
  <c r="AM41" i="12"/>
  <c r="AN41" i="12" s="1"/>
  <c r="E40" i="12"/>
  <c r="G40" i="12"/>
  <c r="R40" i="12"/>
  <c r="S40" i="12"/>
  <c r="T40" i="12" s="1"/>
  <c r="W40" i="12"/>
  <c r="AK40" i="12"/>
  <c r="AL40" i="12"/>
  <c r="AM40" i="12"/>
  <c r="AO40" i="12" s="1"/>
  <c r="AP40" i="12" s="1"/>
  <c r="E38" i="12"/>
  <c r="G38" i="12"/>
  <c r="R38" i="12"/>
  <c r="S38" i="12"/>
  <c r="T38" i="12" s="1"/>
  <c r="W38" i="12"/>
  <c r="AK38" i="12"/>
  <c r="AL38" i="12"/>
  <c r="AM38" i="12"/>
  <c r="AO38" i="12" s="1"/>
  <c r="AP38" i="12" s="1"/>
  <c r="E36" i="12"/>
  <c r="G36" i="12"/>
  <c r="R36" i="12"/>
  <c r="S36" i="12"/>
  <c r="T36" i="12" s="1"/>
  <c r="W36" i="12"/>
  <c r="AK36" i="12"/>
  <c r="AL36" i="12"/>
  <c r="AM36" i="12"/>
  <c r="AN36" i="12" s="1"/>
  <c r="E33" i="12"/>
  <c r="G33" i="12"/>
  <c r="R33" i="12"/>
  <c r="S33" i="12"/>
  <c r="T33" i="12" s="1"/>
  <c r="W33" i="12"/>
  <c r="AK33" i="12"/>
  <c r="AL33" i="12"/>
  <c r="AM33" i="12"/>
  <c r="AN33" i="12" s="1"/>
  <c r="E34" i="12"/>
  <c r="G34" i="12"/>
  <c r="R34" i="12"/>
  <c r="S34" i="12"/>
  <c r="T34" i="12" s="1"/>
  <c r="W34" i="12"/>
  <c r="AK34" i="12"/>
  <c r="AL34" i="12"/>
  <c r="AM34" i="12"/>
  <c r="AN34" i="12" s="1"/>
  <c r="E29" i="12"/>
  <c r="G29" i="12"/>
  <c r="R29" i="12"/>
  <c r="S29" i="12"/>
  <c r="T29" i="12" s="1"/>
  <c r="W29" i="12"/>
  <c r="AK29" i="12"/>
  <c r="AL29" i="12"/>
  <c r="AM29" i="12"/>
  <c r="AN29" i="12" s="1"/>
  <c r="E30" i="12"/>
  <c r="G30" i="12"/>
  <c r="R30" i="12"/>
  <c r="S30" i="12"/>
  <c r="T30" i="12" s="1"/>
  <c r="W30" i="12"/>
  <c r="AK30" i="12"/>
  <c r="AL30" i="12"/>
  <c r="AM30" i="12"/>
  <c r="AO30" i="12" s="1"/>
  <c r="AP30" i="12" s="1"/>
  <c r="E26" i="12"/>
  <c r="G26" i="12"/>
  <c r="R26" i="12"/>
  <c r="S26" i="12"/>
  <c r="T26" i="12" s="1"/>
  <c r="W26" i="12"/>
  <c r="AK26" i="12"/>
  <c r="AL26" i="12"/>
  <c r="AM26" i="12"/>
  <c r="AO26" i="12" s="1"/>
  <c r="AP26" i="12" s="1"/>
  <c r="E27" i="12"/>
  <c r="G27" i="12"/>
  <c r="R27" i="12"/>
  <c r="S27" i="12"/>
  <c r="T27" i="12" s="1"/>
  <c r="W27" i="12"/>
  <c r="AK27" i="12"/>
  <c r="AL27" i="12"/>
  <c r="AM27" i="12"/>
  <c r="AN27" i="12" s="1"/>
  <c r="E23" i="12"/>
  <c r="G23" i="12"/>
  <c r="R23" i="12"/>
  <c r="S23" i="12"/>
  <c r="T23" i="12" s="1"/>
  <c r="W23" i="12"/>
  <c r="AK23" i="12"/>
  <c r="AL23" i="12"/>
  <c r="AM23" i="12"/>
  <c r="AN23" i="12" s="1"/>
  <c r="G24" i="12"/>
  <c r="R24" i="12"/>
  <c r="S24" i="12"/>
  <c r="T24" i="12" s="1"/>
  <c r="W24" i="12"/>
  <c r="AK24" i="12"/>
  <c r="AL24" i="12"/>
  <c r="AM24" i="12"/>
  <c r="AN24" i="12" s="1"/>
  <c r="E21" i="12"/>
  <c r="G21" i="12"/>
  <c r="R21" i="12"/>
  <c r="S21" i="12"/>
  <c r="T21" i="12" s="1"/>
  <c r="W21" i="12"/>
  <c r="AK21" i="12"/>
  <c r="AL21" i="12"/>
  <c r="AM21" i="12"/>
  <c r="AN21" i="12" s="1"/>
  <c r="E18" i="12"/>
  <c r="G18" i="12"/>
  <c r="R18" i="12"/>
  <c r="S18" i="12"/>
  <c r="T18" i="12" s="1"/>
  <c r="W18" i="12"/>
  <c r="AK18" i="12"/>
  <c r="AL18" i="12"/>
  <c r="AM18" i="12"/>
  <c r="AN18" i="12" s="1"/>
  <c r="E15" i="12"/>
  <c r="G15" i="12"/>
  <c r="R15" i="12"/>
  <c r="S15" i="12"/>
  <c r="T15" i="12" s="1"/>
  <c r="W15" i="12"/>
  <c r="AK15" i="12"/>
  <c r="AL15" i="12"/>
  <c r="AM15" i="12"/>
  <c r="AN15" i="12" s="1"/>
  <c r="E14" i="12"/>
  <c r="G14" i="12"/>
  <c r="R14" i="12"/>
  <c r="S14" i="12"/>
  <c r="T14" i="12" s="1"/>
  <c r="W14" i="12"/>
  <c r="AK14" i="12"/>
  <c r="AL14" i="12"/>
  <c r="AM14" i="12"/>
  <c r="AN14" i="12" s="1"/>
  <c r="E16" i="12"/>
  <c r="G16" i="12"/>
  <c r="R16" i="12"/>
  <c r="S16" i="12"/>
  <c r="T16" i="12" s="1"/>
  <c r="W16" i="12"/>
  <c r="AK16" i="12"/>
  <c r="AL16" i="12"/>
  <c r="AM16" i="12"/>
  <c r="AN16" i="12" s="1"/>
  <c r="E13" i="12"/>
  <c r="G13" i="12"/>
  <c r="R13" i="12"/>
  <c r="S13" i="12"/>
  <c r="T13" i="12" s="1"/>
  <c r="W13" i="12"/>
  <c r="AK13" i="12"/>
  <c r="AL13" i="12"/>
  <c r="AM13" i="12"/>
  <c r="AN13" i="12" s="1"/>
  <c r="E12" i="12"/>
  <c r="G12" i="12"/>
  <c r="R12" i="12"/>
  <c r="S12" i="12"/>
  <c r="T12" i="12" s="1"/>
  <c r="W12" i="12"/>
  <c r="AK12" i="12"/>
  <c r="AL12" i="12"/>
  <c r="AM12" i="12"/>
  <c r="AN12" i="12" s="1"/>
  <c r="C9" i="21"/>
  <c r="E9" i="12"/>
  <c r="G9" i="12"/>
  <c r="R9" i="12"/>
  <c r="S9" i="12"/>
  <c r="T9" i="12" s="1"/>
  <c r="W9" i="12"/>
  <c r="AK9" i="12"/>
  <c r="AL9" i="12"/>
  <c r="AM9" i="12"/>
  <c r="AO9" i="12" s="1"/>
  <c r="AP9" i="12" s="1"/>
  <c r="E8" i="12"/>
  <c r="G8" i="12"/>
  <c r="R8" i="12"/>
  <c r="S8" i="12"/>
  <c r="T8" i="12" s="1"/>
  <c r="W8" i="12"/>
  <c r="AK8" i="12"/>
  <c r="AL8" i="12"/>
  <c r="AM8" i="12"/>
  <c r="AN8" i="12" s="1"/>
  <c r="C6" i="21"/>
  <c r="E6" i="12"/>
  <c r="E6" i="21" s="1"/>
  <c r="G6" i="12"/>
  <c r="G6" i="21" s="1"/>
  <c r="R6" i="12"/>
  <c r="S6" i="12"/>
  <c r="T6" i="12" s="1"/>
  <c r="W6" i="12"/>
  <c r="AK6" i="12"/>
  <c r="AL6" i="12"/>
  <c r="AM6" i="12"/>
  <c r="AN6" i="12" s="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5" i="21"/>
  <c r="A6" i="21"/>
  <c r="D6" i="21"/>
  <c r="F6" i="21"/>
  <c r="H6" i="21"/>
  <c r="I6" i="21"/>
  <c r="K6" i="21"/>
  <c r="M6" i="21"/>
  <c r="A8" i="21"/>
  <c r="D8" i="21"/>
  <c r="F8" i="21"/>
  <c r="H8" i="21"/>
  <c r="I8" i="21"/>
  <c r="K8" i="21"/>
  <c r="M8" i="21"/>
  <c r="A9" i="21"/>
  <c r="D9" i="21"/>
  <c r="F9" i="21"/>
  <c r="H9" i="21"/>
  <c r="I9" i="21"/>
  <c r="K9" i="21"/>
  <c r="M9" i="21"/>
  <c r="A10" i="21"/>
  <c r="D10" i="21"/>
  <c r="F10" i="21"/>
  <c r="H10" i="21"/>
  <c r="I10" i="21"/>
  <c r="K10" i="21"/>
  <c r="M10" i="21"/>
  <c r="A11" i="21"/>
  <c r="D11" i="21"/>
  <c r="F11" i="21"/>
  <c r="H11" i="21"/>
  <c r="I11" i="21"/>
  <c r="K11" i="21"/>
  <c r="M11" i="21"/>
  <c r="A12" i="21"/>
  <c r="D12" i="21"/>
  <c r="F12" i="21"/>
  <c r="H12" i="21"/>
  <c r="I12" i="21"/>
  <c r="K12" i="21"/>
  <c r="M12" i="21"/>
  <c r="A13" i="21"/>
  <c r="D13" i="21"/>
  <c r="F13" i="21"/>
  <c r="H13" i="21"/>
  <c r="I13" i="21"/>
  <c r="K13" i="21"/>
  <c r="M13" i="21"/>
  <c r="A14" i="21"/>
  <c r="D14" i="21"/>
  <c r="F14" i="21"/>
  <c r="H14" i="21"/>
  <c r="I14" i="21"/>
  <c r="K14" i="21"/>
  <c r="M14" i="21"/>
  <c r="A15" i="21"/>
  <c r="D15" i="21"/>
  <c r="F15" i="21"/>
  <c r="H15" i="21"/>
  <c r="I15" i="21"/>
  <c r="K15" i="21"/>
  <c r="M15" i="21"/>
  <c r="A16" i="21"/>
  <c r="D16" i="21"/>
  <c r="F16" i="21"/>
  <c r="H16" i="21"/>
  <c r="I16" i="21"/>
  <c r="K16" i="21"/>
  <c r="M16" i="21"/>
  <c r="A17" i="21"/>
  <c r="D17" i="21"/>
  <c r="F17" i="21"/>
  <c r="H17" i="21"/>
  <c r="I17" i="21"/>
  <c r="K17" i="21"/>
  <c r="M17" i="21"/>
  <c r="A18" i="21"/>
  <c r="D18" i="21"/>
  <c r="F18" i="21"/>
  <c r="H18" i="21"/>
  <c r="I18" i="21"/>
  <c r="K18" i="21"/>
  <c r="M18" i="21"/>
  <c r="A19" i="21"/>
  <c r="D19" i="21"/>
  <c r="F19" i="21"/>
  <c r="H19" i="21"/>
  <c r="I19" i="21"/>
  <c r="K19" i="21"/>
  <c r="M19" i="21"/>
  <c r="A20" i="21"/>
  <c r="D20" i="21"/>
  <c r="F20" i="21"/>
  <c r="H20" i="21"/>
  <c r="I20" i="21"/>
  <c r="K20" i="21"/>
  <c r="M20" i="21"/>
  <c r="A21" i="21"/>
  <c r="D21" i="21"/>
  <c r="F21" i="21"/>
  <c r="H21" i="21"/>
  <c r="I21" i="21"/>
  <c r="K21" i="21"/>
  <c r="M21" i="21"/>
  <c r="A22" i="21"/>
  <c r="D22" i="21"/>
  <c r="F22" i="21"/>
  <c r="H22" i="21"/>
  <c r="I22" i="21"/>
  <c r="K22" i="21"/>
  <c r="M22" i="21"/>
  <c r="A23" i="21"/>
  <c r="D23" i="21"/>
  <c r="F23" i="21"/>
  <c r="H23" i="21"/>
  <c r="I23" i="21"/>
  <c r="K23" i="21"/>
  <c r="M23" i="21"/>
  <c r="A24" i="21"/>
  <c r="D24" i="21"/>
  <c r="F24" i="21"/>
  <c r="H24" i="21"/>
  <c r="I24" i="21"/>
  <c r="K24" i="21"/>
  <c r="M24" i="21"/>
  <c r="A25" i="21"/>
  <c r="D25" i="21"/>
  <c r="F25" i="21"/>
  <c r="H25" i="21"/>
  <c r="I25" i="21"/>
  <c r="K25" i="21"/>
  <c r="M25" i="21"/>
  <c r="A26" i="21"/>
  <c r="D26" i="21"/>
  <c r="F26" i="21"/>
  <c r="H26" i="21"/>
  <c r="I26" i="21"/>
  <c r="K26" i="21"/>
  <c r="M26" i="21"/>
  <c r="A27" i="21"/>
  <c r="D27" i="21"/>
  <c r="F27" i="21"/>
  <c r="H27" i="21"/>
  <c r="I27" i="21"/>
  <c r="K27" i="21"/>
  <c r="M27" i="21"/>
  <c r="A28" i="21"/>
  <c r="D28" i="21"/>
  <c r="F28" i="21"/>
  <c r="H28" i="21"/>
  <c r="I28" i="21"/>
  <c r="K28" i="21"/>
  <c r="M28" i="21"/>
  <c r="A29" i="21"/>
  <c r="D29" i="21"/>
  <c r="F29" i="21"/>
  <c r="H29" i="21"/>
  <c r="I29" i="21"/>
  <c r="K29" i="21"/>
  <c r="M29" i="21"/>
  <c r="A30" i="21"/>
  <c r="D30" i="21"/>
  <c r="F30" i="21"/>
  <c r="H30" i="21"/>
  <c r="I30" i="21"/>
  <c r="K30" i="21"/>
  <c r="M30" i="21"/>
  <c r="A31" i="21"/>
  <c r="D31" i="21"/>
  <c r="F31" i="21"/>
  <c r="H31" i="21"/>
  <c r="I31" i="21"/>
  <c r="K31" i="21"/>
  <c r="M31" i="21"/>
  <c r="A32" i="21"/>
  <c r="D32" i="21"/>
  <c r="F32" i="21"/>
  <c r="H32" i="21"/>
  <c r="I32" i="21"/>
  <c r="K32" i="21"/>
  <c r="M32" i="21"/>
  <c r="A33" i="21"/>
  <c r="D33" i="21"/>
  <c r="F33" i="21"/>
  <c r="H33" i="21"/>
  <c r="I33" i="21"/>
  <c r="K33" i="21"/>
  <c r="M33" i="21"/>
  <c r="A34" i="21"/>
  <c r="D34" i="21"/>
  <c r="F34" i="21"/>
  <c r="H34" i="21"/>
  <c r="I34" i="21"/>
  <c r="K34" i="21"/>
  <c r="M34" i="21"/>
  <c r="A35" i="21"/>
  <c r="D35" i="21"/>
  <c r="F35" i="21"/>
  <c r="H35" i="21"/>
  <c r="I35" i="21"/>
  <c r="K35" i="21"/>
  <c r="M35" i="21"/>
  <c r="A36" i="21"/>
  <c r="D36" i="21"/>
  <c r="F36" i="21"/>
  <c r="H36" i="21"/>
  <c r="I36" i="21"/>
  <c r="K36" i="21"/>
  <c r="M36" i="21"/>
  <c r="A37" i="21"/>
  <c r="D37" i="21"/>
  <c r="F37" i="21"/>
  <c r="H37" i="21"/>
  <c r="I37" i="21"/>
  <c r="K37" i="21"/>
  <c r="M37" i="21"/>
  <c r="A38" i="21"/>
  <c r="D38" i="21"/>
  <c r="F38" i="21"/>
  <c r="H38" i="21"/>
  <c r="I38" i="21"/>
  <c r="K38" i="21"/>
  <c r="M38" i="21"/>
  <c r="A39" i="21"/>
  <c r="D39" i="21"/>
  <c r="F39" i="21"/>
  <c r="H39" i="21"/>
  <c r="I39" i="21"/>
  <c r="K39" i="21"/>
  <c r="M39" i="21"/>
  <c r="A40" i="21"/>
  <c r="D40" i="21"/>
  <c r="F40" i="21"/>
  <c r="H40" i="21"/>
  <c r="I40" i="21"/>
  <c r="K40" i="21"/>
  <c r="M40" i="21"/>
  <c r="A41" i="21"/>
  <c r="D41" i="21"/>
  <c r="F41" i="21"/>
  <c r="H41" i="21"/>
  <c r="I41" i="21"/>
  <c r="K41" i="21"/>
  <c r="M41" i="21"/>
  <c r="A42" i="21"/>
  <c r="D42" i="21"/>
  <c r="F42" i="21"/>
  <c r="H42" i="21"/>
  <c r="I42" i="21"/>
  <c r="K42" i="21"/>
  <c r="M42" i="21"/>
  <c r="A43" i="21"/>
  <c r="D43" i="21"/>
  <c r="F43" i="21"/>
  <c r="H43" i="21"/>
  <c r="I43" i="21"/>
  <c r="K43" i="21"/>
  <c r="M43" i="21"/>
  <c r="A44" i="21"/>
  <c r="D44" i="21"/>
  <c r="F44" i="21"/>
  <c r="H44" i="21"/>
  <c r="I44" i="21"/>
  <c r="K44" i="21"/>
  <c r="M44" i="21"/>
  <c r="A45" i="21"/>
  <c r="D45" i="21"/>
  <c r="F45" i="21"/>
  <c r="H45" i="21"/>
  <c r="I45" i="21"/>
  <c r="K45" i="21"/>
  <c r="M45" i="21"/>
  <c r="A46" i="21"/>
  <c r="D46" i="21"/>
  <c r="F46" i="21"/>
  <c r="H46" i="21"/>
  <c r="I46" i="21"/>
  <c r="K46" i="21"/>
  <c r="M46" i="21"/>
  <c r="A47" i="21"/>
  <c r="D47" i="21"/>
  <c r="F47" i="21"/>
  <c r="H47" i="21"/>
  <c r="I47" i="21"/>
  <c r="K47" i="21"/>
  <c r="M47" i="21"/>
  <c r="A48" i="21"/>
  <c r="D48" i="21"/>
  <c r="F48" i="21"/>
  <c r="H48" i="21"/>
  <c r="I48" i="21"/>
  <c r="K48" i="21"/>
  <c r="M48" i="21"/>
  <c r="A49" i="21"/>
  <c r="D49" i="21"/>
  <c r="F49" i="21"/>
  <c r="H49" i="21"/>
  <c r="I49" i="21"/>
  <c r="K49" i="21"/>
  <c r="M49" i="21"/>
  <c r="A50" i="21"/>
  <c r="D50" i="21"/>
  <c r="F50" i="21"/>
  <c r="H50" i="21"/>
  <c r="I50" i="21"/>
  <c r="K50" i="21"/>
  <c r="M50" i="21"/>
  <c r="A51" i="21"/>
  <c r="D51" i="21"/>
  <c r="F51" i="21"/>
  <c r="H51" i="21"/>
  <c r="I51" i="21"/>
  <c r="K51" i="21"/>
  <c r="M51" i="21"/>
  <c r="A52" i="21"/>
  <c r="D52" i="21"/>
  <c r="F52" i="21"/>
  <c r="H52" i="21"/>
  <c r="I52" i="21"/>
  <c r="K52" i="21"/>
  <c r="M52" i="21"/>
  <c r="A53" i="21"/>
  <c r="D53" i="21"/>
  <c r="F53" i="21"/>
  <c r="H53" i="21"/>
  <c r="I53" i="21"/>
  <c r="K53" i="21"/>
  <c r="M53" i="21"/>
  <c r="A54" i="21"/>
  <c r="D54" i="21"/>
  <c r="F54" i="21"/>
  <c r="H54" i="21"/>
  <c r="I54" i="21"/>
  <c r="K54" i="21"/>
  <c r="M54" i="21"/>
  <c r="A55" i="21"/>
  <c r="D55" i="21"/>
  <c r="F55" i="21"/>
  <c r="H55" i="21"/>
  <c r="I55" i="21"/>
  <c r="K55" i="21"/>
  <c r="M55" i="21"/>
  <c r="A56" i="21"/>
  <c r="D56" i="21"/>
  <c r="F56" i="21"/>
  <c r="H56" i="21"/>
  <c r="I56" i="21"/>
  <c r="K56" i="21"/>
  <c r="M56" i="21"/>
  <c r="A57" i="21"/>
  <c r="D57" i="21"/>
  <c r="F57" i="21"/>
  <c r="H57" i="21"/>
  <c r="I57" i="21"/>
  <c r="K57" i="21"/>
  <c r="M57" i="21"/>
  <c r="A58" i="21"/>
  <c r="D58" i="21"/>
  <c r="F58" i="21"/>
  <c r="H58" i="21"/>
  <c r="I58" i="21"/>
  <c r="K58" i="21"/>
  <c r="M58" i="21"/>
  <c r="A59" i="21"/>
  <c r="D59" i="21"/>
  <c r="F59" i="21"/>
  <c r="H59" i="21"/>
  <c r="I59" i="21"/>
  <c r="K59" i="21"/>
  <c r="M59" i="21"/>
  <c r="A60" i="21"/>
  <c r="D60" i="21"/>
  <c r="F60" i="21"/>
  <c r="H60" i="21"/>
  <c r="I60" i="21"/>
  <c r="K60" i="21"/>
  <c r="M60" i="21"/>
  <c r="A61" i="21"/>
  <c r="D61" i="21"/>
  <c r="F61" i="21"/>
  <c r="H61" i="21"/>
  <c r="I61" i="21"/>
  <c r="K61" i="21"/>
  <c r="M61" i="21"/>
  <c r="A62" i="21"/>
  <c r="D62" i="21"/>
  <c r="F62" i="21"/>
  <c r="H62" i="21"/>
  <c r="I62" i="21"/>
  <c r="K62" i="21"/>
  <c r="M62" i="21"/>
  <c r="A63" i="21"/>
  <c r="D63" i="21"/>
  <c r="F63" i="21"/>
  <c r="H63" i="21"/>
  <c r="I63" i="21"/>
  <c r="K63" i="21"/>
  <c r="M63" i="21"/>
  <c r="A64" i="21"/>
  <c r="D64" i="21"/>
  <c r="F64" i="21"/>
  <c r="H64" i="21"/>
  <c r="I64" i="21"/>
  <c r="K64" i="21"/>
  <c r="M64" i="21"/>
  <c r="A65" i="21"/>
  <c r="D65" i="21"/>
  <c r="F65" i="21"/>
  <c r="H65" i="21"/>
  <c r="I65" i="21"/>
  <c r="K65" i="21"/>
  <c r="M65" i="21"/>
  <c r="A66" i="21"/>
  <c r="D66" i="21"/>
  <c r="F66" i="21"/>
  <c r="H66" i="21"/>
  <c r="I66" i="21"/>
  <c r="K66" i="21"/>
  <c r="M66" i="21"/>
  <c r="A67" i="21"/>
  <c r="D67" i="21"/>
  <c r="F67" i="21"/>
  <c r="H67" i="21"/>
  <c r="I67" i="21"/>
  <c r="K67" i="21"/>
  <c r="M67" i="21"/>
  <c r="A68" i="21"/>
  <c r="D68" i="21"/>
  <c r="F68" i="21"/>
  <c r="H68" i="21"/>
  <c r="I68" i="21"/>
  <c r="K68" i="21"/>
  <c r="M68" i="21"/>
  <c r="A69" i="21"/>
  <c r="D69" i="21"/>
  <c r="F69" i="21"/>
  <c r="H69" i="21"/>
  <c r="I69" i="21"/>
  <c r="K69" i="21"/>
  <c r="M69" i="21"/>
  <c r="A70" i="21"/>
  <c r="D70" i="21"/>
  <c r="F70" i="21"/>
  <c r="H70" i="21"/>
  <c r="I70" i="21"/>
  <c r="K70" i="21"/>
  <c r="M70" i="21"/>
  <c r="A71" i="21"/>
  <c r="D71" i="21"/>
  <c r="F71" i="21"/>
  <c r="H71" i="21"/>
  <c r="I71" i="21"/>
  <c r="K71" i="21"/>
  <c r="M71" i="21"/>
  <c r="A72" i="21"/>
  <c r="D72" i="21"/>
  <c r="F72" i="21"/>
  <c r="H72" i="21"/>
  <c r="I72" i="21"/>
  <c r="K72" i="21"/>
  <c r="M72" i="21"/>
  <c r="A73" i="21"/>
  <c r="D73" i="21"/>
  <c r="F73" i="21"/>
  <c r="H73" i="21"/>
  <c r="I73" i="21"/>
  <c r="K73" i="21"/>
  <c r="M73" i="21"/>
  <c r="A74" i="21"/>
  <c r="D74" i="21"/>
  <c r="F74" i="21"/>
  <c r="H74" i="21"/>
  <c r="I74" i="21"/>
  <c r="K74" i="21"/>
  <c r="M74" i="21"/>
  <c r="A75" i="21"/>
  <c r="D75" i="21"/>
  <c r="F75" i="21"/>
  <c r="H75" i="21"/>
  <c r="I75" i="21"/>
  <c r="K75" i="21"/>
  <c r="M75" i="21"/>
  <c r="A76" i="21"/>
  <c r="D76" i="21"/>
  <c r="F76" i="21"/>
  <c r="H76" i="21"/>
  <c r="I76" i="21"/>
  <c r="K76" i="21"/>
  <c r="M76" i="21"/>
  <c r="E93" i="12"/>
  <c r="G93" i="12"/>
  <c r="R93" i="12"/>
  <c r="S93" i="12"/>
  <c r="T93" i="12" s="1"/>
  <c r="W93" i="12"/>
  <c r="AK93" i="12"/>
  <c r="AL93" i="12"/>
  <c r="AM93" i="12"/>
  <c r="AN93" i="12" s="1"/>
  <c r="E91" i="12"/>
  <c r="G91" i="12"/>
  <c r="R91" i="12"/>
  <c r="S91" i="12"/>
  <c r="T91" i="12" s="1"/>
  <c r="W91" i="12"/>
  <c r="AK91" i="12"/>
  <c r="AL91" i="12"/>
  <c r="AM91" i="12"/>
  <c r="AN91" i="12" s="1"/>
  <c r="E85" i="12"/>
  <c r="G85" i="12"/>
  <c r="R85" i="12"/>
  <c r="S85" i="12"/>
  <c r="T85" i="12" s="1"/>
  <c r="W85" i="12"/>
  <c r="AK85" i="12"/>
  <c r="AL85" i="12"/>
  <c r="AM85" i="12"/>
  <c r="AN85" i="12" s="1"/>
  <c r="E79" i="12"/>
  <c r="E81" i="12"/>
  <c r="G79" i="12"/>
  <c r="R79" i="12"/>
  <c r="R81" i="12"/>
  <c r="S79" i="12"/>
  <c r="T79" i="12" s="1"/>
  <c r="S81" i="12"/>
  <c r="T81" i="12" s="1"/>
  <c r="W79" i="12"/>
  <c r="W81" i="12"/>
  <c r="AK79" i="12"/>
  <c r="AK81" i="12"/>
  <c r="AL79" i="12"/>
  <c r="AL81" i="12"/>
  <c r="AM79" i="12"/>
  <c r="AO79" i="12" s="1"/>
  <c r="AP79" i="12" s="1"/>
  <c r="AM81" i="12"/>
  <c r="AO81" i="12" s="1"/>
  <c r="AP81" i="12" s="1"/>
  <c r="E75" i="12"/>
  <c r="G75" i="12"/>
  <c r="R75" i="12"/>
  <c r="S75" i="12"/>
  <c r="T75" i="12" s="1"/>
  <c r="W75" i="12"/>
  <c r="AK75" i="12"/>
  <c r="AL75" i="12"/>
  <c r="AM75" i="12"/>
  <c r="AN75" i="12" s="1"/>
  <c r="E67" i="12"/>
  <c r="E68" i="12"/>
  <c r="E70" i="12"/>
  <c r="E72" i="12"/>
  <c r="E73" i="12"/>
  <c r="G67" i="12"/>
  <c r="G68" i="12"/>
  <c r="G70" i="12"/>
  <c r="G72" i="12"/>
  <c r="G73" i="12"/>
  <c r="G74" i="12"/>
  <c r="R67" i="12"/>
  <c r="R68" i="12"/>
  <c r="R70" i="12"/>
  <c r="R72" i="12"/>
  <c r="R73" i="12"/>
  <c r="R74" i="12"/>
  <c r="S67" i="12"/>
  <c r="T67" i="12" s="1"/>
  <c r="S68" i="12"/>
  <c r="T68" i="12" s="1"/>
  <c r="S70" i="12"/>
  <c r="T70" i="12" s="1"/>
  <c r="S72" i="12"/>
  <c r="T72" i="12" s="1"/>
  <c r="S73" i="12"/>
  <c r="T73" i="12" s="1"/>
  <c r="S74" i="12"/>
  <c r="T74" i="12" s="1"/>
  <c r="W67" i="12"/>
  <c r="W68" i="12"/>
  <c r="W70" i="12"/>
  <c r="W72" i="12"/>
  <c r="W73" i="12"/>
  <c r="W74" i="12"/>
  <c r="AK67" i="12"/>
  <c r="AK68" i="12"/>
  <c r="AK70" i="12"/>
  <c r="AK72" i="12"/>
  <c r="AK73" i="12"/>
  <c r="AK74" i="12"/>
  <c r="AL67" i="12"/>
  <c r="AL68" i="12"/>
  <c r="AL70" i="12"/>
  <c r="AL72" i="12"/>
  <c r="AL73" i="12"/>
  <c r="AL74" i="12"/>
  <c r="AM67" i="12"/>
  <c r="AO67" i="12" s="1"/>
  <c r="AP67" i="12" s="1"/>
  <c r="AM68" i="12"/>
  <c r="AN68" i="12" s="1"/>
  <c r="AM70" i="12"/>
  <c r="AN70" i="12" s="1"/>
  <c r="AM72" i="12"/>
  <c r="AN72" i="12" s="1"/>
  <c r="AM73" i="12"/>
  <c r="AN73" i="12" s="1"/>
  <c r="AM74" i="12"/>
  <c r="AO74" i="12" s="1"/>
  <c r="AP74" i="12" s="1"/>
  <c r="E66" i="12"/>
  <c r="G66" i="12"/>
  <c r="R66" i="12"/>
  <c r="S66" i="12"/>
  <c r="T66" i="12" s="1"/>
  <c r="AK66" i="12"/>
  <c r="AL66" i="12"/>
  <c r="AM66" i="12"/>
  <c r="AO66" i="12" s="1"/>
  <c r="AP66" i="12" s="1"/>
  <c r="E63" i="12"/>
  <c r="G63" i="12"/>
  <c r="R63" i="12"/>
  <c r="S63" i="12"/>
  <c r="T63" i="12" s="1"/>
  <c r="W63" i="12"/>
  <c r="AK63" i="12"/>
  <c r="AL63" i="12"/>
  <c r="AM63" i="12"/>
  <c r="AN63" i="12" s="1"/>
  <c r="E61" i="12"/>
  <c r="G61" i="12"/>
  <c r="R61" i="12"/>
  <c r="S61" i="12"/>
  <c r="T61" i="12" s="1"/>
  <c r="W61" i="12"/>
  <c r="AK61" i="12"/>
  <c r="AL61" i="12"/>
  <c r="AM61" i="12"/>
  <c r="AO61" i="12" s="1"/>
  <c r="AP61" i="12" s="1"/>
  <c r="E28" i="12"/>
  <c r="R28" i="12"/>
  <c r="S28" i="12"/>
  <c r="T28" i="12" s="1"/>
  <c r="W28" i="12"/>
  <c r="AK28" i="12"/>
  <c r="AL28" i="12"/>
  <c r="AM28" i="12"/>
  <c r="AN28" i="12" s="1"/>
  <c r="E31" i="12"/>
  <c r="G31" i="12"/>
  <c r="R31" i="12"/>
  <c r="S31" i="12"/>
  <c r="T31" i="12" s="1"/>
  <c r="W31" i="12"/>
  <c r="AK31" i="12"/>
  <c r="AL31" i="12"/>
  <c r="AM31" i="12"/>
  <c r="AO31" i="12" s="1"/>
  <c r="AP31" i="12" s="1"/>
  <c r="E32" i="12"/>
  <c r="G32" i="12"/>
  <c r="R32" i="12"/>
  <c r="S32" i="12"/>
  <c r="T32" i="12" s="1"/>
  <c r="W32" i="12"/>
  <c r="AK32" i="12"/>
  <c r="AL32" i="12"/>
  <c r="AM32" i="12"/>
  <c r="AO32" i="12" s="1"/>
  <c r="AP32" i="12" s="1"/>
  <c r="E35" i="12"/>
  <c r="G35" i="12"/>
  <c r="R35" i="12"/>
  <c r="S35" i="12"/>
  <c r="T35" i="12" s="1"/>
  <c r="W35" i="12"/>
  <c r="AK35" i="12"/>
  <c r="AL35" i="12"/>
  <c r="AM35" i="12"/>
  <c r="AN35" i="12" s="1"/>
  <c r="E37" i="12"/>
  <c r="G37" i="12"/>
  <c r="R37" i="12"/>
  <c r="S37" i="12"/>
  <c r="T37" i="12" s="1"/>
  <c r="W37" i="12"/>
  <c r="AK37" i="12"/>
  <c r="AL37" i="12"/>
  <c r="AM37" i="12"/>
  <c r="AN37" i="12" s="1"/>
  <c r="G7" i="12"/>
  <c r="R7" i="12"/>
  <c r="S7" i="12"/>
  <c r="T7" i="12" s="1"/>
  <c r="W7" i="12"/>
  <c r="AK7" i="12"/>
  <c r="AL7" i="12"/>
  <c r="AM7" i="12"/>
  <c r="AN7" i="12" s="1"/>
  <c r="E10" i="12"/>
  <c r="G10" i="12"/>
  <c r="R10" i="12"/>
  <c r="S10" i="12"/>
  <c r="T10" i="12" s="1"/>
  <c r="W10" i="12"/>
  <c r="AK10" i="12"/>
  <c r="AL10" i="12"/>
  <c r="AM10" i="12"/>
  <c r="AN10" i="12" s="1"/>
  <c r="E11" i="12"/>
  <c r="G11" i="12"/>
  <c r="R11" i="12"/>
  <c r="S11" i="12"/>
  <c r="T11" i="12" s="1"/>
  <c r="W11" i="12"/>
  <c r="AK11" i="12"/>
  <c r="AL11" i="12"/>
  <c r="AM11" i="12"/>
  <c r="AN11" i="12" s="1"/>
  <c r="G17" i="12"/>
  <c r="R17" i="12"/>
  <c r="S17" i="12"/>
  <c r="T17" i="12" s="1"/>
  <c r="W17" i="12"/>
  <c r="AK17" i="12"/>
  <c r="AL17" i="12"/>
  <c r="AM17" i="12"/>
  <c r="AN17" i="12" s="1"/>
  <c r="E19" i="12"/>
  <c r="G19" i="12"/>
  <c r="R19" i="12"/>
  <c r="S19" i="12"/>
  <c r="T19" i="12" s="1"/>
  <c r="W19" i="12"/>
  <c r="AK19" i="12"/>
  <c r="AL19" i="12"/>
  <c r="AM19" i="12"/>
  <c r="AN19" i="12" s="1"/>
  <c r="G20" i="12"/>
  <c r="R20" i="12"/>
  <c r="S20" i="12"/>
  <c r="T20" i="12" s="1"/>
  <c r="W20" i="12"/>
  <c r="AK20" i="12"/>
  <c r="AL20" i="12"/>
  <c r="AM20" i="12"/>
  <c r="AN20" i="12" s="1"/>
  <c r="E22" i="12"/>
  <c r="G22" i="12"/>
  <c r="R22" i="12"/>
  <c r="S22" i="12"/>
  <c r="T22" i="12" s="1"/>
  <c r="W22" i="12"/>
  <c r="AK22" i="12"/>
  <c r="AL22" i="12"/>
  <c r="AM22" i="12"/>
  <c r="AN22" i="12" s="1"/>
  <c r="E47" i="12"/>
  <c r="E48" i="12"/>
  <c r="E51" i="12"/>
  <c r="E54" i="12"/>
  <c r="E55" i="12"/>
  <c r="E56" i="12"/>
  <c r="E58" i="12"/>
  <c r="G47" i="12"/>
  <c r="G48" i="12"/>
  <c r="G51" i="12"/>
  <c r="G54" i="12"/>
  <c r="G55" i="12"/>
  <c r="G56" i="12"/>
  <c r="G58" i="12"/>
  <c r="R47" i="12"/>
  <c r="R48" i="12"/>
  <c r="R51" i="12"/>
  <c r="R54" i="12"/>
  <c r="R55" i="12"/>
  <c r="R56" i="12"/>
  <c r="R58" i="12"/>
  <c r="S47" i="12"/>
  <c r="T47" i="12" s="1"/>
  <c r="S48" i="12"/>
  <c r="T48" i="12" s="1"/>
  <c r="S51" i="12"/>
  <c r="T51" i="12" s="1"/>
  <c r="S54" i="12"/>
  <c r="T54" i="12" s="1"/>
  <c r="S55" i="12"/>
  <c r="T55" i="12" s="1"/>
  <c r="S56" i="12"/>
  <c r="T56" i="12" s="1"/>
  <c r="S58" i="12"/>
  <c r="T58" i="12" s="1"/>
  <c r="W47" i="12"/>
  <c r="W48" i="12"/>
  <c r="W51" i="12"/>
  <c r="W54" i="12"/>
  <c r="W55" i="12"/>
  <c r="W56" i="12"/>
  <c r="W58" i="12"/>
  <c r="AK47" i="12"/>
  <c r="AK48" i="12"/>
  <c r="AK51" i="12"/>
  <c r="AK54" i="12"/>
  <c r="AK55" i="12"/>
  <c r="AK56" i="12"/>
  <c r="AK58" i="12"/>
  <c r="AL47" i="12"/>
  <c r="AL48" i="12"/>
  <c r="AL51" i="12"/>
  <c r="AL54" i="12"/>
  <c r="AL55" i="12"/>
  <c r="AL56" i="12"/>
  <c r="AL58" i="12"/>
  <c r="AM47" i="12"/>
  <c r="AO47" i="12" s="1"/>
  <c r="AP47" i="12" s="1"/>
  <c r="AM48" i="12"/>
  <c r="AN48" i="12" s="1"/>
  <c r="AM51" i="12"/>
  <c r="AO51" i="12" s="1"/>
  <c r="AP51" i="12" s="1"/>
  <c r="AM54" i="12"/>
  <c r="AN54" i="12" s="1"/>
  <c r="AM55" i="12"/>
  <c r="AN55" i="12" s="1"/>
  <c r="AM56" i="12"/>
  <c r="AO56" i="12" s="1"/>
  <c r="AP56" i="12" s="1"/>
  <c r="AM58" i="12"/>
  <c r="AO58" i="12" s="1"/>
  <c r="AP58" i="12" s="1"/>
  <c r="X92" i="12" l="1"/>
  <c r="Y92" i="12" s="1"/>
  <c r="X9" i="12"/>
  <c r="Y9" i="12" s="1"/>
  <c r="U86" i="12"/>
  <c r="U13" i="12"/>
  <c r="U41" i="12"/>
  <c r="U49" i="12"/>
  <c r="U23" i="12"/>
  <c r="U46" i="12"/>
  <c r="U57" i="12"/>
  <c r="U29" i="12"/>
  <c r="X6" i="12"/>
  <c r="Y6" i="12" s="1"/>
  <c r="U88" i="12"/>
  <c r="X89" i="12"/>
  <c r="Y89" i="12" s="1"/>
  <c r="X36" i="12"/>
  <c r="Y36" i="12" s="1"/>
  <c r="X53" i="12"/>
  <c r="Y53" i="12" s="1"/>
  <c r="X71" i="12"/>
  <c r="Y71" i="12" s="1"/>
  <c r="X18" i="12"/>
  <c r="Y18" i="12" s="1"/>
  <c r="U27" i="12"/>
  <c r="U34" i="12"/>
  <c r="U42" i="12"/>
  <c r="X60" i="12"/>
  <c r="Y60" i="12" s="1"/>
  <c r="U65" i="12"/>
  <c r="X76" i="12"/>
  <c r="Y76" i="12" s="1"/>
  <c r="U80" i="12"/>
  <c r="X8" i="12"/>
  <c r="Y8" i="12" s="1"/>
  <c r="U16" i="12"/>
  <c r="X84" i="12"/>
  <c r="Y84" i="12" s="1"/>
  <c r="U90" i="12"/>
  <c r="U94" i="12"/>
  <c r="X21" i="12"/>
  <c r="Y21" i="12" s="1"/>
  <c r="X26" i="12"/>
  <c r="Y26" i="12" s="1"/>
  <c r="U33" i="12"/>
  <c r="X38" i="12"/>
  <c r="Y38" i="12" s="1"/>
  <c r="U43" i="12"/>
  <c r="U52" i="12"/>
  <c r="U59" i="12"/>
  <c r="X62" i="12"/>
  <c r="Y62" i="12" s="1"/>
  <c r="X77" i="12"/>
  <c r="Y77" i="12" s="1"/>
  <c r="U83" i="12"/>
  <c r="X15" i="12"/>
  <c r="Y15" i="12" s="1"/>
  <c r="X24" i="12"/>
  <c r="Y24" i="12" s="1"/>
  <c r="U30" i="12"/>
  <c r="X40" i="12"/>
  <c r="Y40" i="12" s="1"/>
  <c r="U50" i="12"/>
  <c r="X64" i="12"/>
  <c r="Y64" i="12" s="1"/>
  <c r="X69" i="12"/>
  <c r="Y69" i="12" s="1"/>
  <c r="X78" i="12"/>
  <c r="Y78" i="12" s="1"/>
  <c r="X82" i="12"/>
  <c r="Y82" i="12" s="1"/>
  <c r="U12" i="12"/>
  <c r="X87" i="12"/>
  <c r="Y87" i="12" s="1"/>
  <c r="X94" i="12"/>
  <c r="Y94" i="12" s="1"/>
  <c r="AO94" i="12"/>
  <c r="AP94" i="12" s="1"/>
  <c r="X90" i="12"/>
  <c r="Y90" i="12" s="1"/>
  <c r="AN92" i="12"/>
  <c r="U92" i="12"/>
  <c r="AN89" i="12"/>
  <c r="U89" i="12"/>
  <c r="AN90" i="12"/>
  <c r="X88" i="12"/>
  <c r="Y88" i="12" s="1"/>
  <c r="AO87" i="12"/>
  <c r="AP87" i="12" s="1"/>
  <c r="U87" i="12"/>
  <c r="AN88" i="12"/>
  <c r="X86" i="12"/>
  <c r="Y86" i="12" s="1"/>
  <c r="AO86" i="12"/>
  <c r="AP86" i="12" s="1"/>
  <c r="AN84" i="12"/>
  <c r="X83" i="12"/>
  <c r="Y83" i="12" s="1"/>
  <c r="U84" i="12"/>
  <c r="U82" i="12"/>
  <c r="AO82" i="12"/>
  <c r="AP82" i="12" s="1"/>
  <c r="AO83" i="12"/>
  <c r="AP83" i="12" s="1"/>
  <c r="X80" i="12"/>
  <c r="Y80" i="12" s="1"/>
  <c r="AO80" i="12"/>
  <c r="AP80" i="12" s="1"/>
  <c r="AO77" i="12"/>
  <c r="AP77" i="12" s="1"/>
  <c r="AN78" i="12"/>
  <c r="U78" i="12"/>
  <c r="U76" i="12"/>
  <c r="U77" i="12"/>
  <c r="AO76" i="12"/>
  <c r="AP76" i="12" s="1"/>
  <c r="AN71" i="12"/>
  <c r="AN69" i="12"/>
  <c r="U71" i="12"/>
  <c r="U69" i="12"/>
  <c r="X65" i="12"/>
  <c r="Y65" i="12" s="1"/>
  <c r="AO65" i="12"/>
  <c r="AP65" i="12" s="1"/>
  <c r="AN64" i="12"/>
  <c r="U62" i="12"/>
  <c r="U64" i="12"/>
  <c r="X59" i="12"/>
  <c r="Y59" i="12" s="1"/>
  <c r="AO62" i="12"/>
  <c r="AP62" i="12" s="1"/>
  <c r="AO60" i="12"/>
  <c r="AP60" i="12" s="1"/>
  <c r="U60" i="12"/>
  <c r="AO59" i="12"/>
  <c r="AP59" i="12" s="1"/>
  <c r="X57" i="12"/>
  <c r="Y57" i="12" s="1"/>
  <c r="AO57" i="12"/>
  <c r="AP57" i="12" s="1"/>
  <c r="X52" i="12"/>
  <c r="Y52" i="12" s="1"/>
  <c r="AN53" i="12"/>
  <c r="U53" i="12"/>
  <c r="AO52" i="12"/>
  <c r="AP52" i="12" s="1"/>
  <c r="X49" i="12"/>
  <c r="Y49" i="12" s="1"/>
  <c r="X50" i="12"/>
  <c r="Y50" i="12" s="1"/>
  <c r="AO49" i="12"/>
  <c r="AP49" i="12" s="1"/>
  <c r="AO50" i="12"/>
  <c r="AP50" i="12" s="1"/>
  <c r="X46" i="12"/>
  <c r="Y46" i="12" s="1"/>
  <c r="X43" i="12"/>
  <c r="Y43" i="12" s="1"/>
  <c r="AO46" i="12"/>
  <c r="AP46" i="12" s="1"/>
  <c r="X42" i="12"/>
  <c r="Y42" i="12" s="1"/>
  <c r="AO43" i="12"/>
  <c r="AP43" i="12" s="1"/>
  <c r="X41" i="12"/>
  <c r="Y41" i="12" s="1"/>
  <c r="AO42" i="12"/>
  <c r="AP42" i="12" s="1"/>
  <c r="X33" i="12"/>
  <c r="Y33" i="12" s="1"/>
  <c r="AO41" i="12"/>
  <c r="AP41" i="12" s="1"/>
  <c r="AN38" i="12"/>
  <c r="AN40" i="12"/>
  <c r="U38" i="12"/>
  <c r="U40" i="12"/>
  <c r="AO36" i="12"/>
  <c r="AP36" i="12" s="1"/>
  <c r="U36" i="12"/>
  <c r="X29" i="12"/>
  <c r="Y29" i="12" s="1"/>
  <c r="X34" i="12"/>
  <c r="Y34" i="12" s="1"/>
  <c r="AO29" i="12"/>
  <c r="AP29" i="12" s="1"/>
  <c r="AO33" i="12"/>
  <c r="AP33" i="12" s="1"/>
  <c r="AO34" i="12"/>
  <c r="AP34" i="12" s="1"/>
  <c r="X30" i="12"/>
  <c r="Y30" i="12" s="1"/>
  <c r="AN30" i="12"/>
  <c r="X23" i="12"/>
  <c r="Y23" i="12" s="1"/>
  <c r="AN26" i="12"/>
  <c r="X27" i="12"/>
  <c r="Y27" i="12" s="1"/>
  <c r="U26" i="12"/>
  <c r="U21" i="12"/>
  <c r="AO24" i="12"/>
  <c r="AP24" i="12" s="1"/>
  <c r="AO27" i="12"/>
  <c r="AP27" i="12" s="1"/>
  <c r="AO18" i="12"/>
  <c r="AP18" i="12" s="1"/>
  <c r="U24" i="12"/>
  <c r="AO23" i="12"/>
  <c r="AP23" i="12" s="1"/>
  <c r="U18" i="12"/>
  <c r="AO21" i="12"/>
  <c r="AP21" i="12" s="1"/>
  <c r="U15" i="12"/>
  <c r="AO15" i="12"/>
  <c r="AP15" i="12" s="1"/>
  <c r="E10" i="21"/>
  <c r="X14" i="12"/>
  <c r="Y14" i="12" s="1"/>
  <c r="U14" i="12"/>
  <c r="AO14" i="12"/>
  <c r="AP14" i="12" s="1"/>
  <c r="X16" i="12"/>
  <c r="Y16" i="12" s="1"/>
  <c r="X13" i="12"/>
  <c r="Y13" i="12" s="1"/>
  <c r="AO16" i="12"/>
  <c r="AP16" i="12" s="1"/>
  <c r="E66" i="21"/>
  <c r="X12" i="12"/>
  <c r="Y12" i="12" s="1"/>
  <c r="AO13" i="12"/>
  <c r="AP13" i="12" s="1"/>
  <c r="C13" i="21"/>
  <c r="E14" i="21"/>
  <c r="U55" i="12"/>
  <c r="U48" i="12"/>
  <c r="AO12" i="12"/>
  <c r="AP12" i="12" s="1"/>
  <c r="X68" i="12"/>
  <c r="Y68" i="12" s="1"/>
  <c r="C52" i="21"/>
  <c r="AN9" i="12"/>
  <c r="E9" i="21"/>
  <c r="U74" i="12"/>
  <c r="U67" i="12"/>
  <c r="C64" i="21"/>
  <c r="U8" i="12"/>
  <c r="U9" i="12"/>
  <c r="C73" i="21"/>
  <c r="C76" i="21"/>
  <c r="AO8" i="12"/>
  <c r="AP8" i="12" s="1"/>
  <c r="E55" i="21"/>
  <c r="G53" i="21"/>
  <c r="E54" i="21"/>
  <c r="G76" i="21"/>
  <c r="E13" i="21"/>
  <c r="G60" i="21"/>
  <c r="U91" i="12"/>
  <c r="G71" i="21"/>
  <c r="C71" i="21"/>
  <c r="G12" i="21"/>
  <c r="E70" i="21"/>
  <c r="C59" i="21"/>
  <c r="E67" i="21"/>
  <c r="C65" i="21"/>
  <c r="C55" i="21"/>
  <c r="G74" i="21"/>
  <c r="C11" i="21"/>
  <c r="C70" i="21"/>
  <c r="E76" i="21"/>
  <c r="E58" i="21"/>
  <c r="E63" i="21"/>
  <c r="G8" i="21"/>
  <c r="G54" i="21"/>
  <c r="G10" i="21"/>
  <c r="G14" i="21"/>
  <c r="G70" i="21"/>
  <c r="G61" i="21"/>
  <c r="G65" i="21"/>
  <c r="G51" i="21"/>
  <c r="E52" i="21"/>
  <c r="C53" i="21"/>
  <c r="C56" i="21"/>
  <c r="G58" i="21"/>
  <c r="C60" i="21"/>
  <c r="G66" i="21"/>
  <c r="E64" i="21"/>
  <c r="C62" i="21"/>
  <c r="G68" i="21"/>
  <c r="U56" i="12"/>
  <c r="U22" i="12"/>
  <c r="E12" i="21"/>
  <c r="E8" i="21"/>
  <c r="G50" i="21"/>
  <c r="E51" i="21"/>
  <c r="G57" i="21"/>
  <c r="E68" i="21"/>
  <c r="C75" i="21"/>
  <c r="AO6" i="12"/>
  <c r="AP6" i="12" s="1"/>
  <c r="U6" i="12"/>
  <c r="C12" i="21"/>
  <c r="G11" i="21"/>
  <c r="C8" i="21"/>
  <c r="E50" i="21"/>
  <c r="C51" i="21"/>
  <c r="E61" i="21"/>
  <c r="C58" i="21"/>
  <c r="G64" i="21"/>
  <c r="E62" i="21"/>
  <c r="C68" i="21"/>
  <c r="G69" i="21"/>
  <c r="C69" i="21"/>
  <c r="G73" i="21"/>
  <c r="C74" i="21"/>
  <c r="E11" i="21"/>
  <c r="C50" i="21"/>
  <c r="E60" i="21"/>
  <c r="C57" i="21"/>
  <c r="G63" i="21"/>
  <c r="C67" i="21"/>
  <c r="E72" i="21"/>
  <c r="E73" i="21"/>
  <c r="G75" i="21"/>
  <c r="G55" i="21"/>
  <c r="E59" i="21"/>
  <c r="G62" i="21"/>
  <c r="C66" i="21"/>
  <c r="E71" i="21"/>
  <c r="C14" i="21"/>
  <c r="G13" i="21"/>
  <c r="C10" i="21"/>
  <c r="G9" i="21"/>
  <c r="G56" i="21"/>
  <c r="E57" i="21"/>
  <c r="E69" i="21"/>
  <c r="E75" i="21"/>
  <c r="G52" i="21"/>
  <c r="E53" i="21"/>
  <c r="C54" i="21"/>
  <c r="E56" i="21"/>
  <c r="G59" i="21"/>
  <c r="C61" i="21"/>
  <c r="G67" i="21"/>
  <c r="E65" i="21"/>
  <c r="C63" i="21"/>
  <c r="G72" i="21"/>
  <c r="C72" i="21"/>
  <c r="E74" i="21"/>
  <c r="X31" i="12"/>
  <c r="Y31" i="12" s="1"/>
  <c r="X85" i="12"/>
  <c r="Y85" i="12" s="1"/>
  <c r="U73" i="12"/>
  <c r="U79" i="12"/>
  <c r="U47" i="12"/>
  <c r="X37" i="12"/>
  <c r="Y37" i="12" s="1"/>
  <c r="X54" i="12"/>
  <c r="Y54" i="12" s="1"/>
  <c r="X28" i="12"/>
  <c r="Y28" i="12" s="1"/>
  <c r="U20" i="12"/>
  <c r="U75" i="12"/>
  <c r="X93" i="12"/>
  <c r="Y93" i="12" s="1"/>
  <c r="U11" i="12"/>
  <c r="X35" i="12"/>
  <c r="Y35" i="12" s="1"/>
  <c r="U61" i="12"/>
  <c r="X19" i="12"/>
  <c r="Y19" i="12" s="1"/>
  <c r="X32" i="12"/>
  <c r="Y32" i="12" s="1"/>
  <c r="X63" i="12"/>
  <c r="Y63" i="12" s="1"/>
  <c r="U72" i="12"/>
  <c r="U81" i="12"/>
  <c r="U17" i="12"/>
  <c r="U10" i="12"/>
  <c r="X58" i="12"/>
  <c r="Y58" i="12" s="1"/>
  <c r="U51" i="12"/>
  <c r="U66" i="12"/>
  <c r="U70" i="12"/>
  <c r="U7" i="12"/>
  <c r="AO93" i="12"/>
  <c r="AP93" i="12" s="1"/>
  <c r="X74" i="12"/>
  <c r="Y74" i="12" s="1"/>
  <c r="AO68" i="12"/>
  <c r="AP68" i="12" s="1"/>
  <c r="U93" i="12"/>
  <c r="AO91" i="12"/>
  <c r="AP91" i="12" s="1"/>
  <c r="AN66" i="12"/>
  <c r="X91" i="12"/>
  <c r="Y91" i="12" s="1"/>
  <c r="AO85" i="12"/>
  <c r="AP85" i="12" s="1"/>
  <c r="U85" i="12"/>
  <c r="U68" i="12"/>
  <c r="AO70" i="12"/>
  <c r="AP70" i="12" s="1"/>
  <c r="X79" i="12"/>
  <c r="Y79" i="12" s="1"/>
  <c r="X73" i="12"/>
  <c r="Y73" i="12" s="1"/>
  <c r="X75" i="12"/>
  <c r="Y75" i="12" s="1"/>
  <c r="X67" i="12"/>
  <c r="Y67" i="12" s="1"/>
  <c r="AN79" i="12"/>
  <c r="X66" i="12"/>
  <c r="Y66" i="12" s="1"/>
  <c r="AN81" i="12"/>
  <c r="X81" i="12"/>
  <c r="Y81" i="12" s="1"/>
  <c r="AO73" i="12"/>
  <c r="AP73" i="12" s="1"/>
  <c r="AO75" i="12"/>
  <c r="AP75" i="12" s="1"/>
  <c r="AN67" i="12"/>
  <c r="X72" i="12"/>
  <c r="Y72" i="12" s="1"/>
  <c r="AN74" i="12"/>
  <c r="X70" i="12"/>
  <c r="Y70" i="12" s="1"/>
  <c r="AO72" i="12"/>
  <c r="AP72" i="12" s="1"/>
  <c r="U63" i="12"/>
  <c r="AO28" i="12"/>
  <c r="AP28" i="12" s="1"/>
  <c r="AN61" i="12"/>
  <c r="X61" i="12"/>
  <c r="Y61" i="12" s="1"/>
  <c r="AO63" i="12"/>
  <c r="AP63" i="12" s="1"/>
  <c r="U28" i="12"/>
  <c r="AN32" i="12"/>
  <c r="AN31" i="12"/>
  <c r="U19" i="12"/>
  <c r="X20" i="12"/>
  <c r="Y20" i="12" s="1"/>
  <c r="U31" i="12"/>
  <c r="X22" i="12"/>
  <c r="Y22" i="12" s="1"/>
  <c r="U35" i="12"/>
  <c r="U32" i="12"/>
  <c r="AO17" i="12"/>
  <c r="AP17" i="12" s="1"/>
  <c r="AO35" i="12"/>
  <c r="AP35" i="12" s="1"/>
  <c r="X55" i="12"/>
  <c r="Y55" i="12" s="1"/>
  <c r="X48" i="12"/>
  <c r="Y48" i="12" s="1"/>
  <c r="X47" i="12"/>
  <c r="Y47" i="12" s="1"/>
  <c r="X7" i="12"/>
  <c r="Y7" i="12" s="1"/>
  <c r="AO19" i="12"/>
  <c r="AP19" i="12" s="1"/>
  <c r="X10" i="12"/>
  <c r="Y10" i="12" s="1"/>
  <c r="AO37" i="12"/>
  <c r="AP37" i="12" s="1"/>
  <c r="U37" i="12"/>
  <c r="AO20" i="12"/>
  <c r="AP20" i="12" s="1"/>
  <c r="X11" i="12"/>
  <c r="Y11" i="12" s="1"/>
  <c r="AO22" i="12"/>
  <c r="AP22" i="12" s="1"/>
  <c r="AO7" i="12"/>
  <c r="AP7" i="12" s="1"/>
  <c r="AO10" i="12"/>
  <c r="AP10" i="12" s="1"/>
  <c r="X17" i="12"/>
  <c r="Y17" i="12" s="1"/>
  <c r="AO11" i="12"/>
  <c r="AP11" i="12" s="1"/>
  <c r="L9" i="21"/>
  <c r="U54" i="12"/>
  <c r="X56" i="12"/>
  <c r="Y56" i="12" s="1"/>
  <c r="U58" i="12"/>
  <c r="AO55" i="12"/>
  <c r="AP55" i="12" s="1"/>
  <c r="X51" i="12"/>
  <c r="Y51" i="12" s="1"/>
  <c r="AO54" i="12"/>
  <c r="AP54" i="12" s="1"/>
  <c r="AN47" i="12"/>
  <c r="AO48" i="12"/>
  <c r="AP48" i="12" s="1"/>
  <c r="AN58" i="12"/>
  <c r="AN51" i="12"/>
  <c r="AN56" i="12"/>
  <c r="J6" i="21" l="1"/>
  <c r="J8" i="21"/>
  <c r="L54" i="21"/>
  <c r="L6" i="21"/>
  <c r="L62" i="21"/>
  <c r="J67" i="21"/>
  <c r="L65" i="21"/>
  <c r="J66" i="21"/>
  <c r="J11" i="21"/>
  <c r="J50" i="21"/>
  <c r="L63" i="21"/>
  <c r="L64" i="21"/>
  <c r="L14" i="21"/>
  <c r="J60" i="21"/>
  <c r="L69" i="21"/>
  <c r="L53" i="21"/>
  <c r="J65" i="21"/>
  <c r="L61" i="21"/>
  <c r="J53" i="21"/>
  <c r="L68" i="21"/>
  <c r="J72" i="21"/>
  <c r="L13" i="21"/>
  <c r="L58" i="21"/>
  <c r="J73" i="21"/>
  <c r="J13" i="21"/>
  <c r="J54" i="21"/>
  <c r="J59" i="21"/>
  <c r="L74" i="21"/>
  <c r="L11" i="21"/>
  <c r="L50" i="21"/>
  <c r="J69" i="21"/>
  <c r="L73" i="21"/>
  <c r="L72" i="21"/>
  <c r="J75" i="21"/>
  <c r="L52" i="21"/>
  <c r="J10" i="21"/>
  <c r="L56" i="21"/>
  <c r="J63" i="21"/>
  <c r="L8" i="21"/>
  <c r="J14" i="21"/>
  <c r="J61" i="21"/>
  <c r="L66" i="21"/>
  <c r="L75" i="21"/>
  <c r="J52" i="21"/>
  <c r="L76" i="21"/>
  <c r="J55" i="21"/>
  <c r="L57" i="21"/>
  <c r="L59" i="21"/>
  <c r="L70" i="21"/>
  <c r="J76" i="21"/>
  <c r="L67" i="21"/>
  <c r="J51" i="21"/>
  <c r="J56" i="21"/>
  <c r="J57" i="21"/>
  <c r="J64" i="21"/>
  <c r="J70" i="21"/>
  <c r="L71" i="21"/>
  <c r="J68" i="21"/>
  <c r="J74" i="21"/>
  <c r="L60" i="21"/>
  <c r="L55" i="21"/>
  <c r="J62" i="21"/>
  <c r="L10" i="21"/>
  <c r="J9" i="21"/>
  <c r="L12" i="21"/>
  <c r="L51" i="21"/>
  <c r="J71" i="21"/>
  <c r="J12" i="21"/>
  <c r="J58" i="21"/>
  <c r="M7" i="21" l="1"/>
  <c r="K7" i="21"/>
  <c r="I7" i="21"/>
  <c r="H7" i="21"/>
  <c r="F7" i="21"/>
  <c r="D7" i="21"/>
  <c r="A7" i="21"/>
  <c r="M5" i="21"/>
  <c r="K5" i="21"/>
  <c r="I5" i="21"/>
  <c r="H5" i="21"/>
  <c r="F5" i="21"/>
  <c r="D5" i="21"/>
  <c r="A5" i="21"/>
  <c r="E5" i="12" l="1"/>
  <c r="E25" i="12"/>
  <c r="E39" i="12"/>
  <c r="E44" i="12"/>
  <c r="E45" i="12"/>
  <c r="E49" i="21" s="1"/>
  <c r="C49" i="21"/>
  <c r="E47" i="21" l="1"/>
  <c r="E48" i="21"/>
  <c r="C47" i="21"/>
  <c r="C48" i="21"/>
  <c r="E45" i="21"/>
  <c r="E46" i="21"/>
  <c r="C45" i="21"/>
  <c r="C46" i="21"/>
  <c r="C43" i="21"/>
  <c r="C44" i="21"/>
  <c r="E43" i="21"/>
  <c r="E44" i="21"/>
  <c r="C41" i="21"/>
  <c r="C42" i="21"/>
  <c r="E41" i="21"/>
  <c r="E42" i="21"/>
  <c r="E39" i="21"/>
  <c r="E40" i="21"/>
  <c r="C39" i="21"/>
  <c r="C40" i="21"/>
  <c r="C37" i="21"/>
  <c r="C38" i="21"/>
  <c r="E37" i="21"/>
  <c r="E38" i="21"/>
  <c r="E35" i="21"/>
  <c r="E36" i="21"/>
  <c r="C35" i="21"/>
  <c r="C36" i="21"/>
  <c r="E33" i="21"/>
  <c r="E34" i="21"/>
  <c r="C33" i="21"/>
  <c r="C34" i="21"/>
  <c r="E31" i="21"/>
  <c r="E32" i="21"/>
  <c r="C31" i="21"/>
  <c r="C32" i="21"/>
  <c r="E29" i="21"/>
  <c r="E30" i="21"/>
  <c r="C29" i="21"/>
  <c r="C30" i="21"/>
  <c r="C20" i="21"/>
  <c r="C21" i="21"/>
  <c r="C27" i="21"/>
  <c r="C28" i="21"/>
  <c r="E27" i="21"/>
  <c r="E28" i="21"/>
  <c r="E19" i="21"/>
  <c r="E20" i="21"/>
  <c r="C18" i="21"/>
  <c r="C19" i="21"/>
  <c r="C25" i="21"/>
  <c r="C26" i="21"/>
  <c r="E25" i="21"/>
  <c r="E26" i="21"/>
  <c r="E17" i="21"/>
  <c r="E18" i="21"/>
  <c r="C16" i="21"/>
  <c r="C17" i="21"/>
  <c r="E23" i="21"/>
  <c r="E24" i="21"/>
  <c r="E22" i="21"/>
  <c r="C23" i="21"/>
  <c r="C24" i="21"/>
  <c r="E15" i="21"/>
  <c r="E16" i="21"/>
  <c r="C15" i="21"/>
  <c r="C7" i="21"/>
  <c r="C22" i="21"/>
  <c r="E5" i="21"/>
  <c r="E21" i="21"/>
  <c r="C5" i="21"/>
  <c r="E7" i="21"/>
  <c r="W45" i="12"/>
  <c r="W44" i="12"/>
  <c r="W39" i="12"/>
  <c r="W25" i="12"/>
  <c r="G45" i="12" l="1"/>
  <c r="G49" i="21" s="1"/>
  <c r="R44" i="12"/>
  <c r="R5" i="12" l="1"/>
  <c r="R25" i="12"/>
  <c r="R39" i="12"/>
  <c r="R45" i="12"/>
  <c r="AL45" i="12"/>
  <c r="AL44" i="12"/>
  <c r="AL39" i="12"/>
  <c r="AL25" i="12"/>
  <c r="AK45" i="12"/>
  <c r="AK44" i="12"/>
  <c r="AK39" i="12"/>
  <c r="AK25" i="12"/>
  <c r="AK5" i="12" l="1"/>
  <c r="AM44" i="12" l="1"/>
  <c r="AM45" i="12"/>
  <c r="AO45" i="12" s="1"/>
  <c r="AP45" i="12" s="1"/>
  <c r="L49" i="21" s="1"/>
  <c r="AM39" i="12"/>
  <c r="AM25" i="12"/>
  <c r="AL5" i="12"/>
  <c r="AM5" i="12" s="1"/>
  <c r="AN5" i="12" s="1"/>
  <c r="AN25" i="12" l="1"/>
  <c r="AN44" i="12"/>
  <c r="AN39" i="12"/>
  <c r="AN45" i="12"/>
  <c r="G44" i="12"/>
  <c r="G48" i="21" s="1"/>
  <c r="G39" i="12"/>
  <c r="G25" i="12"/>
  <c r="G46" i="21" l="1"/>
  <c r="G47" i="21"/>
  <c r="G44" i="21"/>
  <c r="G45" i="21"/>
  <c r="G42" i="21"/>
  <c r="G43" i="21"/>
  <c r="G40" i="21"/>
  <c r="G41" i="21"/>
  <c r="G38" i="21"/>
  <c r="G39" i="21"/>
  <c r="G36" i="21"/>
  <c r="G37" i="21"/>
  <c r="G34" i="21"/>
  <c r="G35" i="21"/>
  <c r="G32" i="21"/>
  <c r="G33" i="21"/>
  <c r="G30" i="21"/>
  <c r="G31" i="21"/>
  <c r="G28" i="21"/>
  <c r="G29" i="21"/>
  <c r="G26" i="21"/>
  <c r="G27" i="21"/>
  <c r="G19" i="21"/>
  <c r="G20" i="21"/>
  <c r="G24" i="21"/>
  <c r="G25" i="21"/>
  <c r="G17" i="21"/>
  <c r="G18" i="21"/>
  <c r="G22" i="21"/>
  <c r="G23" i="21"/>
  <c r="G15" i="21"/>
  <c r="G16" i="21"/>
  <c r="G21" i="21"/>
  <c r="G7" i="21"/>
  <c r="AO44" i="12"/>
  <c r="AP44" i="12" s="1"/>
  <c r="L48" i="21" s="1"/>
  <c r="AO39" i="12"/>
  <c r="AP39" i="12" s="1"/>
  <c r="AO25" i="12"/>
  <c r="AP25" i="12" s="1"/>
  <c r="L46" i="21" l="1"/>
  <c r="L47" i="21"/>
  <c r="L44" i="21"/>
  <c r="L45" i="21"/>
  <c r="L42" i="21"/>
  <c r="L43" i="21"/>
  <c r="L40" i="21"/>
  <c r="L41" i="21"/>
  <c r="L38" i="21"/>
  <c r="L39" i="21"/>
  <c r="L36" i="21"/>
  <c r="L37" i="21"/>
  <c r="L34" i="21"/>
  <c r="L35" i="21"/>
  <c r="L32" i="21"/>
  <c r="L33" i="21"/>
  <c r="L30" i="21"/>
  <c r="L31" i="21"/>
  <c r="L21" i="21"/>
  <c r="L28" i="21"/>
  <c r="L29" i="21"/>
  <c r="L26" i="21"/>
  <c r="L27" i="21"/>
  <c r="L19" i="21"/>
  <c r="L20" i="21"/>
  <c r="L17" i="21"/>
  <c r="L18" i="21"/>
  <c r="L24" i="21"/>
  <c r="L25" i="21"/>
  <c r="L22" i="21"/>
  <c r="L23" i="21"/>
  <c r="L15" i="21"/>
  <c r="L16" i="21"/>
  <c r="L7" i="21"/>
  <c r="S45" i="12"/>
  <c r="T45" i="12" s="1"/>
  <c r="S44" i="12"/>
  <c r="T44" i="12" s="1"/>
  <c r="U44" i="12" s="1"/>
  <c r="S39" i="12"/>
  <c r="T39" i="12" s="1"/>
  <c r="S25" i="12"/>
  <c r="T25" i="12" s="1"/>
  <c r="X39" i="12" l="1"/>
  <c r="U45" i="12"/>
  <c r="X45" i="12"/>
  <c r="Y45" i="12" s="1"/>
  <c r="J49" i="21" s="1"/>
  <c r="X25" i="12"/>
  <c r="X44" i="12"/>
  <c r="U25" i="12"/>
  <c r="U39" i="12"/>
  <c r="S5" i="12"/>
  <c r="T5" i="12" s="1"/>
  <c r="U5" i="12" l="1"/>
  <c r="W5" i="12" l="1"/>
  <c r="G5" i="12"/>
  <c r="G5" i="21" s="1"/>
  <c r="X5" i="12" l="1"/>
  <c r="AO5" i="12"/>
  <c r="AP5" i="12" s="1"/>
  <c r="L5" i="21" s="1"/>
  <c r="Y25" i="12" l="1"/>
  <c r="Y39" i="12"/>
  <c r="Y44" i="12"/>
  <c r="J48" i="21" s="1"/>
  <c r="Y5" i="12"/>
  <c r="J46" i="21" l="1"/>
  <c r="J47" i="21"/>
  <c r="J44" i="21"/>
  <c r="J45" i="21"/>
  <c r="J42" i="21"/>
  <c r="J43" i="21"/>
  <c r="J40" i="21"/>
  <c r="J41" i="21"/>
  <c r="J38" i="21"/>
  <c r="J39" i="21"/>
  <c r="J36" i="21"/>
  <c r="J37" i="21"/>
  <c r="J34" i="21"/>
  <c r="J35" i="21"/>
  <c r="J32" i="21"/>
  <c r="J33" i="21"/>
  <c r="J30" i="21"/>
  <c r="J31" i="21"/>
  <c r="J28" i="21"/>
  <c r="J29" i="21"/>
  <c r="J26" i="21"/>
  <c r="J27" i="21"/>
  <c r="J19" i="21"/>
  <c r="J20" i="21"/>
  <c r="J24" i="21"/>
  <c r="J25" i="21"/>
  <c r="J17" i="21"/>
  <c r="J18" i="21"/>
  <c r="J22" i="21"/>
  <c r="J23" i="21"/>
  <c r="J15" i="21"/>
  <c r="J16" i="21"/>
  <c r="J5" i="21"/>
  <c r="J21" i="21"/>
  <c r="J7" i="21"/>
</calcChain>
</file>

<file path=xl/sharedStrings.xml><?xml version="1.0" encoding="utf-8"?>
<sst xmlns="http://schemas.openxmlformats.org/spreadsheetml/2006/main" count="2049" uniqueCount="403">
  <si>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</si>
  <si>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</si>
  <si>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</si>
  <si>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</si>
  <si>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</si>
  <si>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</si>
  <si>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</si>
  <si>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</si>
  <si>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</si>
  <si>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</si>
  <si>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</si>
  <si>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</si>
  <si>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SBOM</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</si>
  <si>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</si>
  <si>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</si>
  <si>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</si>
  <si>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</si>
  <si>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</si>
  <si>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</si>
  <si>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</si>
  <si>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</si>
  <si>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</si>
  <si>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</si>
  <si>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</si>
  <si>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</si>
  <si>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</si>
  <si>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</si>
  <si>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</si>
  <si>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</si>
  <si>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Individual (Disgruntled/Ex-Employees, Outsider, Insider, Trusted Insider, Priveleged Insider)</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</si>
  <si>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</si>
  <si>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</si>
  <si>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</si>
  <si>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</si>
  <si>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</si>
  <si>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</si>
  <si>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</si>
  <si>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</si>
  <si>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</si>
  <si>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</si>
  <si>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</si>
  <si>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</si>
  <si>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</si>
  <si>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</si>
  <si>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</si>
  <si>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</si>
  <si>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</si>
  <si>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</si>
  <si>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</si>
  <si>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</si>
  <si>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</si>
  <si>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</si>
  <si>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</si>
  <si>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</si>
  <si>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</si>
  <si>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</si>
  <si>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</si>
  <si>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</si>
  <si>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</si>
  <si>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</si>
  <si>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</si>
  <si>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</si>
  <si>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</si>
  <si>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</si>
  <si>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</si>
  <si>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</si>
  <si>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</si>
  <si>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</si>
  <si>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</si>
  <si>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</si>
  <si>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</si>
  <si>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</si>
  <si>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</si>
  <si>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</si>
  <si>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</si>
  <si>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</si>
  <si>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</si>
  <si>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</si>
  <si>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</si>
  <si>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</si>
  <si>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</si>
  <si>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</si>
  <si>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</si>
  <si>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</si>
  <si>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</si>
  <si>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</si>
  <si>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</si>
  <si>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</si>
  <si>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</si>
  <si>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</si>
  <si>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</si>
  <si>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</si>
  <si>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</si>
  <si>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</si>
  <si>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</si>
  <si>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</si>
  <si>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</si>
  <si>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</si>
  <si>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</si>
  <si>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</si>
  <si>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</si>
  <si>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</si>
  <si>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</si>
  <si>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</si>
  <si>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</si>
  <si>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</si>
  <si>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</si>
  <si>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</si>
  <si>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A11</t>
  </si>
  <si>
    <t>A12</t>
  </si>
  <si>
    <t>A13</t>
  </si>
  <si>
    <t>A14</t>
  </si>
  <si>
    <t>A01</t>
  </si>
  <si>
    <t>A02</t>
  </si>
  <si>
    <t>A03</t>
  </si>
  <si>
    <t>A04</t>
  </si>
  <si>
    <t>A05</t>
  </si>
  <si>
    <t>A06</t>
  </si>
  <si>
    <t>A07</t>
  </si>
  <si>
    <t>A08</t>
  </si>
  <si>
    <t>A09</t>
  </si>
  <si>
    <t>V01</t>
  </si>
  <si>
    <t>V02</t>
  </si>
  <si>
    <t>V ID</t>
  </si>
  <si>
    <t>T ID</t>
  </si>
  <si>
    <t>A ID</t>
  </si>
  <si>
    <t>T01</t>
  </si>
  <si>
    <t>T02</t>
  </si>
  <si>
    <t>T03</t>
  </si>
  <si>
    <t>T04</t>
  </si>
  <si>
    <t>T05</t>
  </si>
  <si>
    <t>Yes</t>
  </si>
  <si>
    <t>n/a</t>
  </si>
  <si>
    <t>Rating</t>
  </si>
  <si>
    <t>Pre-Implementation of Security Controls</t>
  </si>
  <si>
    <t>Post-Implementation of Security Controls</t>
  </si>
  <si>
    <t>Threat Event Initiation</t>
  </si>
  <si>
    <t>Threat Event Initiation
Score</t>
  </si>
  <si>
    <t>Security 
Risk 
Level</t>
  </si>
  <si>
    <t xml:space="preserve"> </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</si>
  <si>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</si>
  <si>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Thread source delivers malware on a removable media which was designed to exploit a known vulnerability of the Navigation System. Directed attack on the Navigation System using knowledge about the Navigation System.</t>
  </si>
  <si>
    <t>V11</t>
  </si>
  <si>
    <t>V21</t>
  </si>
  <si>
    <t>V22</t>
  </si>
  <si>
    <t>V23</t>
  </si>
  <si>
    <t>Data</t>
  </si>
  <si>
    <t>Information about internals of the system (Device identification, software versions, supported protocols, etc.)</t>
  </si>
  <si>
    <t>System &amp; Asset Identification</t>
  </si>
  <si>
    <t xml:space="preserve">Medical Device / System: </t>
  </si>
  <si>
    <t>Date:</t>
  </si>
  <si>
    <t xml:space="preserve">Conducted by: </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</si>
  <si>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</si>
  <si>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</si>
  <si>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</si>
  <si>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</si>
  <si>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</si>
  <si>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</si>
  <si>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</si>
  <si>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</si>
  <si>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</si>
  <si>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</si>
  <si>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</si>
  <si>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D05788-1, Ver 1</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</si>
  <si>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</si>
  <si>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</si>
  <si>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</si>
  <si>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</si>
  <si>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</si>
  <si>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</si>
  <si>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</si>
  <si>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</si>
  <si>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</si>
  <si>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</si>
  <si>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</si>
  <si>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</si>
  <si>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</si>
  <si>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</si>
  <si>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</si>
  <si>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</si>
  <si>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</si>
  <si>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</si>
  <si>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</si>
  <si>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</si>
  <si>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</si>
  <si>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</si>
  <si>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</si>
  <si>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</si>
  <si>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</si>
  <si>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</si>
  <si>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</si>
  <si>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</si>
  <si>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</si>
  <si>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</si>
  <si>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</si>
  <si>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</si>
  <si>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</si>
  <si>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</si>
  <si>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Tablet OS/network details &amp; Tablet Application</t>
  </si>
  <si>
    <t>Physical Assets</t>
  </si>
  <si>
    <t>Smart medic (Stryker device) System Component</t>
  </si>
  <si>
    <t>Monitors local bed status information, alerting caregivers visually, audibly or remotely if preset parameters are compromised.</t>
  </si>
  <si>
    <t>Information related to authenication/authorisation data (password/pins/MFA/Biometrics)</t>
  </si>
  <si>
    <t>Device Maintainence tool (Hardware/Software)</t>
  </si>
  <si>
    <t>Device Maintainence tool (Hardware/Software) that patchs and updates Smart Medic Device and Application related to Security</t>
  </si>
  <si>
    <t>Electronic Health Records (EHR)/ Device Component status</t>
  </si>
  <si>
    <t xml:space="preserve">Smart device components health status information </t>
  </si>
  <si>
    <t>Interface/API Communication</t>
  </si>
  <si>
    <t>Communication middleware enables communication and data management for distributed applications.</t>
  </si>
  <si>
    <t xml:space="preserve">Devices that are used for communication among the Smart Medic project component. </t>
  </si>
  <si>
    <t>Data at Rest</t>
  </si>
  <si>
    <t>Use strong encryption algorthim to store data on cloud platform (Smartmedic Device)/tablet</t>
  </si>
  <si>
    <t>Use strong encryption algorthim to data moving on tablet to cloud platform(Smartmedic Device)/tablet</t>
  </si>
  <si>
    <t>Smart medic app (Azure Portal Administrator)</t>
  </si>
  <si>
    <t>Azure Portal Administrator for Smart medic app</t>
  </si>
  <si>
    <t>Azure Cloud DataBase</t>
  </si>
  <si>
    <t xml:space="preserve">Azure Cloud DataBase related to Smart Medic app </t>
  </si>
  <si>
    <t>Health vital data</t>
  </si>
  <si>
    <t>Health vital data Body temperature. Pulse rate. Respiration rate,weight data, position data, etc.</t>
  </si>
  <si>
    <t>&lt;2021-07-12&gt;</t>
  </si>
  <si>
    <t>V03</t>
  </si>
  <si>
    <t>V04</t>
  </si>
  <si>
    <t>V05</t>
  </si>
  <si>
    <t>Devices with default passwords needs to be checked for bruteforce attacks</t>
  </si>
  <si>
    <t>External communications and exposure for communciation channels from and to application and devices like tablet and smartmedic device.</t>
  </si>
  <si>
    <t>The password complexity or location vulnerability. Like weak passwords and hardcoded passwords.</t>
  </si>
  <si>
    <t>Checking authentication modes for possible hacks and bypasses</t>
  </si>
  <si>
    <t>V06</t>
  </si>
  <si>
    <t>V07</t>
  </si>
  <si>
    <t>V08</t>
  </si>
  <si>
    <t>V09</t>
  </si>
  <si>
    <t>V10</t>
  </si>
  <si>
    <t>Lack of Asset location digaram in security operations manual</t>
  </si>
  <si>
    <t>Lack of configuration controls for IT assets in the informaion system plan</t>
  </si>
  <si>
    <t>Ineffective patch management of firware, OS and applications thoughout the information system plan</t>
  </si>
  <si>
    <t xml:space="preserve">Lack of plan for periodic Software Vulnerability Management </t>
  </si>
  <si>
    <t>The  static connection digaram between devices and applications with provision for periodic updation as per changes</t>
  </si>
  <si>
    <t>Assest counting system for all instances of product implementation</t>
  </si>
  <si>
    <t>Unprotected network port(s) on network devices and connection points</t>
  </si>
  <si>
    <t>Unprotected external USB Port on the tablet/devices.</t>
  </si>
  <si>
    <t>Controlled Use of Administrative Privileges over the network</t>
  </si>
  <si>
    <t>V12</t>
  </si>
  <si>
    <t>V13</t>
  </si>
  <si>
    <t>V14</t>
  </si>
  <si>
    <t>V15</t>
  </si>
  <si>
    <t>V16</t>
  </si>
  <si>
    <t>Unencrypted data at rest in all possible locations</t>
  </si>
  <si>
    <t>Weak Algorthim implementation with respect cipher key size</t>
  </si>
  <si>
    <t>InSecure Configurations of Resources</t>
  </si>
  <si>
    <t>V17</t>
  </si>
  <si>
    <t>V18</t>
  </si>
  <si>
    <t>V19</t>
  </si>
  <si>
    <t>InSecure/not recommended  Configuration for Mobile Devices, Laptops, Workstations, and Servers</t>
  </si>
  <si>
    <t>InSecure Configuration for Software/OS on Mobile Devices, Laptops, Workstations, and Servers</t>
  </si>
  <si>
    <t>Legacy system identification if any</t>
  </si>
  <si>
    <t>Outdated  - Software/Hardware</t>
  </si>
  <si>
    <t>V20</t>
  </si>
  <si>
    <t>T06</t>
  </si>
  <si>
    <t>T07</t>
  </si>
  <si>
    <t>T08</t>
  </si>
  <si>
    <t>T09</t>
  </si>
  <si>
    <t>T10</t>
  </si>
  <si>
    <t>T11</t>
  </si>
  <si>
    <t>T12</t>
  </si>
  <si>
    <t>This phase is where an attacker breaks into the system/network using various tools or methods. After entering into a system, he has to increase his privilege to administrator level so he can install an application he needs or modify data or hide data</t>
  </si>
  <si>
    <t>The aim is to maintain the access to the target until he finishes the tasks he planned to accomplish in that target.</t>
  </si>
  <si>
    <t>This involves modifying/corrupting/deleting the values of Logs, modifying registry values and uninstalling all applications he used and deleting all folders he created</t>
  </si>
  <si>
    <t>Identify weaknesses of segregation in terms of administrative and user-level privileges</t>
  </si>
  <si>
    <t>Find ways to exhaust or drown out legitimate requests</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</si>
  <si>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</si>
  <si>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Access user and application data e.g. by a malicious application or script</t>
  </si>
  <si>
    <t>Penetrate Open and Unsecured Ports</t>
  </si>
  <si>
    <t>The brute-force attack contained a dictionary of well-known directories and authentication paradigms present in common webservers.</t>
  </si>
  <si>
    <t>create custom phishing scams, phone-based attacks and even physical intrusion to test your organization’s level of security.</t>
  </si>
  <si>
    <t xml:space="preserve">1) Malicious utilization of  computer resources 2) computing power  
3) denial of service attacks, 
4) ransomware attack 
5) Bitcoin mining, etc </t>
  </si>
  <si>
    <t xml:space="preserve">1) Malicious utilization of  computer resources 
2) computing power  
3) denial of service attacks, 
4) ransomware attack 
5) Bitcoin mining, etc </t>
  </si>
  <si>
    <t>1)  Obtain knowledge about system internals
2)  Attempt to find attack vectors 
3)  Possibilities for exploitation of publicly known Vulnerabilities.</t>
  </si>
  <si>
    <t>1) Tampering of forensic data
2) This involves modifying/corrupting/deleting the values of Logs, 
3) Modifying registry values 
4) Uninstalling all malcious applications/tools   
5) Deleting all folders which were created</t>
  </si>
  <si>
    <t>1) Gaining access to the portal 
2) Accessing confidential data, 
3) Lead misuse of confidential data
4)  Company defamation</t>
  </si>
  <si>
    <t>1) Bring down the service availability 
2) Blocking the end user usage</t>
  </si>
  <si>
    <t>1) Allowing application or script to perform abnormal activites on the system.
2) Modifying the data, tampering the confidential data making it unavailable or challenging the integrity of data.</t>
  </si>
  <si>
    <t>1) This threat may hamper digital or physical resources, infractructure and end points
2) Get the user (employee/ client/ customer) to download malware, send money or perform actions that are dangerous.</t>
  </si>
  <si>
    <t>1) This threat may hamper digital or physical resources, infractructure and end points through spear phishing mail 
2) Get the user (employee/ client/ customer) to download malware, send money or perform actions that are dangerous.
3) Reputational harm
4) Economical harm</t>
  </si>
  <si>
    <t>1) An attacker may attempt to discover a weak encryption by systematically trying every possible combination of decryption key.</t>
  </si>
  <si>
    <t xml:space="preserve">Utilizing computer resources and computing power by adversary, allows various general purpose attacks, such as  incl. Ransomware deployment, Bitcoin Mining, abuse of peripheral devices such as WebCam, Microphones, etc., . </t>
  </si>
  <si>
    <t>Insecure communications in networks (hospital)</t>
  </si>
  <si>
    <t>Information of health data can be exploit and disclose with various means like network, tablet etc.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</si>
  <si>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</si>
  <si>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</si>
  <si>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</si>
  <si>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</si>
  <si>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Error Info containing sensitive data for Failed Authentication attempts</t>
  </si>
  <si>
    <t>V24</t>
  </si>
  <si>
    <t>V25</t>
  </si>
  <si>
    <t>V26</t>
  </si>
  <si>
    <t>V27</t>
  </si>
  <si>
    <t>Deliver undirected malware
(CAPEC-185)</t>
  </si>
  <si>
    <t>Deliver directed malware
(CAPEC-185)</t>
  </si>
  <si>
    <t>V28</t>
  </si>
  <si>
    <t>V29</t>
  </si>
  <si>
    <t>Logging/Monitoring</t>
  </si>
  <si>
    <t>Keys &amp; Certificates</t>
  </si>
  <si>
    <t>Gaining Access
([S]TRID[E])</t>
  </si>
  <si>
    <t>Maintaining Access
(TTP)</t>
  </si>
  <si>
    <t>Clearing Track
(TTP)</t>
  </si>
  <si>
    <t>Elevation of privilege
(STRID[E])</t>
  </si>
  <si>
    <t>Denial of service
(STRI(D)E)</t>
  </si>
  <si>
    <t>Information disclosure
(STR(I)DE)</t>
  </si>
  <si>
    <t>Data Access
(STR[I]DE)</t>
  </si>
  <si>
    <t>Open network port exploit
(TTP)</t>
  </si>
  <si>
    <t>Brute-force Attack
(CAPEC-112)</t>
  </si>
  <si>
    <t>Social Engineering
(TTP)</t>
  </si>
  <si>
    <t>T13</t>
  </si>
  <si>
    <t>T14</t>
  </si>
  <si>
    <t>This involves  modifying registry values, deleting/encrypting Confidential info and uninstalling Any secure applications and renaming/deleting all files/folders</t>
  </si>
  <si>
    <t>Unauthorized Alterations
(S[T]RIDE)</t>
  </si>
  <si>
    <t>Having no limit on the login attempts</t>
  </si>
  <si>
    <t>No session expiry after certain time interval</t>
  </si>
  <si>
    <t>All the actions/events should be properly logged and the content needs to be protected by proper access rights.</t>
  </si>
  <si>
    <t>V30</t>
  </si>
  <si>
    <t>Insufficient Access permissions for accessing and modifying Log files</t>
  </si>
  <si>
    <t>Lack of evidence to conclude any malicious attempt/attack
(ST[R]IDE)</t>
  </si>
  <si>
    <t>1)  Adversary tried to obtain knowledge about system internals
2)  Attempt to find attack vectors 
3)  Executed malicious activities
4)  Complete details related to the attacker/malicious activities not recorded</t>
  </si>
  <si>
    <t>Tablet Resources - web cam, microphone, OTG devices, Removable USB, Tablet Application, Network interfaces (Bluetooth, Wifi)</t>
  </si>
  <si>
    <t xml:space="preserve">Insufficient Logging information </t>
  </si>
  <si>
    <t>Absence of additional security factor along with user identification</t>
  </si>
  <si>
    <t>Improper security (for ex.,Storage &amp; Access) for Key tokens and Certificates</t>
  </si>
  <si>
    <t>AuthN management</t>
  </si>
  <si>
    <t>A15</t>
  </si>
  <si>
    <t>Nurse Station Application</t>
  </si>
  <si>
    <t>Smart medic web application for nurse/health worker running on the Nurse Station</t>
  </si>
  <si>
    <t>Unencrypted data in transit in all flowchannels</t>
  </si>
  <si>
    <t>Data in Transit</t>
  </si>
  <si>
    <t>Weak Encryption Implementaion in data at rest and in transit tactical and design wise</t>
  </si>
  <si>
    <t>Unencrypted Network segment through out the information flow</t>
  </si>
  <si>
    <t>V31</t>
  </si>
  <si>
    <t>V32</t>
  </si>
  <si>
    <t>Improper/insufficient provisioning of IOT hub</t>
  </si>
  <si>
    <t>Unsecured communication with unauthenticated 3rd party devices</t>
  </si>
  <si>
    <t>1. If provisioning got failed/misleaded then the complete functionality gets affected. 
2. Proper reason for the provisioning failure needs to addressed</t>
  </si>
  <si>
    <t xml:space="preserve">If there is no proper authentication between the devices in the smart medic environment then 3rd party devices can easily establish the communication with the stryker devices
</t>
  </si>
  <si>
    <t>Smart medic app (Stryker Admin Web Application)</t>
  </si>
  <si>
    <t>Smart medic application for nurse/health worker (Stryker Admin Web Application)</t>
  </si>
  <si>
    <t>Authentication/Authorisation method of all device(s)/app</t>
  </si>
  <si>
    <t>Wireless Network device (Scope of HDO)</t>
  </si>
  <si>
    <t xml:space="preserve">1. Asset should be behind stateful firewall
2. Anti-virus with updated virus definitions
3. Audit log capturing any abnormal activity
4.  Use hardened interfaces (n/w) &amp; secure tunnel communications channel </t>
  </si>
  <si>
    <t>1. SOM D001020115 - 23. Malware Detection/Protection
2. SRS ITEM
3. SRS ITEM
4. SRS ITEM</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</si>
  <si>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List.
5. Stateful firewall</t>
  </si>
  <si>
    <t>1. SRS ITEM
2. SRS ITEM
3. SRS ITEM
4. SRS ITEM
5. SOM D001020115 - 23. Malware Detection/Protection</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</si>
  <si>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</si>
  <si>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1. SRS ITEM
2. SRS ITEM
3. SRS ITEM
4. SRS ITEM
</t>
  </si>
  <si>
    <t>1. SRS ITEM
2. SRS ITEM
3. SRS ITEM
4. SRS ITEM</t>
  </si>
  <si>
    <t>1. Anonymization/Pseudomyzation of patient details
2. Data encyrption
3. Mainitaing Access Logs
4. Maintain Server Security Logs</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</si>
  <si>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</si>
  <si>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</si>
  <si>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 xml:space="preserve">1.  Identification of the sensitive data in storage and encryption of storage subsystem
2. Stateful firewall
3. Hardening of the host system containing sensitive data at rest
4. Maintain access control list.
5. Use strong encrption algorithm </t>
  </si>
  <si>
    <t>1. SRS ITEM
2. SOM D001020115 - 23. Malware Detection/Protection
3. SRS ITEM
4. SOM D001020115 - 05 Access control policy and management
5. SRS ITEM</t>
  </si>
  <si>
    <t>1. Validate the currrent system configuration and prepare a secure configuration model
2. Deploy system configuration management tool
3. Implement automated configuration monitoring systems
4. Establish internal and external
information sources for threat
intelligence and vulnerability
data, monitoring them regularly
and taking appropriate action for
high-priority items
5. Use upgraded software, firmware
6 Never use credentials such as date of birth, spouse, or child’s or pet’s name
7. Stateful Firewall</t>
  </si>
  <si>
    <t>1. SRS ITEM
2. SRS ITEM
3. SRS ITEM
4. SRS ITEM
5. SRS ITEM
6. SRS ITEM
7. SRS ITEM</t>
  </si>
  <si>
    <t>1. Use secure tunnel communication channel
2. Configure and upgrade routers for the n/w security
3. Configure firewalls to reject any packets with spoofed addresses.
4. Maintain access control list.
5. For sensitive data proper encryption mechanism needs to be 
designed &amp; implemented</t>
  </si>
  <si>
    <t>1. SRS ITEM
2. SOM D001020115 - 16. Transmission confidentiality and integrity
3. SOM D001020115 - 23. Malware Detection/Protection
4. SOM D001020115 - 05. Access control policy and management
5. SRS ITEM</t>
  </si>
  <si>
    <t>1. Statefull firewall
2. Configure and upgrade routers for the n/w security
3. Configure firewalls to reject any packets with spoofed addresses.
4. Use secure tunnel communication channel</t>
  </si>
  <si>
    <t>1. SRS ITEM
2. SOM D001020115 - 05. Access control policy and management
3. SRS ITEM
4. SRS ITEM
5. SRS ITEM</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</si>
  <si>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</si>
  <si>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t>1. SOM D001020115 - 23. Malware Detection/Protection
2. SOM D001020115 - 16. Transmission confidentiality and integrity
3. SOM D001020115 - 23. Malware Detection/Protection
4. SRS ITEM</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</si>
  <si>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</si>
  <si>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t>1. If database access using keys/certificates, their generation &amp; storage should be done securely.
2. Apart from user id there should be additional security factor (keys/certificates) for verification.
3.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</si>
  <si>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</si>
  <si>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Standard error info messages should be used. Information aiding the attacks should be avoided.
2. Apart from user id there should be additional security factor for verification.
3. Limit on the login attempts is mandatory.</t>
  </si>
  <si>
    <t>1. SRS ITEM
2. SRS ITEM
3. SRS ITEM</t>
  </si>
  <si>
    <t>1. If devices/apps being accessed by login credentials &amp; MFA. Then, strong password policies &amp; management are required
2. Require multi-factor authentication
3. Limit authentication attempts (rate Limiting)
4. Maintain Access Logs
5. Maintain Server Security Logs
6. Stronger authentication methods</t>
  </si>
  <si>
    <t xml:space="preserve">1. SRS ITEM
2. SRS ITEM
3. SRS ITEM
4. SRS ITEM
5. SRS ITEM
6. SRS ITEM
</t>
  </si>
  <si>
    <t>1. If devices/apps being accessed by login credentials &amp; MFA. Then, strong password policies &amp; management are required
2. Require multi-factor authentication
3 Limit authentication attempts (rate Limiting)
4 Maintain Access Logs
5 Maintain Server Security Logs
6, Stronger authentication methods</t>
  </si>
  <si>
    <t xml:space="preserve">1. SRS ITEM
2. SRS ITEM
</t>
  </si>
  <si>
    <t xml:space="preserve">1. Weak algorithms such as DES, RC4, etc.. should be avoided and usage of  strong algorithms such as AES, RSA, etc.. are recomended
2. Typical key lengths are 128 and 256 bits for private keys and 2048 for public keys are recommended.
</t>
  </si>
  <si>
    <t xml:space="preserve">1. Only stryker made/authenticated devices should communicate with smart medic device
2. Asset should be behind stateful firewall
3.  Use secure tunnel communications channel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</si>
  <si>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</si>
  <si>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 xml:space="preserve">1. Only stryker/HDO authenticated devices should communicate with smart medic device
2. Asset should be behind stateful firewall
3. Use secure tunnel communications channel </t>
  </si>
  <si>
    <t>1. Require that administrators establish multi factor authentication for their administrator and non-administrative accounts.
2. Access to a machine (either remotely or locally) should be blocked for administrator-level accounts.
3. Change all default credentials for applications, operating systems, routers, firewalls, wireless access points</t>
  </si>
  <si>
    <t xml:space="preserve">1. SRS ITEM
2. SRS ITEM
3. SRS ITEM (Azure portal)
</t>
  </si>
  <si>
    <t xml:space="preserve">1. SRS ITEM
2.  SRS ITEM
3. SOM D001020115 - 05 Access control policy and management
</t>
  </si>
  <si>
    <t xml:space="preserve">1. Strong password strength practices is recommended for admin web app.
2. Require multi-factor authentication
3. Limit authentication attempts (rate Limiting)
4. Maintain Access Logs
5. Maintain Server Security Logs
6. Stronger authentication methods
</t>
  </si>
  <si>
    <t xml:space="preserve">1. Strong password strength practices is recommended in azure
2. Require multi-factor authentication
3. limit authentication attempts (rate Limiting)
4. Maintain Access Logs
5. Maintain Server Security Logs
6. Stronger authentication methods
</t>
  </si>
  <si>
    <t>1. SRS ITEM
2. SRS ITEM
3. SRS ITEM
4. SRS ITEM
5. SRS ITEM
6. SRS ITEM</t>
  </si>
  <si>
    <t>1. Secure communication with Secure Sockets Layer (SSL) or TLS protocols that provide message confidentiality 
2. Secure sensitive data in the channel flow using strong encryption
3. Statefull firewall
4. Proper way of network access control</t>
  </si>
  <si>
    <t>1. SRS ITEM
2. SRS ITEM
3. SOM D001020115 - 23. Malware Detection/Protection
4. SOM D001020115 - 05. Access control policy and management</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</si>
  <si>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</si>
  <si>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Maintain Access Logs
5. Maintain Server Security Logs
6. Stronger authentication methods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</si>
  <si>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</si>
  <si>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</si>
  <si>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SRS ITEM
2. SOM D001020115 - 23. Malware Detection/Protection
3.  SRS ITEM
4. SRS ITEM
5. SRS ITEM</t>
  </si>
  <si>
    <t>1. During the access providing, if default password is provided then immediately changing the password is needed. 
Also ensure:
2. Require multi-factor authentication
3. Limit authentication attempts (rate Limiting)
4. Maintain Access Logs
5. Maintain Server Security Logs</t>
  </si>
  <si>
    <t xml:space="preserve">1. SRS ITEM
2. SRS ITEM
3. SRS ITEM
4. SRS ITEM
5. SRS ITEM
</t>
  </si>
  <si>
    <t>SRS ITEM</t>
  </si>
  <si>
    <t>Audit log:
All the information needed for identifying the threat (malicious) activity and adversary information needed to be logged for determining the attack vector and attack surface. This helps to make the system less vulnerable in future by correcting those issues.</t>
  </si>
  <si>
    <t>Audit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 log should be secured from unauthorized access.</t>
  </si>
  <si>
    <t>SOM responsibility
1. Statefull Firewall
2. Maintain access control list</t>
  </si>
  <si>
    <t>1. SOM D001020115 - 23. Malware Detection/Protection
2. SOM D001020115 - 05. Access control policy and management</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</si>
  <si>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</si>
  <si>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</si>
  <si>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(SRS REQUIREMENT FOR STRYKER IT TEAM)</t>
  </si>
  <si>
    <t>Stryker IT team responsibility
1. Delete any request for personal information
2. Statefull firewall
3. Disable device network discoverable
4. Maintain access control list</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</si>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</sst>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sz val="11"/>
      <color theme="1"/>
      <name val="Cambria"/>
      <family val="1"/>
    </font>
    <font>
      <sz val="11"/>
      <color rgb="FF000000"/>
      <name val="Cambria"/>
      <family val="1"/>
    </font>
    <font>
      <sz val="11"/>
      <color rgb="FF0000FF"/>
      <name val="Cambria"/>
      <family val="1"/>
    </font>
    <font>
      <sz val="11"/>
      <name val="Cambria"/>
      <family val="1"/>
    </font>
    <font>
      <sz val="11"/>
      <color theme="1"/>
      <name val="Cambria"/>
      <family val="1"/>
    </font>
    <font>
      <sz val="11"/>
      <color theme="1"/>
      <name val="Cambria"/>
      <family val="1"/>
    </font>
    <font>
      <sz val="11"/>
      <color rgb="FF0000FF"/>
      <name val="Cambria"/>
      <family val="1"/>
    </font>
    <font>
      <sz val="11"/>
      <name val="Cambria"/>
      <family val="1"/>
    </font>
    <font>
      <sz val="11"/>
      <color theme="1"/>
      <name val="Cambria"/>
      <family val="1"/>
    </font>
    <font>
      <sz val="11"/>
      <color rgb="FF0000FF"/>
      <name val="Cambria"/>
      <family val="1"/>
    </font>
    <font>
      <sz val="11"/>
      <name val="Cambria"/>
      <family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3">
    <xf numFmtId="0" fontId="0" fillId="0" borderId="0"/>
    <xf numFmtId="0" fontId="1" fillId="0" borderId="0"/>
    <xf numFmtId="0" fontId="14" fillId="0" borderId="0"/>
  </cellStyleXfs>
  <cellXfs count="345">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19" fillId="4" borderId="41" xfId="0" applyFont="1" applyFill="1" applyBorder="1" applyAlignment="1">
      <alignment horizontal="center" vertical="center" wrapText="1"/>
    </xf>
    <xf numFmtId="0" fontId="19" fillId="4" borderId="34" xfId="0" applyFont="1" applyFill="1" applyBorder="1" applyAlignment="1">
      <alignment horizontal="center"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23" fillId="0" borderId="1" xfId="0" applyFont="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17" fillId="0" borderId="0" xfId="0" applyFont="1" applyAlignment="1">
      <alignment wrapText="1"/>
    </xf>
    <xf numFmtId="0" fontId="37" fillId="0" borderId="1" xfId="0" applyFont="1" applyBorder="1" applyAlignment="1">
      <alignment vertical="top"/>
    </xf>
    <xf numFmtId="0" fontId="37" fillId="0" borderId="1" xfId="0" applyFont="1" applyBorder="1" applyAlignment="1">
      <alignment vertical="top" wrapText="1"/>
    </xf>
    <xf numFmtId="0" fontId="15" fillId="0" borderId="6" xfId="0" applyFont="1" applyBorder="1" applyAlignment="1">
      <alignment vertical="top" wrapText="1"/>
    </xf>
    <xf numFmtId="0" fontId="15" fillId="3" borderId="3" xfId="0" applyFont="1" applyFill="1" applyBorder="1" applyAlignment="1">
      <alignment horizontal="left" vertical="top" wrapText="1"/>
    </xf>
    <xf numFmtId="0" fontId="0" fillId="0" borderId="0" xfId="0" applyFont="1" applyAlignment="1">
      <alignment vertical="top" wrapText="1"/>
    </xf>
    <xf numFmtId="0" fontId="38" fillId="19" borderId="1" xfId="0" applyFont="1" applyFill="1" applyBorder="1" applyAlignment="1">
      <alignment vertical="top" wrapText="1"/>
    </xf>
    <xf numFmtId="0" fontId="38" fillId="0" borderId="1" xfId="0" applyFont="1" applyBorder="1" applyAlignment="1">
      <alignment horizontal="center" vertical="top" wrapText="1"/>
    </xf>
    <xf numFmtId="0" fontId="37" fillId="0" borderId="1" xfId="0" applyFont="1" applyBorder="1" applyAlignment="1">
      <alignment horizontal="center" vertical="top"/>
    </xf>
    <xf numFmtId="0" fontId="37" fillId="15" borderId="1" xfId="0" applyNumberFormat="1" applyFont="1" applyFill="1" applyBorder="1" applyAlignment="1">
      <alignment vertical="top" wrapText="1"/>
    </xf>
    <xf numFmtId="0" fontId="37" fillId="19" borderId="1" xfId="0" applyFont="1" applyFill="1" applyBorder="1" applyAlignment="1">
      <alignment horizontal="center" vertical="center" wrapText="1"/>
    </xf>
    <xf numFmtId="164" fontId="37" fillId="15" borderId="1" xfId="0" applyNumberFormat="1" applyFont="1" applyFill="1" applyBorder="1" applyAlignment="1">
      <alignment horizontal="center" vertical="center" wrapText="1"/>
    </xf>
    <xf numFmtId="164" fontId="39" fillId="15"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wrapText="1"/>
    </xf>
    <xf numFmtId="0" fontId="40" fillId="0" borderId="1" xfId="0" applyFont="1" applyBorder="1" applyAlignment="1">
      <alignment vertical="top" wrapText="1"/>
    </xf>
    <xf numFmtId="0" fontId="37" fillId="19" borderId="1" xfId="0" applyNumberFormat="1" applyFont="1" applyFill="1" applyBorder="1" applyAlignment="1">
      <alignment horizontal="center" vertical="center" wrapText="1"/>
    </xf>
    <xf numFmtId="0" fontId="39" fillId="22"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xf>
    <xf numFmtId="0" fontId="37" fillId="0" borderId="1" xfId="0" applyNumberFormat="1" applyFont="1" applyBorder="1" applyAlignment="1">
      <alignment vertical="top"/>
    </xf>
    <xf numFmtId="0" fontId="37" fillId="18" borderId="1" xfId="0" applyNumberFormat="1" applyFont="1" applyFill="1" applyBorder="1" applyAlignment="1">
      <alignment vertical="top"/>
    </xf>
    <xf numFmtId="0" fontId="40" fillId="0" borderId="1" xfId="0" applyFont="1" applyBorder="1" applyAlignment="1">
      <alignment vertical="top"/>
    </xf>
    <xf numFmtId="0" fontId="0" fillId="0" borderId="0" xfId="0" applyAlignment="1">
      <alignment wrapText="1"/>
    </xf>
    <xf numFmtId="0" fontId="37" fillId="0" borderId="1" xfId="0" applyNumberFormat="1" applyFont="1" applyBorder="1" applyAlignment="1">
      <alignment vertical="top" wrapText="1"/>
    </xf>
    <xf numFmtId="0" fontId="0" fillId="0" borderId="0" xfId="0" applyAlignment="1">
      <alignment vertical="top" wrapText="1"/>
    </xf>
    <xf numFmtId="0" fontId="37" fillId="0" borderId="1" xfId="0" applyFont="1" applyBorder="1" applyAlignment="1">
      <alignment horizontal="center" vertical="center"/>
    </xf>
    <xf numFmtId="0" fontId="37" fillId="0" borderId="5" xfId="0" applyFont="1" applyBorder="1" applyAlignment="1">
      <alignment horizontal="center" vertical="center"/>
    </xf>
    <xf numFmtId="0" fontId="0" fillId="0" borderId="0" xfId="0" applyAlignment="1">
      <alignment horizontal="center" vertical="center"/>
    </xf>
    <xf numFmtId="0" fontId="15" fillId="0" borderId="4" xfId="0" applyFont="1" applyBorder="1" applyAlignment="1">
      <alignment horizontal="center" vertical="center" wrapText="1"/>
    </xf>
    <xf numFmtId="0" fontId="25" fillId="4" borderId="37" xfId="0" applyFont="1" applyFill="1" applyBorder="1" applyAlignment="1">
      <alignment horizontal="center" vertical="center" wrapText="1"/>
    </xf>
    <xf numFmtId="0" fontId="15" fillId="0" borderId="1" xfId="0" applyFont="1" applyBorder="1" applyAlignment="1">
      <alignment horizontal="center" vertical="center"/>
    </xf>
    <xf numFmtId="0" fontId="37" fillId="18" borderId="1" xfId="0" applyFont="1" applyFill="1" applyBorder="1" applyAlignment="1">
      <alignment horizontal="center" vertical="center"/>
    </xf>
    <xf numFmtId="0" fontId="18" fillId="4" borderId="36" xfId="0" applyFont="1" applyFill="1" applyBorder="1" applyAlignment="1">
      <alignment horizontal="center" vertical="center" wrapText="1"/>
    </xf>
    <xf numFmtId="0" fontId="25" fillId="4" borderId="35" xfId="0" applyFont="1" applyFill="1" applyBorder="1" applyAlignment="1">
      <alignment horizontal="center" vertical="center" wrapText="1"/>
    </xf>
    <xf numFmtId="0" fontId="18" fillId="4" borderId="37" xfId="0" applyFont="1" applyFill="1" applyBorder="1" applyAlignment="1">
      <alignment horizontal="center" vertical="center" wrapText="1"/>
    </xf>
    <xf numFmtId="0" fontId="25" fillId="4" borderId="41" xfId="0" applyFont="1" applyFill="1" applyBorder="1" applyAlignment="1">
      <alignment horizontal="center" vertical="center" wrapText="1"/>
    </xf>
    <xf numFmtId="0" fontId="37" fillId="18" borderId="1" xfId="0" applyFont="1" applyFill="1" applyBorder="1" applyAlignment="1">
      <alignment horizontal="center" vertical="center" wrapText="1"/>
    </xf>
    <xf numFmtId="0" fontId="15" fillId="0" borderId="6" xfId="0" applyFont="1" applyFill="1" applyBorder="1" applyAlignment="1">
      <alignment horizontal="center" vertical="center"/>
    </xf>
    <xf numFmtId="0" fontId="0" fillId="0" borderId="0" xfId="0" applyFill="1" applyAlignment="1">
      <alignment horizontal="center" vertical="center"/>
    </xf>
    <xf numFmtId="0" fontId="37" fillId="0" borderId="1" xfId="0" applyFont="1" applyFill="1" applyBorder="1" applyAlignment="1">
      <alignment horizontal="center" vertical="center"/>
    </xf>
    <xf numFmtId="0" fontId="15" fillId="0" borderId="1" xfId="0" applyFont="1" applyFill="1" applyBorder="1" applyAlignment="1">
      <alignment vertical="top" wrapText="1"/>
    </xf>
    <xf numFmtId="0" fontId="15" fillId="0" borderId="1" xfId="0" applyFont="1" applyFill="1" applyBorder="1" applyAlignment="1">
      <alignment horizontal="center" vertical="center" wrapText="1"/>
    </xf>
    <xf numFmtId="0" fontId="37" fillId="0" borderId="1" xfId="0" applyFont="1" applyFill="1" applyBorder="1" applyAlignment="1">
      <alignment horizontal="center" vertical="center" wrapText="1"/>
    </xf>
    <xf numFmtId="164" fontId="39" fillId="0" borderId="1" xfId="0" applyNumberFormat="1" applyFont="1" applyFill="1" applyBorder="1" applyAlignment="1">
      <alignment horizontal="center" vertical="center" wrapText="1"/>
    </xf>
    <xf numFmtId="0" fontId="37" fillId="0" borderId="1" xfId="0" applyNumberFormat="1" applyFont="1" applyFill="1" applyBorder="1" applyAlignment="1">
      <alignment horizontal="center" vertical="top" wrapText="1"/>
    </xf>
    <xf numFmtId="0" fontId="37" fillId="0" borderId="1" xfId="0" applyFont="1" applyFill="1" applyBorder="1" applyAlignment="1">
      <alignment vertical="top"/>
    </xf>
    <xf numFmtId="0" fontId="40" fillId="0" borderId="1" xfId="0" applyFont="1" applyFill="1" applyBorder="1" applyAlignment="1">
      <alignment vertical="top"/>
    </xf>
    <xf numFmtId="0" fontId="37" fillId="0" borderId="1" xfId="0" applyNumberFormat="1" applyFont="1" applyFill="1" applyBorder="1" applyAlignment="1">
      <alignment horizontal="center" vertical="center" wrapText="1"/>
    </xf>
    <xf numFmtId="0" fontId="39" fillId="0" borderId="1" xfId="0" applyNumberFormat="1" applyFont="1" applyFill="1" applyBorder="1" applyAlignment="1">
      <alignment horizontal="center" vertical="center" wrapText="1"/>
    </xf>
    <xf numFmtId="0" fontId="0" fillId="0" borderId="0" xfId="0" applyFont="1" applyFill="1"/>
    <xf numFmtId="0" fontId="0" fillId="0" borderId="0" xfId="0" applyFill="1"/>
    <xf numFmtId="0" fontId="41" fillId="0" borderId="5" xfId="0" applyFont="1" applyBorder="1" applyAlignment="1">
      <alignment horizontal="center" vertical="top"/>
    </xf>
    <xf numFmtId="0" fontId="41" fillId="0" borderId="36" xfId="0" applyFont="1" applyBorder="1" applyAlignment="1">
      <alignment vertical="top"/>
    </xf>
    <xf numFmtId="0" fontId="15" fillId="0" borderId="39" xfId="0" applyFont="1" applyBorder="1" applyAlignment="1">
      <alignment vertical="top" wrapText="1"/>
    </xf>
    <xf numFmtId="0" fontId="37" fillId="0" borderId="5" xfId="0" applyFont="1" applyBorder="1" applyAlignment="1">
      <alignment vertical="top" wrapText="1"/>
    </xf>
    <xf numFmtId="0" fontId="15" fillId="0" borderId="5" xfId="0" applyFont="1" applyBorder="1" applyAlignment="1">
      <alignment vertical="top"/>
    </xf>
    <xf numFmtId="0" fontId="15" fillId="0" borderId="5" xfId="0" applyFont="1" applyBorder="1" applyAlignment="1">
      <alignment horizontal="center" vertical="center"/>
    </xf>
    <xf numFmtId="0" fontId="15" fillId="15" borderId="5" xfId="0" applyNumberFormat="1" applyFont="1" applyFill="1" applyBorder="1" applyAlignment="1">
      <alignment vertical="top" wrapText="1"/>
    </xf>
    <xf numFmtId="0" fontId="15" fillId="18" borderId="5" xfId="0" applyFont="1" applyFill="1" applyBorder="1" applyAlignment="1">
      <alignment horizontal="center" vertical="center"/>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wrapText="1"/>
    </xf>
    <xf numFmtId="0" fontId="15" fillId="3" borderId="1" xfId="0" applyFont="1" applyFill="1" applyBorder="1" applyAlignment="1">
      <alignment horizontal="left" vertical="top"/>
    </xf>
    <xf numFmtId="0" fontId="42" fillId="0" borderId="5" xfId="0" applyFont="1" applyBorder="1" applyAlignment="1">
      <alignment horizontal="center" vertical="center"/>
    </xf>
    <xf numFmtId="0" fontId="42" fillId="15" borderId="5" xfId="0" applyNumberFormat="1" applyFont="1" applyFill="1" applyBorder="1" applyAlignment="1">
      <alignment vertical="top" wrapText="1"/>
    </xf>
    <xf numFmtId="0" fontId="42" fillId="18" borderId="5" xfId="0" applyFont="1" applyFill="1" applyBorder="1" applyAlignment="1">
      <alignment horizontal="center" vertical="center"/>
    </xf>
    <xf numFmtId="0" fontId="42" fillId="0" borderId="5" xfId="0" applyFont="1" applyBorder="1" applyAlignment="1">
      <alignment vertical="top"/>
    </xf>
    <xf numFmtId="0" fontId="42" fillId="19" borderId="5" xfId="0" applyFont="1" applyFill="1" applyBorder="1" applyAlignment="1">
      <alignment horizontal="center" vertical="center" wrapText="1"/>
    </xf>
    <xf numFmtId="164" fontId="42" fillId="15" borderId="5" xfId="0" applyNumberFormat="1" applyFont="1" applyFill="1" applyBorder="1" applyAlignment="1">
      <alignment horizontal="center" vertical="center" wrapText="1"/>
    </xf>
    <xf numFmtId="164" fontId="43" fillId="15" borderId="5" xfId="0" applyNumberFormat="1" applyFont="1" applyFill="1" applyBorder="1" applyAlignment="1">
      <alignment horizontal="center" vertical="center" wrapText="1"/>
    </xf>
    <xf numFmtId="164" fontId="43" fillId="19" borderId="5" xfId="0" applyNumberFormat="1" applyFont="1" applyFill="1" applyBorder="1" applyAlignment="1">
      <alignment horizontal="center" vertical="center" wrapText="1"/>
    </xf>
    <xf numFmtId="0" fontId="42" fillId="0" borderId="5" xfId="0" applyNumberFormat="1" applyFont="1" applyBorder="1" applyAlignment="1">
      <alignment horizontal="center" vertical="top" wrapText="1"/>
    </xf>
    <xf numFmtId="0" fontId="44" fillId="0" borderId="5" xfId="0" applyFont="1" applyBorder="1" applyAlignment="1">
      <alignment vertical="top"/>
    </xf>
    <xf numFmtId="0" fontId="42" fillId="19" borderId="5" xfId="0" applyNumberFormat="1" applyFont="1" applyFill="1" applyBorder="1" applyAlignment="1">
      <alignment horizontal="center" vertical="center" wrapText="1"/>
    </xf>
    <xf numFmtId="0" fontId="43" fillId="22" borderId="5" xfId="0" applyNumberFormat="1" applyFont="1" applyFill="1" applyBorder="1" applyAlignment="1">
      <alignment horizontal="center" vertical="center" wrapText="1"/>
    </xf>
    <xf numFmtId="0" fontId="42" fillId="0" borderId="1" xfId="0" applyFont="1" applyBorder="1" applyAlignment="1">
      <alignment horizontal="center" vertical="center"/>
    </xf>
    <xf numFmtId="0" fontId="42" fillId="15" borderId="1" xfId="0" applyNumberFormat="1" applyFont="1" applyFill="1" applyBorder="1" applyAlignment="1">
      <alignment vertical="top" wrapText="1"/>
    </xf>
    <xf numFmtId="0" fontId="42" fillId="18" borderId="1" xfId="0" applyFont="1" applyFill="1" applyBorder="1" applyAlignment="1">
      <alignment horizontal="center" vertical="center"/>
    </xf>
    <xf numFmtId="0" fontId="42" fillId="0" borderId="1" xfId="0" applyFont="1" applyBorder="1" applyAlignment="1">
      <alignment vertical="top"/>
    </xf>
    <xf numFmtId="0" fontId="42" fillId="19" borderId="1" xfId="0" applyFont="1" applyFill="1" applyBorder="1" applyAlignment="1">
      <alignment horizontal="center" vertical="center" wrapText="1"/>
    </xf>
    <xf numFmtId="164" fontId="42" fillId="15" borderId="1" xfId="0" applyNumberFormat="1" applyFont="1" applyFill="1" applyBorder="1" applyAlignment="1">
      <alignment horizontal="center" vertical="center" wrapText="1"/>
    </xf>
    <xf numFmtId="164" fontId="43" fillId="15" borderId="1" xfId="0" applyNumberFormat="1" applyFont="1" applyFill="1" applyBorder="1" applyAlignment="1">
      <alignment horizontal="center" vertical="center" wrapText="1"/>
    </xf>
    <xf numFmtId="164" fontId="43" fillId="19" borderId="1" xfId="0" applyNumberFormat="1" applyFont="1" applyFill="1" applyBorder="1" applyAlignment="1">
      <alignment horizontal="center" vertical="center" wrapText="1"/>
    </xf>
    <xf numFmtId="0" fontId="42" fillId="0" borderId="1" xfId="0" applyNumberFormat="1" applyFont="1" applyBorder="1" applyAlignment="1">
      <alignment horizontal="center" vertical="top" wrapText="1"/>
    </xf>
    <xf numFmtId="0" fontId="44" fillId="0" borderId="1" xfId="0" applyFont="1" applyBorder="1" applyAlignment="1">
      <alignment vertical="top"/>
    </xf>
    <xf numFmtId="0" fontId="42" fillId="19" borderId="1" xfId="0" applyNumberFormat="1" applyFont="1" applyFill="1" applyBorder="1" applyAlignment="1">
      <alignment horizontal="center" vertical="center" wrapText="1"/>
    </xf>
    <xf numFmtId="0" fontId="43" fillId="22" borderId="1" xfId="0" applyNumberFormat="1" applyFont="1" applyFill="1" applyBorder="1" applyAlignment="1">
      <alignment horizontal="center" vertical="center" wrapText="1"/>
    </xf>
    <xf numFmtId="0" fontId="15" fillId="19" borderId="5" xfId="0" applyFont="1" applyFill="1" applyBorder="1" applyAlignment="1">
      <alignment horizontal="center" vertical="top"/>
    </xf>
    <xf numFmtId="0" fontId="42" fillId="19" borderId="1" xfId="0" applyFont="1" applyFill="1" applyBorder="1" applyAlignment="1">
      <alignment horizontal="center" vertical="top"/>
    </xf>
    <xf numFmtId="0" fontId="42" fillId="19" borderId="5" xfId="0" applyFont="1" applyFill="1" applyBorder="1" applyAlignment="1">
      <alignment horizontal="center" vertical="top"/>
    </xf>
    <xf numFmtId="0" fontId="41" fillId="19" borderId="5" xfId="0" applyFont="1" applyFill="1" applyBorder="1" applyAlignment="1">
      <alignment horizontal="center" vertical="top" wrapText="1"/>
    </xf>
    <xf numFmtId="0" fontId="15" fillId="19" borderId="5" xfId="0" applyFont="1" applyFill="1" applyBorder="1" applyAlignment="1">
      <alignment horizontal="center" vertical="top" wrapText="1"/>
    </xf>
    <xf numFmtId="0" fontId="15" fillId="19" borderId="39" xfId="0" applyFont="1" applyFill="1" applyBorder="1" applyAlignment="1">
      <alignment vertical="top"/>
    </xf>
    <xf numFmtId="0" fontId="15" fillId="19" borderId="4" xfId="0" applyFont="1" applyFill="1" applyBorder="1" applyAlignment="1">
      <alignment vertical="top"/>
    </xf>
    <xf numFmtId="0" fontId="15" fillId="19" borderId="39" xfId="0" applyFont="1" applyFill="1" applyBorder="1" applyAlignment="1">
      <alignment horizontal="center" vertical="center" wrapText="1"/>
    </xf>
    <xf numFmtId="0" fontId="15" fillId="19" borderId="6" xfId="0" applyFont="1" applyFill="1" applyBorder="1" applyAlignment="1">
      <alignment horizontal="center" vertical="top"/>
    </xf>
    <xf numFmtId="0" fontId="45" fillId="0" borderId="1" xfId="0" applyFont="1" applyBorder="1" applyAlignment="1">
      <alignment vertical="top" wrapText="1"/>
    </xf>
    <xf numFmtId="0" fontId="45" fillId="0" borderId="4" xfId="0" applyFont="1" applyBorder="1" applyAlignment="1">
      <alignment vertical="top" wrapText="1"/>
    </xf>
    <xf numFmtId="0" fontId="45" fillId="0" borderId="5" xfId="0" applyFont="1" applyBorder="1" applyAlignment="1">
      <alignment horizontal="center" vertical="top"/>
    </xf>
    <xf numFmtId="0" fontId="45" fillId="0" borderId="5" xfId="0" applyFont="1" applyBorder="1" applyAlignment="1">
      <alignment horizontal="center" vertical="center"/>
    </xf>
    <xf numFmtId="0" fontId="45" fillId="15" borderId="5" xfId="0" applyNumberFormat="1" applyFont="1" applyFill="1" applyBorder="1" applyAlignment="1">
      <alignment vertical="top" wrapText="1"/>
    </xf>
    <xf numFmtId="0" fontId="45" fillId="18" borderId="5" xfId="0" applyFont="1" applyFill="1" applyBorder="1" applyAlignment="1">
      <alignment horizontal="center" vertical="center"/>
    </xf>
    <xf numFmtId="0" fontId="45" fillId="0" borderId="5" xfId="0" applyFont="1" applyBorder="1" applyAlignment="1">
      <alignment vertical="top"/>
    </xf>
    <xf numFmtId="0" fontId="45" fillId="19" borderId="5" xfId="0" applyFont="1" applyFill="1" applyBorder="1" applyAlignment="1">
      <alignment horizontal="center" vertical="center" wrapText="1"/>
    </xf>
    <xf numFmtId="164" fontId="45" fillId="15" borderId="5" xfId="0" applyNumberFormat="1" applyFont="1" applyFill="1" applyBorder="1" applyAlignment="1">
      <alignment horizontal="center" vertical="center" wrapText="1"/>
    </xf>
    <xf numFmtId="164" fontId="46" fillId="15" borderId="5" xfId="0" applyNumberFormat="1" applyFont="1" applyFill="1" applyBorder="1" applyAlignment="1">
      <alignment horizontal="center" vertical="center" wrapText="1"/>
    </xf>
    <xf numFmtId="164" fontId="46" fillId="19" borderId="5" xfId="0" applyNumberFormat="1" applyFont="1" applyFill="1" applyBorder="1" applyAlignment="1">
      <alignment horizontal="center" vertical="center" wrapText="1"/>
    </xf>
    <xf numFmtId="0" fontId="45" fillId="0" borderId="5" xfId="0" applyNumberFormat="1" applyFont="1" applyBorder="1" applyAlignment="1">
      <alignment horizontal="center" vertical="top" wrapText="1"/>
    </xf>
    <xf numFmtId="0" fontId="45" fillId="0" borderId="5" xfId="0" applyFont="1" applyBorder="1" applyAlignment="1">
      <alignment vertical="top" wrapText="1"/>
    </xf>
    <xf numFmtId="0" fontId="47" fillId="0" borderId="5" xfId="0" applyFont="1" applyBorder="1" applyAlignment="1">
      <alignment vertical="top"/>
    </xf>
    <xf numFmtId="0" fontId="45" fillId="19" borderId="5" xfId="0" applyNumberFormat="1" applyFont="1" applyFill="1" applyBorder="1" applyAlignment="1">
      <alignment horizontal="center" vertical="center" wrapText="1"/>
    </xf>
    <xf numFmtId="0" fontId="46" fillId="22" borderId="5" xfId="0" applyNumberFormat="1" applyFont="1" applyFill="1" applyBorder="1" applyAlignment="1">
      <alignment horizontal="center" vertical="center" wrapText="1"/>
    </xf>
    <xf numFmtId="0" fontId="15" fillId="0" borderId="6" xfId="0" applyFont="1" applyFill="1" applyBorder="1" applyAlignment="1">
      <alignment horizontal="center"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3">
    <cellStyle name="Excel Built-in Normal" xfId="2" xr:uid="{00000000-0005-0000-0000-000000000000}"/>
    <cellStyle name="Normal" xfId="0" builtinId="0"/>
    <cellStyle name="Normal 2" xfId="1" xr:uid="{00000000-0005-0000-0000-000002000000}"/>
  </cellStyles>
  <dxfs count="172">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4" totalsRowShown="0" headerRowDxfId="171" dataDxfId="169" headerRowBorderDxfId="170" tableBorderDxfId="168" totalsRowBorderDxfId="167">
  <autoFilter ref="A9:D24" xr:uid="{00000000-0009-0000-0100-000003000000}"/>
  <tableColumns count="4">
    <tableColumn id="1" xr3:uid="{00000000-0010-0000-0000-000001000000}" name="ID #" dataDxfId="166"/>
    <tableColumn id="2" xr3:uid="{00000000-0010-0000-0000-000002000000}" name="Asset Type_x000a_(Information/Physical)" dataDxfId="165"/>
    <tableColumn id="3" xr3:uid="{00000000-0010-0000-0000-000003000000}" name="Asset" dataDxfId="164"/>
    <tableColumn id="4" xr3:uid="{00000000-0010-0000-0000-000004000000}" name="Asset Description" dataDxfId="16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43" totalsRowShown="0" headerRowDxfId="162" dataDxfId="160" headerRowBorderDxfId="161" tableBorderDxfId="159" totalsRowBorderDxfId="158">
  <autoFilter ref="A4:D43" xr:uid="{00000000-0009-0000-0100-000002000000}"/>
  <tableColumns count="4">
    <tableColumn id="1" xr3:uid="{00000000-0010-0000-0100-000001000000}" name="Vuln. ID" dataDxfId="157"/>
    <tableColumn id="4" xr3:uid="{00000000-0010-0000-0100-000004000000}" name="Vulnerability Description" dataDxfId="156"/>
    <tableColumn id="5" xr3:uid="{00000000-0010-0000-0100-000005000000}" name="Applicable (Yes/No)" dataDxfId="155"/>
    <tableColumn id="6" xr3:uid="{00000000-0010-0000-0100-000006000000}" name="Rationale (if Vulnerability not applicable)" dataDxfId="15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headerRowDxfId="153" dataDxfId="151" headerRowBorderDxfId="152" tableBorderDxfId="150" totalsRowBorderDxfId="149">
  <autoFilter ref="A3:F17" xr:uid="{00000000-0009-0000-0100-000005000000}"/>
  <tableColumns count="6">
    <tableColumn id="1" xr3:uid="{00000000-0010-0000-0200-000001000000}" name="#" dataDxfId="148"/>
    <tableColumn id="2" xr3:uid="{00000000-0010-0000-0200-000002000000}" name="Threat Event " dataDxfId="147"/>
    <tableColumn id="3" xr3:uid="{00000000-0010-0000-0200-000003000000}" name="Description " dataDxfId="146"/>
    <tableColumn id="4" xr3:uid="{00000000-0010-0000-0200-000004000000}" name="Threat Source" dataDxfId="145"/>
    <tableColumn id="5" xr3:uid="{00000000-0010-0000-0200-000005000000}" name="In Scope (Yes/No)" dataDxfId="144"/>
    <tableColumn id="13" xr3:uid="{00000000-0010-0000-0200-00000D000000}" name="Rationale _x000a_(if out of scope)" dataDxfId="14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104" totalsRowShown="0" headerRowDxfId="137" dataDxfId="136" tableBorderDxfId="135">
  <autoFilter ref="A4:AQ104" xr:uid="{00000000-0009-0000-0100-000004000000}"/>
  <tableColumns count="43">
    <tableColumn id="1" xr3:uid="{00000000-0010-0000-0300-000001000000}" name="_x000a_ID #" dataDxfId="134" totalsRowDxfId="133"/>
    <tableColumn id="23" xr3:uid="{00000000-0010-0000-0300-000017000000}" name="T ID" dataDxfId="132" totalsRowDxfId="131"/>
    <tableColumn id="2" xr3:uid="{00000000-0010-0000-0300-000002000000}" name="Threat Event(s)" dataDxfId="130" totalsRowDxfId="129">
      <calculatedColumnFormula>IF(VLOOKUP(Table4[[#This Row],[T ID]],Table5[#All],5,FALSE)="No","Not in scope",VLOOKUP(Table4[[#This Row],[T ID]],Table5[#All],2,FALSE))</calculatedColumnFormula>
    </tableColumn>
    <tableColumn id="22" xr3:uid="{00000000-0010-0000-0300-000016000000}" name="V ID" dataDxfId="128" totalsRowDxfId="127"/>
    <tableColumn id="3" xr3:uid="{00000000-0010-0000-0300-000003000000}" name="Vulnerabilities" dataDxfId="126" totalsRowDxfId="125">
      <calculatedColumnFormula>IF(VLOOKUP(Table4[[#This Row],[V ID]],Vulnerabilities[#All],3,FALSE)="No","Not in scope",VLOOKUP(Table4[[#This Row],[V ID]],Vulnerabilities[#All],2,FALSE))</calculatedColumnFormula>
    </tableColumn>
    <tableColumn id="24" xr3:uid="{00000000-0010-0000-0300-000018000000}" name="A ID" dataDxfId="124" totalsRowDxfId="123"/>
    <tableColumn id="4" xr3:uid="{00000000-0010-0000-0300-000004000000}" name="Asset" dataDxfId="122" totalsRowDxfId="121">
      <calculatedColumnFormula>VLOOKUP(Table4[[#This Row],[A ID]],Assets[#All],3,FALSE)</calculatedColumnFormula>
    </tableColumn>
    <tableColumn id="5" xr3:uid="{00000000-0010-0000-0300-000005000000}" name="Impact Description" dataDxfId="120" totalsRowDxfId="119"/>
    <tableColumn id="7" xr3:uid="{00000000-0010-0000-0300-000007000000}" name="Safety Impact _x000a_(Risk ID# or N/A)" dataDxfId="118" totalsRowDxfId="117"/>
    <tableColumn id="26" xr3:uid="{00000000-0010-0000-0300-00001A000000}" name="Confidentiality" dataDxfId="116" totalsRowDxfId="115"/>
    <tableColumn id="25" xr3:uid="{00000000-0010-0000-0300-000019000000}" name="Integrity" dataDxfId="114" totalsRowDxfId="113"/>
    <tableColumn id="21" xr3:uid="{00000000-0010-0000-0300-000015000000}" name="Availability" dataDxfId="112" totalsRowDxfId="111"/>
    <tableColumn id="44" xr3:uid="{00000000-0010-0000-0300-00002C000000}" name="Attack Vector" dataDxfId="110" totalsRowDxfId="109"/>
    <tableColumn id="45" xr3:uid="{00000000-0010-0000-0300-00002D000000}" name="Attack Complexity" dataDxfId="108" totalsRowDxfId="107"/>
    <tableColumn id="46" xr3:uid="{00000000-0010-0000-0300-00002E000000}" name="Privileges Required" dataDxfId="106" totalsRowDxfId="105"/>
    <tableColumn id="47" xr3:uid="{00000000-0010-0000-0300-00002F000000}" name="User Interaction" dataDxfId="104" totalsRowDxfId="103"/>
    <tableColumn id="43" xr3:uid="{00000000-0010-0000-0300-00002B000000}" name="Scope" dataDxfId="102" totalsRowDxfId="101"/>
    <tableColumn id="48" xr3:uid="{00000000-0010-0000-0300-000030000000}" name="Exploitability Sub Score" dataDxfId="100" totalsRowDxfId="9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98" totalsRowDxfId="9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96" totalsRowDxfId="9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94" totalsRowDxfId="9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92"/>
    <tableColumn id="33" xr3:uid="{00000000-0010-0000-0300-000021000000}" name="Threat Event Initiation_x000a_Score" dataDxfId="91" totalsRowDxfId="90">
      <calculatedColumnFormula>VLOOKUP(Table4[[#This Row],[Threat Event Initiation]],NIST_Scale_LOAI[],2,FALSE)</calculatedColumnFormula>
    </tableColumn>
    <tableColumn id="10" xr3:uid="{00000000-0010-0000-0300-00000A000000}" name="Overall Risk Score" dataDxfId="89" totalsRowDxfId="8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87" totalsRowDxfId="8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85" totalsRowDxfId="84"/>
    <tableColumn id="14" xr3:uid="{00000000-0010-0000-0300-00000E000000}" name="Implementation of Risk Control Measures " dataDxfId="83" totalsRowDxfId="82"/>
    <tableColumn id="15" xr3:uid="{00000000-0010-0000-0300-00000F000000}" name="Verification of Risk Control Measures (Effectiveness)" dataDxfId="81" totalsRowDxfId="80"/>
    <tableColumn id="13" xr3:uid="{00000000-0010-0000-0300-00000D000000}" name="ConfidentialityP" dataDxfId="79" totalsRowDxfId="78"/>
    <tableColumn id="27" xr3:uid="{00000000-0010-0000-0300-00001B000000}" name="IntegrityP" dataDxfId="77" totalsRowDxfId="76"/>
    <tableColumn id="28" xr3:uid="{00000000-0010-0000-0300-00001C000000}" name="AvailabilityP" dataDxfId="75" totalsRowDxfId="74"/>
    <tableColumn id="8" xr3:uid="{00000000-0010-0000-0300-000008000000}" name="Attack VectorP" dataDxfId="73" totalsRowDxfId="72"/>
    <tableColumn id="29" xr3:uid="{00000000-0010-0000-0300-00001D000000}" name="Attack ComplexityP" dataDxfId="71" totalsRowDxfId="70"/>
    <tableColumn id="30" xr3:uid="{00000000-0010-0000-0300-00001E000000}" name="Privileges RequiredP" dataDxfId="69" totalsRowDxfId="68"/>
    <tableColumn id="31" xr3:uid="{00000000-0010-0000-0300-00001F000000}" name="User InteractionP" dataDxfId="67"/>
    <tableColumn id="36" xr3:uid="{00000000-0010-0000-0300-000024000000}" name="ScopeP" dataDxfId="66" totalsRowDxfId="65"/>
    <tableColumn id="35" xr3:uid="{00000000-0010-0000-0300-000023000000}" name="Exploitability Sub ScoreP" dataDxfId="64" totalsRowDxfId="6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62" totalsRowDxfId="6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60" totalsRowDxfId="5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58" totalsRowDxfId="5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56" totalsRowDxfId="5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54" totalsRowDxfId="5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52" totalsRowDxfId="5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84" totalsRowShown="0" headerRowDxfId="45" dataDxfId="44" tableBorderDxfId="43">
  <autoFilter ref="A4:M84" xr:uid="{00000000-0009-0000-0100-00000E000000}"/>
  <tableColumns count="13">
    <tableColumn id="1" xr3:uid="{00000000-0010-0000-0400-000001000000}" name="_x000a_ID #" dataDxfId="42" totalsRowDxfId="41">
      <calculatedColumnFormula>Table4[[#This Row],[
ID '#]]</calculatedColumnFormula>
    </tableColumn>
    <tableColumn id="23" xr3:uid="{00000000-0010-0000-0400-000017000000}" name="T ID" dataDxfId="40" totalsRowDxfId="39">
      <calculatedColumnFormula>IF(Table4[[#This Row],[A ID]]&gt;0,Table4[[#This Row],[T ID]],"")</calculatedColumnFormula>
    </tableColumn>
    <tableColumn id="2" xr3:uid="{00000000-0010-0000-0400-000002000000}" name="Threat Event(s)" dataDxfId="38" totalsRowDxfId="37">
      <calculatedColumnFormula>Table4[[#This Row],[Threat Event(s)]]</calculatedColumnFormula>
    </tableColumn>
    <tableColumn id="22" xr3:uid="{00000000-0010-0000-0400-000016000000}" name="V ID" dataDxfId="36" totalsRowDxfId="35">
      <calculatedColumnFormula>IF(Table4[[#This Row],[V ID]]&gt;0,Table4[[#This Row],[V ID]],"")</calculatedColumnFormula>
    </tableColumn>
    <tableColumn id="3" xr3:uid="{00000000-0010-0000-0400-000003000000}" name="Vulnerabilities" dataDxfId="34" totalsRowDxfId="33">
      <calculatedColumnFormula>Table4[[#This Row],[Vulnerabilities]]</calculatedColumnFormula>
    </tableColumn>
    <tableColumn id="24" xr3:uid="{00000000-0010-0000-0400-000018000000}" name="A ID" dataDxfId="32" totalsRowDxfId="31">
      <calculatedColumnFormula>IF(Table4[[#This Row],[A ID]]&gt;0,Table4[[#This Row],[A ID]],"")</calculatedColumnFormula>
    </tableColumn>
    <tableColumn id="4" xr3:uid="{00000000-0010-0000-0400-000004000000}" name="Assets" dataDxfId="30" totalsRowDxfId="29">
      <calculatedColumnFormula>Table4[[#This Row],[Asset]]</calculatedColumnFormula>
    </tableColumn>
    <tableColumn id="5" xr3:uid="{00000000-0010-0000-0400-000005000000}" name="Impact Description" dataDxfId="28" totalsRowDxfId="27">
      <calculatedColumnFormula>IF(Table4[[#This Row],[Impact Description]]&gt;0,Table4[[#This Row],[Impact Description]],"")</calculatedColumnFormula>
    </tableColumn>
    <tableColumn id="7" xr3:uid="{00000000-0010-0000-0400-000007000000}" name="Safety Impact _x000a_(Risk ID# or N/A)" dataDxfId="26" totalsRowDxfId="25">
      <calculatedColumnFormula>IF(Table4[[#This Row],[Safety Impact 
(Risk ID'# or N/A)]]&gt;0,Table4[[#This Row],[Safety Impact 
(Risk ID'# or N/A)]],"")</calculatedColumnFormula>
    </tableColumn>
    <tableColumn id="11" xr3:uid="{00000000-0010-0000-0400-00000B000000}" name="Pre-Controls _x000a_Risk Level" dataDxfId="24" totalsRowDxfId="23">
      <calculatedColumnFormula>Table4[[#This Row],[Security 
Risk 
Level]]</calculatedColumnFormula>
    </tableColumn>
    <tableColumn id="12" xr3:uid="{00000000-0010-0000-0400-00000C000000}" name="Security Risk Control Measures" dataDxfId="22" totalsRowDxfId="21">
      <calculatedColumnFormula>IF(Table4[[#This Row],[Security Risk Control Measures]]&gt;0,Table4[[#This Row],[Security Risk Control Measures]],"")</calculatedColumnFormula>
    </tableColumn>
    <tableColumn id="50" xr3:uid="{00000000-0010-0000-0400-000032000000}" name="Post-Controls Risk Level" dataDxfId="20" totalsRowDxfId="19">
      <calculatedColumnFormula>Table4[[#This Row],[Security Risk LevelP]]</calculatedColumnFormula>
    </tableColumn>
    <tableColumn id="20" xr3:uid="{00000000-0010-0000-04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16" dataDxfId="15" tableBorderDxfId="14">
  <autoFilter ref="Q4:R10" xr:uid="{00000000-0009-0000-0100-000006000000}"/>
  <tableColumns count="2">
    <tableColumn id="1" xr3:uid="{00000000-0010-0000-0500-000001000000}" name="Rating" dataDxfId="13"/>
    <tableColumn id="2" xr3:uid="{00000000-0010-0000-0500-000002000000}" name="Score" dataDxfId="1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11" dataDxfId="10" tableBorderDxfId="9">
  <autoFilter ref="A4:C10" xr:uid="{00000000-0009-0000-0100-000007000000}"/>
  <tableColumns count="3">
    <tableColumn id="1" xr3:uid="{00000000-0010-0000-0600-000001000000}" name="ID#" dataDxfId="8"/>
    <tableColumn id="2" xr3:uid="{00000000-0010-0000-0600-000002000000}" name="Threat Source" dataDxfId="7"/>
    <tableColumn id="3" xr3:uid="{00000000-0010-0000-0600-000003000000}" name="In Scope (Y/N)" dataDxfId="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5" dataDxfId="4" tableBorderDxfId="3">
  <autoFilter ref="E4:G10" xr:uid="{00000000-0009-0000-0100-000008000000}"/>
  <tableColumns count="3">
    <tableColumn id="1" xr3:uid="{00000000-0010-0000-0700-000001000000}" name="ID#" dataDxfId="2"/>
    <tableColumn id="2" xr3:uid="{00000000-0010-0000-0700-000002000000}" name="Source" dataDxfId="1"/>
    <tableColumn id="3" xr3:uid="{00000000-0010-0000-0700-000003000000}"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0"/>
  <sheetViews>
    <sheetView topLeftCell="A13" zoomScaleNormal="100" workbookViewId="0">
      <selection activeCell="C16" sqref="C16"/>
    </sheetView>
  </sheetViews>
  <sheetFormatPr defaultColWidth="9.1796875" defaultRowHeight="14" x14ac:dyDescent="0.35"/>
  <cols>
    <col min="1" max="1" width="7.81640625" style="28" customWidth="1"/>
    <col min="2" max="2" width="30.7265625" style="28" customWidth="1"/>
    <col min="3" max="3" width="40.81640625" style="28" customWidth="1"/>
    <col min="4" max="4" width="51.26953125" style="28" customWidth="1"/>
    <col min="5" max="5" width="16.1796875" style="28" customWidth="1"/>
    <col min="6" max="6" width="14.26953125" style="28" customWidth="1"/>
    <col min="7" max="16384" width="9.1796875" style="28"/>
  </cols>
  <sheetData>
    <row r="1" spans="1:4" s="32" customFormat="1" x14ac:dyDescent="0.35">
      <c r="A1" s="31" t="s">
        <v>148</v>
      </c>
    </row>
    <row r="2" spans="1:4" s="32" customFormat="1" x14ac:dyDescent="0.35"/>
    <row r="3" spans="1:4" s="32" customFormat="1" x14ac:dyDescent="0.35">
      <c r="A3" s="33" t="s">
        <v>149</v>
      </c>
      <c r="B3" s="34"/>
      <c r="C3" s="305"/>
      <c r="D3" s="305"/>
    </row>
    <row r="4" spans="1:4" s="32" customFormat="1" x14ac:dyDescent="0.35">
      <c r="A4" s="35" t="s">
        <v>153</v>
      </c>
      <c r="B4" s="36"/>
      <c r="C4" s="305"/>
      <c r="D4" s="305"/>
    </row>
    <row r="5" spans="1:4" s="32" customFormat="1" x14ac:dyDescent="0.35">
      <c r="A5" s="35" t="s">
        <v>150</v>
      </c>
      <c r="B5" s="36"/>
      <c r="C5" s="305" t="s">
        <v>219</v>
      </c>
      <c r="D5" s="305"/>
    </row>
    <row r="6" spans="1:4" s="32" customFormat="1" ht="30" customHeight="1" x14ac:dyDescent="0.35">
      <c r="A6" s="37" t="s">
        <v>151</v>
      </c>
      <c r="B6" s="38"/>
      <c r="C6" s="305" t="s">
        <v>152</v>
      </c>
      <c r="D6" s="305"/>
    </row>
    <row r="7" spans="1:4" s="32" customFormat="1" x14ac:dyDescent="0.35"/>
    <row r="8" spans="1:4" s="32" customFormat="1" x14ac:dyDescent="0.35"/>
    <row r="9" spans="1:4" s="32" customFormat="1" ht="28" x14ac:dyDescent="0.35">
      <c r="A9" s="39" t="s">
        <v>8</v>
      </c>
      <c r="B9" s="40" t="s">
        <v>162</v>
      </c>
      <c r="C9" s="40" t="s">
        <v>0</v>
      </c>
      <c r="D9" s="41" t="s">
        <v>11</v>
      </c>
    </row>
    <row r="10" spans="1:4" s="32" customFormat="1" ht="56" x14ac:dyDescent="0.35">
      <c r="A10" s="42" t="s">
        <v>112</v>
      </c>
      <c r="B10" s="43" t="s">
        <v>9</v>
      </c>
      <c r="C10" s="44" t="s">
        <v>323</v>
      </c>
      <c r="D10" s="45" t="s">
        <v>284</v>
      </c>
    </row>
    <row r="11" spans="1:4" s="32" customFormat="1" ht="28" x14ac:dyDescent="0.35">
      <c r="A11" s="42" t="s">
        <v>113</v>
      </c>
      <c r="B11" s="43" t="s">
        <v>10</v>
      </c>
      <c r="C11" s="44" t="s">
        <v>198</v>
      </c>
      <c r="D11" s="45" t="s">
        <v>147</v>
      </c>
    </row>
    <row r="12" spans="1:4" s="32" customFormat="1" ht="42" x14ac:dyDescent="0.35">
      <c r="A12" s="42" t="s">
        <v>114</v>
      </c>
      <c r="B12" s="43" t="s">
        <v>199</v>
      </c>
      <c r="C12" s="44" t="s">
        <v>200</v>
      </c>
      <c r="D12" s="45" t="s">
        <v>201</v>
      </c>
    </row>
    <row r="13" spans="1:4" s="32" customFormat="1" ht="28" x14ac:dyDescent="0.35">
      <c r="A13" s="42" t="s">
        <v>115</v>
      </c>
      <c r="B13" s="43" t="s">
        <v>10</v>
      </c>
      <c r="C13" s="44" t="s">
        <v>343</v>
      </c>
      <c r="D13" s="45" t="s">
        <v>202</v>
      </c>
    </row>
    <row r="14" spans="1:4" s="32" customFormat="1" ht="42" x14ac:dyDescent="0.35">
      <c r="A14" s="42" t="s">
        <v>116</v>
      </c>
      <c r="B14" s="43" t="s">
        <v>199</v>
      </c>
      <c r="C14" s="44" t="s">
        <v>203</v>
      </c>
      <c r="D14" s="45" t="s">
        <v>204</v>
      </c>
    </row>
    <row r="15" spans="1:4" s="32" customFormat="1" ht="28" x14ac:dyDescent="0.35">
      <c r="A15" s="42" t="s">
        <v>117</v>
      </c>
      <c r="B15" s="43" t="s">
        <v>10</v>
      </c>
      <c r="C15" s="46" t="s">
        <v>205</v>
      </c>
      <c r="D15" s="45" t="s">
        <v>206</v>
      </c>
    </row>
    <row r="16" spans="1:4" s="32" customFormat="1" ht="28" x14ac:dyDescent="0.35">
      <c r="A16" s="42" t="s">
        <v>118</v>
      </c>
      <c r="B16" s="43" t="s">
        <v>10</v>
      </c>
      <c r="C16" s="44" t="s">
        <v>207</v>
      </c>
      <c r="D16" s="47" t="s">
        <v>208</v>
      </c>
    </row>
    <row r="17" spans="1:4" s="32" customFormat="1" ht="28" x14ac:dyDescent="0.35">
      <c r="A17" s="42" t="s">
        <v>119</v>
      </c>
      <c r="B17" s="48" t="s">
        <v>199</v>
      </c>
      <c r="C17" s="49" t="s">
        <v>344</v>
      </c>
      <c r="D17" s="47" t="s">
        <v>209</v>
      </c>
    </row>
    <row r="18" spans="1:4" s="32" customFormat="1" ht="28" x14ac:dyDescent="0.35">
      <c r="A18" s="42" t="s">
        <v>120</v>
      </c>
      <c r="B18" s="48" t="s">
        <v>10</v>
      </c>
      <c r="C18" s="49" t="s">
        <v>210</v>
      </c>
      <c r="D18" s="47" t="s">
        <v>211</v>
      </c>
    </row>
    <row r="19" spans="1:4" s="32" customFormat="1" ht="28" x14ac:dyDescent="0.35">
      <c r="A19" s="42" t="s">
        <v>107</v>
      </c>
      <c r="B19" s="48" t="s">
        <v>10</v>
      </c>
      <c r="C19" s="49" t="s">
        <v>332</v>
      </c>
      <c r="D19" s="47" t="s">
        <v>212</v>
      </c>
    </row>
    <row r="20" spans="1:4" s="32" customFormat="1" ht="28" x14ac:dyDescent="0.35">
      <c r="A20" s="42" t="s">
        <v>108</v>
      </c>
      <c r="B20" s="48" t="s">
        <v>10</v>
      </c>
      <c r="C20" s="49" t="s">
        <v>341</v>
      </c>
      <c r="D20" s="47" t="s">
        <v>342</v>
      </c>
    </row>
    <row r="21" spans="1:4" s="32" customFormat="1" ht="28" x14ac:dyDescent="0.35">
      <c r="A21" s="42" t="s">
        <v>109</v>
      </c>
      <c r="B21" s="48" t="s">
        <v>10</v>
      </c>
      <c r="C21" s="49" t="s">
        <v>213</v>
      </c>
      <c r="D21" s="47" t="s">
        <v>214</v>
      </c>
    </row>
    <row r="22" spans="1:4" s="32" customFormat="1" x14ac:dyDescent="0.35">
      <c r="A22" s="42" t="s">
        <v>110</v>
      </c>
      <c r="B22" s="48" t="s">
        <v>10</v>
      </c>
      <c r="C22" s="49" t="s">
        <v>215</v>
      </c>
      <c r="D22" s="47" t="s">
        <v>216</v>
      </c>
    </row>
    <row r="23" spans="1:4" s="32" customFormat="1" ht="28" x14ac:dyDescent="0.35">
      <c r="A23" s="42" t="s">
        <v>111</v>
      </c>
      <c r="B23" s="50" t="s">
        <v>10</v>
      </c>
      <c r="C23" s="51" t="s">
        <v>217</v>
      </c>
      <c r="D23" s="52" t="s">
        <v>218</v>
      </c>
    </row>
    <row r="24" spans="1:4" ht="28" x14ac:dyDescent="0.35">
      <c r="A24" s="286" t="s">
        <v>328</v>
      </c>
      <c r="B24" s="50" t="s">
        <v>10</v>
      </c>
      <c r="C24" s="51" t="s">
        <v>329</v>
      </c>
      <c r="D24" s="47" t="s">
        <v>330</v>
      </c>
    </row>
    <row r="37" spans="1:8" x14ac:dyDescent="0.25">
      <c r="A37" s="29" t="s">
        <v>164</v>
      </c>
    </row>
    <row r="38" spans="1:8" ht="34.5" customHeight="1" x14ac:dyDescent="0.25">
      <c r="B38" s="306" t="s">
        <v>165</v>
      </c>
      <c r="C38" s="306"/>
      <c r="D38" s="30"/>
      <c r="E38" s="30"/>
      <c r="F38" s="30"/>
      <c r="G38" s="30"/>
      <c r="H38" s="30"/>
    </row>
    <row r="40" spans="1:8" x14ac:dyDescent="0.35">
      <c r="B40" s="32" t="s">
        <v>163</v>
      </c>
    </row>
  </sheetData>
  <mergeCells count="5">
    <mergeCell ref="C3:D3"/>
    <mergeCell ref="C4:D4"/>
    <mergeCell ref="C5:D5"/>
    <mergeCell ref="C6:D6"/>
    <mergeCell ref="B38:C38"/>
  </mergeCell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6"/>
  <sheetViews>
    <sheetView topLeftCell="A7" zoomScaleNormal="100" workbookViewId="0">
      <selection activeCell="B12" sqref="B12"/>
    </sheetView>
  </sheetViews>
  <sheetFormatPr defaultColWidth="9.1796875" defaultRowHeight="14.5" x14ac:dyDescent="0.35"/>
  <cols>
    <col min="1" max="1" width="31.7265625" style="26" customWidth="1"/>
    <col min="2" max="2" width="58.54296875" style="191" customWidth="1"/>
    <col min="3" max="3" width="20.7265625" style="26" customWidth="1"/>
    <col min="4" max="4" width="42.7265625" style="26" customWidth="1"/>
    <col min="5" max="16384" width="9.1796875" style="26"/>
  </cols>
  <sheetData>
    <row r="1" spans="1:4" s="53" customFormat="1" ht="15" customHeight="1" x14ac:dyDescent="0.35">
      <c r="A1" s="31" t="s">
        <v>155</v>
      </c>
      <c r="B1" s="32"/>
    </row>
    <row r="2" spans="1:4" s="53" customFormat="1" ht="15" customHeight="1" x14ac:dyDescent="0.35">
      <c r="A2" s="31"/>
      <c r="B2" s="32"/>
    </row>
    <row r="3" spans="1:4" s="53" customFormat="1" ht="14" hidden="1" x14ac:dyDescent="0.35">
      <c r="B3" s="32"/>
    </row>
    <row r="4" spans="1:4" s="53" customFormat="1" ht="14" x14ac:dyDescent="0.35">
      <c r="A4" s="54" t="s">
        <v>7</v>
      </c>
      <c r="B4" s="63" t="s">
        <v>14</v>
      </c>
      <c r="C4" s="55" t="s">
        <v>68</v>
      </c>
      <c r="D4" s="55" t="s">
        <v>69</v>
      </c>
    </row>
    <row r="5" spans="1:4" s="53" customFormat="1" ht="28" x14ac:dyDescent="0.35">
      <c r="A5" s="56" t="s">
        <v>121</v>
      </c>
      <c r="B5" s="189" t="s">
        <v>223</v>
      </c>
      <c r="C5" s="49" t="s">
        <v>131</v>
      </c>
      <c r="D5" s="49" t="s">
        <v>132</v>
      </c>
    </row>
    <row r="6" spans="1:4" s="53" customFormat="1" ht="42" x14ac:dyDescent="0.35">
      <c r="A6" s="58" t="s">
        <v>122</v>
      </c>
      <c r="B6" s="189" t="s">
        <v>224</v>
      </c>
      <c r="C6" s="49" t="s">
        <v>131</v>
      </c>
      <c r="D6" s="49" t="s">
        <v>132</v>
      </c>
    </row>
    <row r="7" spans="1:4" s="53" customFormat="1" ht="28" x14ac:dyDescent="0.35">
      <c r="A7" s="58" t="s">
        <v>220</v>
      </c>
      <c r="B7" s="49" t="s">
        <v>225</v>
      </c>
      <c r="C7" s="49" t="s">
        <v>131</v>
      </c>
      <c r="D7" s="49" t="s">
        <v>132</v>
      </c>
    </row>
    <row r="8" spans="1:4" s="53" customFormat="1" ht="14" x14ac:dyDescent="0.35">
      <c r="A8" s="58" t="s">
        <v>221</v>
      </c>
      <c r="B8" s="188" t="s">
        <v>226</v>
      </c>
      <c r="C8" s="188" t="s">
        <v>131</v>
      </c>
      <c r="D8" s="49" t="s">
        <v>132</v>
      </c>
    </row>
    <row r="9" spans="1:4" s="53" customFormat="1" ht="14" x14ac:dyDescent="0.35">
      <c r="A9" s="58" t="s">
        <v>222</v>
      </c>
      <c r="B9" s="49" t="s">
        <v>285</v>
      </c>
      <c r="C9" s="49" t="s">
        <v>131</v>
      </c>
      <c r="D9" s="49" t="s">
        <v>132</v>
      </c>
    </row>
    <row r="10" spans="1:4" s="53" customFormat="1" ht="14" x14ac:dyDescent="0.35">
      <c r="A10" s="60" t="s">
        <v>12</v>
      </c>
      <c r="B10" s="190"/>
      <c r="C10" s="60"/>
      <c r="D10" s="60"/>
    </row>
    <row r="11" spans="1:4" s="53" customFormat="1" ht="14" x14ac:dyDescent="0.35">
      <c r="A11" s="61" t="s">
        <v>227</v>
      </c>
      <c r="B11" s="61" t="s">
        <v>232</v>
      </c>
      <c r="C11" s="49" t="s">
        <v>131</v>
      </c>
      <c r="D11" s="49" t="s">
        <v>132</v>
      </c>
    </row>
    <row r="12" spans="1:4" s="53" customFormat="1" ht="28" x14ac:dyDescent="0.35">
      <c r="A12" s="61" t="s">
        <v>228</v>
      </c>
      <c r="B12" s="49" t="s">
        <v>233</v>
      </c>
      <c r="C12" s="49" t="s">
        <v>131</v>
      </c>
      <c r="D12" s="49" t="s">
        <v>132</v>
      </c>
    </row>
    <row r="13" spans="1:4" s="53" customFormat="1" ht="28" x14ac:dyDescent="0.35">
      <c r="A13" s="61" t="s">
        <v>229</v>
      </c>
      <c r="B13" s="188" t="s">
        <v>234</v>
      </c>
      <c r="C13" s="188" t="s">
        <v>131</v>
      </c>
      <c r="D13" s="49" t="s">
        <v>132</v>
      </c>
    </row>
    <row r="14" spans="1:4" s="53" customFormat="1" ht="14" x14ac:dyDescent="0.35">
      <c r="A14" s="61" t="s">
        <v>230</v>
      </c>
      <c r="B14" s="188" t="s">
        <v>235</v>
      </c>
      <c r="C14" s="188" t="s">
        <v>131</v>
      </c>
      <c r="D14" s="49" t="s">
        <v>132</v>
      </c>
    </row>
    <row r="15" spans="1:4" s="53" customFormat="1" ht="28" x14ac:dyDescent="0.35">
      <c r="A15" s="61" t="s">
        <v>231</v>
      </c>
      <c r="B15" s="49" t="s">
        <v>236</v>
      </c>
      <c r="C15" s="49" t="s">
        <v>131</v>
      </c>
      <c r="D15" s="49" t="s">
        <v>132</v>
      </c>
    </row>
    <row r="16" spans="1:4" s="53" customFormat="1" ht="28" x14ac:dyDescent="0.35">
      <c r="A16" s="61" t="s">
        <v>142</v>
      </c>
      <c r="B16" s="49" t="s">
        <v>237</v>
      </c>
      <c r="C16" s="49" t="s">
        <v>131</v>
      </c>
      <c r="D16" s="49" t="s">
        <v>132</v>
      </c>
    </row>
    <row r="17" spans="1:4" s="53" customFormat="1" ht="14" x14ac:dyDescent="0.35">
      <c r="A17" s="60" t="s">
        <v>13</v>
      </c>
      <c r="B17" s="190"/>
      <c r="C17" s="60"/>
      <c r="D17" s="60"/>
    </row>
    <row r="18" spans="1:4" s="53" customFormat="1" ht="28" x14ac:dyDescent="0.35">
      <c r="A18" s="61" t="s">
        <v>241</v>
      </c>
      <c r="B18" s="49" t="s">
        <v>238</v>
      </c>
      <c r="C18" s="49" t="s">
        <v>131</v>
      </c>
      <c r="D18" s="49" t="s">
        <v>132</v>
      </c>
    </row>
    <row r="19" spans="1:4" s="53" customFormat="1" ht="14" x14ac:dyDescent="0.35">
      <c r="A19" s="61" t="s">
        <v>242</v>
      </c>
      <c r="B19" s="49" t="s">
        <v>239</v>
      </c>
      <c r="C19" s="49" t="s">
        <v>131</v>
      </c>
      <c r="D19" s="49" t="s">
        <v>132</v>
      </c>
    </row>
    <row r="20" spans="1:4" s="53" customFormat="1" ht="14" x14ac:dyDescent="0.35">
      <c r="A20" s="61" t="s">
        <v>243</v>
      </c>
      <c r="B20" s="49" t="s">
        <v>334</v>
      </c>
      <c r="C20" s="49" t="s">
        <v>131</v>
      </c>
      <c r="D20" s="49" t="s">
        <v>132</v>
      </c>
    </row>
    <row r="21" spans="1:4" s="53" customFormat="1" ht="14" x14ac:dyDescent="0.35">
      <c r="A21" s="61" t="s">
        <v>244</v>
      </c>
      <c r="B21" s="49" t="s">
        <v>240</v>
      </c>
      <c r="C21" s="49" t="s">
        <v>131</v>
      </c>
      <c r="D21" s="49" t="s">
        <v>132</v>
      </c>
    </row>
    <row r="22" spans="1:4" s="53" customFormat="1" ht="14" x14ac:dyDescent="0.35">
      <c r="A22" s="60" t="s">
        <v>146</v>
      </c>
      <c r="B22" s="190"/>
      <c r="C22" s="60"/>
      <c r="D22" s="60"/>
    </row>
    <row r="23" spans="1:4" s="53" customFormat="1" ht="14" x14ac:dyDescent="0.35">
      <c r="A23" s="61" t="s">
        <v>245</v>
      </c>
      <c r="B23" s="49" t="s">
        <v>246</v>
      </c>
      <c r="C23" s="49" t="s">
        <v>131</v>
      </c>
      <c r="D23" s="59" t="s">
        <v>132</v>
      </c>
    </row>
    <row r="24" spans="1:4" s="53" customFormat="1" ht="14" x14ac:dyDescent="0.35">
      <c r="A24" s="61" t="s">
        <v>249</v>
      </c>
      <c r="B24" s="49" t="s">
        <v>331</v>
      </c>
      <c r="C24" s="49" t="s">
        <v>131</v>
      </c>
      <c r="D24" s="59" t="s">
        <v>132</v>
      </c>
    </row>
    <row r="25" spans="1:4" s="53" customFormat="1" ht="28" x14ac:dyDescent="0.35">
      <c r="A25" s="61" t="s">
        <v>250</v>
      </c>
      <c r="B25" s="49" t="s">
        <v>333</v>
      </c>
      <c r="C25" s="49" t="s">
        <v>131</v>
      </c>
      <c r="D25" s="59" t="s">
        <v>132</v>
      </c>
    </row>
    <row r="26" spans="1:4" s="53" customFormat="1" ht="14" x14ac:dyDescent="0.35">
      <c r="A26" s="61" t="s">
        <v>251</v>
      </c>
      <c r="B26" s="49" t="s">
        <v>247</v>
      </c>
      <c r="C26" s="49" t="s">
        <v>131</v>
      </c>
      <c r="D26" s="59" t="s">
        <v>132</v>
      </c>
    </row>
    <row r="27" spans="1:4" s="53" customFormat="1" ht="14" x14ac:dyDescent="0.35">
      <c r="A27" s="60" t="s">
        <v>248</v>
      </c>
      <c r="B27" s="190"/>
      <c r="C27" s="60"/>
      <c r="D27" s="60"/>
    </row>
    <row r="28" spans="1:4" s="53" customFormat="1" ht="28" x14ac:dyDescent="0.35">
      <c r="A28" s="61" t="s">
        <v>256</v>
      </c>
      <c r="B28" s="49" t="s">
        <v>252</v>
      </c>
      <c r="C28" s="49" t="s">
        <v>131</v>
      </c>
      <c r="D28" s="59" t="s">
        <v>132</v>
      </c>
    </row>
    <row r="29" spans="1:4" s="53" customFormat="1" ht="28" x14ac:dyDescent="0.35">
      <c r="A29" s="61" t="s">
        <v>143</v>
      </c>
      <c r="B29" s="49" t="s">
        <v>253</v>
      </c>
      <c r="C29" s="49" t="s">
        <v>131</v>
      </c>
      <c r="D29" s="59" t="s">
        <v>132</v>
      </c>
    </row>
    <row r="30" spans="1:4" s="53" customFormat="1" ht="14" x14ac:dyDescent="0.35">
      <c r="A30" s="61" t="s">
        <v>144</v>
      </c>
      <c r="B30" s="51" t="s">
        <v>254</v>
      </c>
      <c r="C30" s="49" t="s">
        <v>131</v>
      </c>
      <c r="D30" s="59" t="s">
        <v>132</v>
      </c>
    </row>
    <row r="31" spans="1:4" s="53" customFormat="1" ht="14" x14ac:dyDescent="0.35">
      <c r="A31" s="238" t="s">
        <v>145</v>
      </c>
      <c r="B31" s="239" t="s">
        <v>255</v>
      </c>
      <c r="C31" s="49" t="s">
        <v>131</v>
      </c>
      <c r="D31" s="240" t="s">
        <v>132</v>
      </c>
    </row>
    <row r="32" spans="1:4" s="53" customFormat="1" ht="14" x14ac:dyDescent="0.35">
      <c r="A32" s="289" t="s">
        <v>335</v>
      </c>
      <c r="B32" s="288" t="s">
        <v>337</v>
      </c>
      <c r="C32" s="49" t="s">
        <v>131</v>
      </c>
      <c r="D32" s="240" t="s">
        <v>132</v>
      </c>
    </row>
    <row r="33" spans="1:8" s="53" customFormat="1" ht="23.5" customHeight="1" x14ac:dyDescent="0.35">
      <c r="A33" s="289" t="s">
        <v>336</v>
      </c>
      <c r="B33" s="288" t="s">
        <v>338</v>
      </c>
      <c r="C33" s="49" t="s">
        <v>131</v>
      </c>
      <c r="D33" s="240" t="s">
        <v>132</v>
      </c>
    </row>
    <row r="34" spans="1:8" s="53" customFormat="1" ht="14" x14ac:dyDescent="0.35">
      <c r="A34" s="60" t="s">
        <v>327</v>
      </c>
      <c r="B34" s="190"/>
      <c r="C34" s="60"/>
      <c r="D34" s="60"/>
    </row>
    <row r="35" spans="1:8" s="53" customFormat="1" ht="28" x14ac:dyDescent="0.35">
      <c r="A35" s="284" t="s">
        <v>292</v>
      </c>
      <c r="B35" s="51" t="s">
        <v>291</v>
      </c>
      <c r="C35" s="51" t="s">
        <v>131</v>
      </c>
      <c r="D35" s="240" t="s">
        <v>132</v>
      </c>
    </row>
    <row r="36" spans="1:8" s="53" customFormat="1" ht="28" x14ac:dyDescent="0.35">
      <c r="A36" s="285" t="s">
        <v>293</v>
      </c>
      <c r="B36" s="49" t="s">
        <v>325</v>
      </c>
      <c r="C36" s="49" t="s">
        <v>131</v>
      </c>
      <c r="D36" s="59" t="s">
        <v>132</v>
      </c>
    </row>
    <row r="37" spans="1:8" s="53" customFormat="1" ht="14" x14ac:dyDescent="0.35">
      <c r="A37" s="285" t="s">
        <v>294</v>
      </c>
      <c r="B37" s="49" t="s">
        <v>316</v>
      </c>
      <c r="C37" s="49" t="s">
        <v>131</v>
      </c>
      <c r="D37" s="59" t="s">
        <v>132</v>
      </c>
    </row>
    <row r="38" spans="1:8" s="53" customFormat="1" ht="14" x14ac:dyDescent="0.35">
      <c r="A38" s="285" t="s">
        <v>295</v>
      </c>
      <c r="B38" s="49" t="s">
        <v>317</v>
      </c>
      <c r="C38" s="49" t="s">
        <v>131</v>
      </c>
      <c r="D38" s="59" t="s">
        <v>132</v>
      </c>
    </row>
    <row r="39" spans="1:8" s="53" customFormat="1" ht="14" x14ac:dyDescent="0.35">
      <c r="A39" s="252" t="s">
        <v>300</v>
      </c>
      <c r="B39" s="253"/>
      <c r="C39" s="254"/>
      <c r="D39" s="254"/>
    </row>
    <row r="40" spans="1:8" s="53" customFormat="1" ht="14" x14ac:dyDescent="0.25">
      <c r="A40" s="285" t="s">
        <v>298</v>
      </c>
      <c r="B40" s="49" t="s">
        <v>324</v>
      </c>
      <c r="C40" s="49" t="s">
        <v>131</v>
      </c>
      <c r="D40" s="59" t="s">
        <v>132</v>
      </c>
      <c r="E40" s="30"/>
      <c r="F40" s="30"/>
      <c r="G40" s="30"/>
      <c r="H40" s="30"/>
    </row>
    <row r="41" spans="1:8" s="53" customFormat="1" ht="28" x14ac:dyDescent="0.35">
      <c r="A41" s="285" t="s">
        <v>299</v>
      </c>
      <c r="B41" s="49" t="s">
        <v>320</v>
      </c>
      <c r="C41" s="49" t="s">
        <v>131</v>
      </c>
      <c r="D41" s="59" t="s">
        <v>132</v>
      </c>
    </row>
    <row r="42" spans="1:8" x14ac:dyDescent="0.35">
      <c r="A42" s="252" t="s">
        <v>301</v>
      </c>
      <c r="B42" s="253"/>
      <c r="C42" s="254"/>
      <c r="D42" s="254"/>
    </row>
    <row r="43" spans="1:8" ht="28" x14ac:dyDescent="0.35">
      <c r="A43" s="284" t="s">
        <v>319</v>
      </c>
      <c r="B43" s="51" t="s">
        <v>326</v>
      </c>
      <c r="C43" s="51" t="s">
        <v>131</v>
      </c>
      <c r="D43" s="240" t="s">
        <v>132</v>
      </c>
    </row>
    <row r="44" spans="1:8" x14ac:dyDescent="0.25">
      <c r="A44" s="29" t="s">
        <v>164</v>
      </c>
      <c r="B44" s="32"/>
      <c r="C44" s="53"/>
      <c r="D44" s="53"/>
    </row>
    <row r="45" spans="1:8" ht="42" x14ac:dyDescent="0.25">
      <c r="A45" s="53"/>
      <c r="B45" s="186" t="s">
        <v>165</v>
      </c>
      <c r="C45" s="30"/>
      <c r="D45" s="30"/>
    </row>
    <row r="46" spans="1:8" x14ac:dyDescent="0.35">
      <c r="A46" s="53"/>
      <c r="B46" s="32"/>
      <c r="C46" s="53"/>
      <c r="D46" s="53"/>
    </row>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C5:C9 C11:C16 C18:C21 C23:C26 C28:C33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5"/>
  <sheetViews>
    <sheetView topLeftCell="A13" zoomScale="90" zoomScaleNormal="90" workbookViewId="0">
      <selection activeCell="B17" sqref="B17"/>
    </sheetView>
  </sheetViews>
  <sheetFormatPr defaultColWidth="9.1796875" defaultRowHeight="14.5" x14ac:dyDescent="0.35"/>
  <cols>
    <col min="1" max="1" width="6.1796875" style="26" customWidth="1"/>
    <col min="2" max="2" width="38.1796875" style="26" customWidth="1"/>
    <col min="3" max="3" width="49.453125" style="26" customWidth="1"/>
    <col min="4" max="4" width="27.81640625" style="26" customWidth="1"/>
    <col min="5" max="5" width="15.1796875" style="27" customWidth="1"/>
    <col min="6" max="6" width="24.7265625" style="26" customWidth="1"/>
    <col min="7" max="16384" width="9.1796875" style="26"/>
  </cols>
  <sheetData>
    <row r="1" spans="1:6" s="53" customFormat="1" ht="14" x14ac:dyDescent="0.35">
      <c r="A1" s="31" t="s">
        <v>156</v>
      </c>
      <c r="E1" s="62"/>
    </row>
    <row r="2" spans="1:6" s="53" customFormat="1" ht="14" x14ac:dyDescent="0.35">
      <c r="E2" s="62"/>
    </row>
    <row r="3" spans="1:6" s="53" customFormat="1" ht="28" x14ac:dyDescent="0.35">
      <c r="A3" s="63" t="s">
        <v>21</v>
      </c>
      <c r="B3" s="63" t="s">
        <v>24</v>
      </c>
      <c r="C3" s="63" t="s">
        <v>22</v>
      </c>
      <c r="D3" s="63" t="s">
        <v>16</v>
      </c>
      <c r="E3" s="63" t="s">
        <v>172</v>
      </c>
      <c r="F3" s="64" t="s">
        <v>173</v>
      </c>
    </row>
    <row r="4" spans="1:6" s="72" customFormat="1" ht="112" x14ac:dyDescent="0.35">
      <c r="A4" s="65" t="s">
        <v>126</v>
      </c>
      <c r="B4" s="66" t="s">
        <v>296</v>
      </c>
      <c r="C4" s="67" t="s">
        <v>140</v>
      </c>
      <c r="D4" s="68" t="s">
        <v>157</v>
      </c>
      <c r="E4" s="69" t="s">
        <v>131</v>
      </c>
      <c r="F4" s="71" t="s">
        <v>132</v>
      </c>
    </row>
    <row r="5" spans="1:6" s="53" customFormat="1" ht="70" x14ac:dyDescent="0.35">
      <c r="A5" s="65" t="s">
        <v>127</v>
      </c>
      <c r="B5" s="66" t="s">
        <v>297</v>
      </c>
      <c r="C5" s="67" t="s">
        <v>141</v>
      </c>
      <c r="D5" s="68" t="s">
        <v>154</v>
      </c>
      <c r="E5" s="69" t="s">
        <v>131</v>
      </c>
      <c r="F5" s="71" t="s">
        <v>132</v>
      </c>
    </row>
    <row r="6" spans="1:6" s="53" customFormat="1" ht="70" x14ac:dyDescent="0.35">
      <c r="A6" s="65" t="s">
        <v>128</v>
      </c>
      <c r="B6" s="66" t="s">
        <v>302</v>
      </c>
      <c r="C6" s="66" t="s">
        <v>264</v>
      </c>
      <c r="D6" s="68" t="s">
        <v>154</v>
      </c>
      <c r="E6" s="69" t="s">
        <v>131</v>
      </c>
      <c r="F6" s="71" t="s">
        <v>132</v>
      </c>
    </row>
    <row r="7" spans="1:6" s="53" customFormat="1" ht="42" x14ac:dyDescent="0.35">
      <c r="A7" s="73" t="s">
        <v>129</v>
      </c>
      <c r="B7" s="74" t="s">
        <v>303</v>
      </c>
      <c r="C7" s="74" t="s">
        <v>265</v>
      </c>
      <c r="D7" s="68" t="s">
        <v>154</v>
      </c>
      <c r="E7" s="69" t="s">
        <v>131</v>
      </c>
      <c r="F7" s="71" t="s">
        <v>132</v>
      </c>
    </row>
    <row r="8" spans="1:6" s="53" customFormat="1" ht="42" x14ac:dyDescent="0.35">
      <c r="A8" s="65" t="s">
        <v>130</v>
      </c>
      <c r="B8" s="74" t="s">
        <v>304</v>
      </c>
      <c r="C8" s="74" t="s">
        <v>266</v>
      </c>
      <c r="D8" s="68" t="s">
        <v>154</v>
      </c>
      <c r="E8" s="69" t="s">
        <v>131</v>
      </c>
      <c r="F8" s="71" t="s">
        <v>132</v>
      </c>
    </row>
    <row r="9" spans="1:6" s="53" customFormat="1" ht="28" x14ac:dyDescent="0.35">
      <c r="A9" s="65" t="s">
        <v>257</v>
      </c>
      <c r="B9" s="74" t="s">
        <v>305</v>
      </c>
      <c r="C9" s="192" t="s">
        <v>267</v>
      </c>
      <c r="D9" s="193" t="s">
        <v>154</v>
      </c>
      <c r="E9" s="194" t="s">
        <v>131</v>
      </c>
      <c r="F9" s="71" t="s">
        <v>132</v>
      </c>
    </row>
    <row r="10" spans="1:6" s="53" customFormat="1" ht="28" x14ac:dyDescent="0.35">
      <c r="A10" s="65" t="s">
        <v>258</v>
      </c>
      <c r="B10" s="74" t="s">
        <v>306</v>
      </c>
      <c r="C10" s="192" t="s">
        <v>268</v>
      </c>
      <c r="D10" s="193" t="s">
        <v>157</v>
      </c>
      <c r="E10" s="194" t="s">
        <v>131</v>
      </c>
      <c r="F10" s="71" t="s">
        <v>132</v>
      </c>
    </row>
    <row r="11" spans="1:6" s="53" customFormat="1" ht="140" x14ac:dyDescent="0.35">
      <c r="A11" s="65" t="s">
        <v>259</v>
      </c>
      <c r="B11" s="74" t="s">
        <v>307</v>
      </c>
      <c r="C11" s="192" t="s">
        <v>269</v>
      </c>
      <c r="D11" s="193" t="s">
        <v>154</v>
      </c>
      <c r="E11" s="194" t="s">
        <v>131</v>
      </c>
      <c r="F11" s="71" t="s">
        <v>132</v>
      </c>
    </row>
    <row r="12" spans="1:6" s="53" customFormat="1" ht="28" x14ac:dyDescent="0.35">
      <c r="A12" s="65" t="s">
        <v>260</v>
      </c>
      <c r="B12" s="74" t="s">
        <v>308</v>
      </c>
      <c r="C12" s="192" t="s">
        <v>270</v>
      </c>
      <c r="D12" s="193" t="s">
        <v>157</v>
      </c>
      <c r="E12" s="194" t="s">
        <v>131</v>
      </c>
      <c r="F12" s="71" t="s">
        <v>132</v>
      </c>
    </row>
    <row r="13" spans="1:6" s="53" customFormat="1" ht="28" x14ac:dyDescent="0.35">
      <c r="A13" s="65" t="s">
        <v>261</v>
      </c>
      <c r="B13" s="74" t="s">
        <v>309</v>
      </c>
      <c r="C13" s="192" t="s">
        <v>271</v>
      </c>
      <c r="D13" s="193" t="s">
        <v>157</v>
      </c>
      <c r="E13" s="194" t="s">
        <v>131</v>
      </c>
      <c r="F13" s="71" t="s">
        <v>132</v>
      </c>
    </row>
    <row r="14" spans="1:6" s="53" customFormat="1" ht="42" x14ac:dyDescent="0.35">
      <c r="A14" s="65" t="s">
        <v>262</v>
      </c>
      <c r="B14" s="74" t="s">
        <v>310</v>
      </c>
      <c r="C14" s="192" t="s">
        <v>272</v>
      </c>
      <c r="D14" s="193" t="s">
        <v>154</v>
      </c>
      <c r="E14" s="194" t="s">
        <v>131</v>
      </c>
      <c r="F14" s="71" t="s">
        <v>132</v>
      </c>
    </row>
    <row r="15" spans="1:6" s="53" customFormat="1" ht="28" x14ac:dyDescent="0.35">
      <c r="A15" s="65" t="s">
        <v>263</v>
      </c>
      <c r="B15" s="49" t="s">
        <v>311</v>
      </c>
      <c r="C15" s="59" t="s">
        <v>273</v>
      </c>
      <c r="D15" s="69" t="s">
        <v>157</v>
      </c>
      <c r="E15" s="69" t="s">
        <v>131</v>
      </c>
      <c r="F15" s="71" t="s">
        <v>132</v>
      </c>
    </row>
    <row r="16" spans="1:6" s="53" customFormat="1" ht="42" x14ac:dyDescent="0.35">
      <c r="A16" s="282" t="s">
        <v>312</v>
      </c>
      <c r="B16" s="51" t="s">
        <v>321</v>
      </c>
      <c r="C16" s="32" t="s">
        <v>318</v>
      </c>
      <c r="D16" s="68" t="s">
        <v>154</v>
      </c>
      <c r="E16" s="236" t="s">
        <v>131</v>
      </c>
      <c r="F16" s="237" t="s">
        <v>132</v>
      </c>
    </row>
    <row r="17" spans="1:6" s="53" customFormat="1" ht="56" x14ac:dyDescent="0.35">
      <c r="A17" s="283" t="s">
        <v>313</v>
      </c>
      <c r="B17" s="49" t="s">
        <v>315</v>
      </c>
      <c r="C17" s="74" t="s">
        <v>314</v>
      </c>
      <c r="D17" s="68" t="s">
        <v>154</v>
      </c>
      <c r="E17" s="236" t="s">
        <v>131</v>
      </c>
      <c r="F17" s="237" t="s">
        <v>132</v>
      </c>
    </row>
    <row r="18" spans="1:6" s="53" customFormat="1" ht="14" x14ac:dyDescent="0.25">
      <c r="A18" s="29" t="s">
        <v>164</v>
      </c>
      <c r="E18" s="62"/>
    </row>
    <row r="19" spans="1:6" s="53" customFormat="1" ht="31.5" customHeight="1" x14ac:dyDescent="0.25">
      <c r="B19" s="306" t="s">
        <v>165</v>
      </c>
      <c r="C19" s="306"/>
      <c r="D19" s="306"/>
      <c r="E19" s="30"/>
      <c r="F19" s="30"/>
    </row>
    <row r="20" spans="1:6" s="53" customFormat="1" ht="14" x14ac:dyDescent="0.35">
      <c r="E20" s="62"/>
    </row>
    <row r="21" spans="1:6" s="53" customFormat="1" ht="14" x14ac:dyDescent="0.35">
      <c r="E21" s="62"/>
    </row>
    <row r="22" spans="1:6" s="53" customFormat="1" ht="14" x14ac:dyDescent="0.35">
      <c r="E22" s="62"/>
    </row>
    <row r="23" spans="1:6" s="53" customFormat="1" ht="14" x14ac:dyDescent="0.35">
      <c r="E23" s="62"/>
    </row>
    <row r="24" spans="1:6" s="53" customFormat="1" ht="14" x14ac:dyDescent="0.35">
      <c r="E24" s="62"/>
    </row>
    <row r="25" spans="1:6" s="53" customFormat="1" ht="14" x14ac:dyDescent="0.35">
      <c r="E25" s="62"/>
    </row>
    <row r="26" spans="1:6" s="53" customFormat="1" ht="14" x14ac:dyDescent="0.35">
      <c r="E26" s="62"/>
    </row>
    <row r="27" spans="1:6" s="53" customFormat="1" ht="14" x14ac:dyDescent="0.35">
      <c r="E27" s="62"/>
    </row>
    <row r="28" spans="1:6" s="53" customFormat="1" ht="14" x14ac:dyDescent="0.35">
      <c r="E28" s="62"/>
    </row>
    <row r="29" spans="1:6" s="53" customFormat="1" ht="14" x14ac:dyDescent="0.35">
      <c r="E29" s="62"/>
    </row>
    <row r="30" spans="1:6" s="53" customFormat="1" ht="14" x14ac:dyDescent="0.35">
      <c r="E30" s="62"/>
    </row>
    <row r="31" spans="1:6" s="53" customFormat="1" ht="14" x14ac:dyDescent="0.35">
      <c r="E31" s="62"/>
    </row>
    <row r="32" spans="1:6" s="53" customFormat="1" ht="14" x14ac:dyDescent="0.35">
      <c r="E32" s="62"/>
    </row>
    <row r="33" spans="5:5" s="53" customFormat="1" ht="14" x14ac:dyDescent="0.35">
      <c r="E33" s="62"/>
    </row>
    <row r="34" spans="5:5" s="53" customFormat="1" ht="14" x14ac:dyDescent="0.35">
      <c r="E34" s="62"/>
    </row>
    <row r="35" spans="5:5" s="53" customFormat="1" ht="14" x14ac:dyDescent="0.35">
      <c r="E35" s="62"/>
    </row>
    <row r="36" spans="5:5" s="53" customFormat="1" ht="14" x14ac:dyDescent="0.35">
      <c r="E36" s="62"/>
    </row>
    <row r="37" spans="5:5" s="53" customFormat="1" ht="14" x14ac:dyDescent="0.35">
      <c r="E37" s="62"/>
    </row>
    <row r="38" spans="5:5" s="53" customFormat="1" ht="14" x14ac:dyDescent="0.35">
      <c r="E38" s="62"/>
    </row>
    <row r="39" spans="5:5" s="53" customFormat="1" ht="14" x14ac:dyDescent="0.35">
      <c r="E39" s="62"/>
    </row>
    <row r="40" spans="5:5" s="53" customFormat="1" ht="14" x14ac:dyDescent="0.35">
      <c r="E40" s="62"/>
    </row>
    <row r="41" spans="5:5" s="53" customFormat="1" ht="14" x14ac:dyDescent="0.35">
      <c r="E41" s="62"/>
    </row>
    <row r="42" spans="5:5" s="53" customFormat="1" ht="14" x14ac:dyDescent="0.35">
      <c r="E42" s="62"/>
    </row>
    <row r="43" spans="5:5" s="53" customFormat="1" ht="14" x14ac:dyDescent="0.35">
      <c r="E43" s="62"/>
    </row>
    <row r="44" spans="5:5" s="53" customFormat="1" ht="14" x14ac:dyDescent="0.35">
      <c r="E44" s="62"/>
    </row>
    <row r="45" spans="5:5" s="53" customFormat="1" ht="14" x14ac:dyDescent="0.35">
      <c r="E45" s="62"/>
    </row>
    <row r="46" spans="5:5" s="53" customFormat="1" ht="14" x14ac:dyDescent="0.35">
      <c r="E46" s="62"/>
    </row>
    <row r="47" spans="5:5" s="53" customFormat="1" ht="14" x14ac:dyDescent="0.35">
      <c r="E47" s="62"/>
    </row>
    <row r="48" spans="5:5" s="53" customFormat="1" ht="14" x14ac:dyDescent="0.35">
      <c r="E48" s="62"/>
    </row>
    <row r="49" spans="1:6" s="53" customFormat="1" ht="14" x14ac:dyDescent="0.35">
      <c r="E49" s="62"/>
    </row>
    <row r="50" spans="1:6" s="53" customFormat="1" ht="14" x14ac:dyDescent="0.35">
      <c r="E50" s="62"/>
    </row>
    <row r="51" spans="1:6" s="53" customFormat="1" ht="14" x14ac:dyDescent="0.35">
      <c r="E51" s="62"/>
    </row>
    <row r="52" spans="1:6" s="53" customFormat="1" ht="14" x14ac:dyDescent="0.35">
      <c r="E52" s="62"/>
    </row>
    <row r="53" spans="1:6" s="53" customFormat="1" ht="14" x14ac:dyDescent="0.35">
      <c r="E53" s="62"/>
    </row>
    <row r="54" spans="1:6" s="53" customFormat="1" ht="14" x14ac:dyDescent="0.35">
      <c r="E54" s="62"/>
    </row>
    <row r="55" spans="1:6" s="53" customFormat="1" ht="14" x14ac:dyDescent="0.35">
      <c r="E55" s="62"/>
    </row>
    <row r="56" spans="1:6" s="53" customFormat="1" ht="14" x14ac:dyDescent="0.35">
      <c r="E56" s="62"/>
    </row>
    <row r="57" spans="1:6" s="53" customFormat="1" ht="14" x14ac:dyDescent="0.35">
      <c r="E57" s="62"/>
    </row>
    <row r="58" spans="1:6" s="53" customFormat="1" ht="14" x14ac:dyDescent="0.35">
      <c r="E58" s="62"/>
    </row>
    <row r="59" spans="1:6" s="53" customFormat="1" ht="14" x14ac:dyDescent="0.35">
      <c r="E59" s="62"/>
    </row>
    <row r="60" spans="1:6" s="53" customFormat="1" ht="14" x14ac:dyDescent="0.35">
      <c r="E60" s="62"/>
    </row>
    <row r="61" spans="1:6" s="53" customFormat="1" ht="14" x14ac:dyDescent="0.35">
      <c r="E61" s="62"/>
    </row>
    <row r="62" spans="1:6" s="53" customFormat="1" ht="14" x14ac:dyDescent="0.35">
      <c r="E62" s="62"/>
    </row>
    <row r="63" spans="1:6" s="53" customFormat="1" ht="14" x14ac:dyDescent="0.35">
      <c r="E63" s="62"/>
    </row>
    <row r="64" spans="1:6" x14ac:dyDescent="0.35">
      <c r="A64" s="53"/>
      <c r="B64" s="53"/>
      <c r="C64" s="53"/>
      <c r="D64" s="53"/>
      <c r="E64" s="62"/>
      <c r="F64" s="53"/>
    </row>
    <row r="65" spans="1:6" x14ac:dyDescent="0.35">
      <c r="A65" s="53"/>
      <c r="B65" s="53"/>
      <c r="C65" s="53"/>
      <c r="D65" s="53"/>
      <c r="E65" s="62"/>
      <c r="F65" s="53"/>
    </row>
  </sheetData>
  <mergeCells count="1">
    <mergeCell ref="B19:D19"/>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abSelected="1" zoomScale="80" zoomScaleNormal="80" workbookViewId="0">
      <pane xSplit="9890" topLeftCell="Y1" activePane="topRight"/>
      <selection activeCell="A104" sqref="A104"/>
      <selection pane="topRight" activeCell="AA5" sqref="AA5"/>
    </sheetView>
  </sheetViews>
  <sheetFormatPr defaultColWidth="9.1796875" defaultRowHeight="14.5" x14ac:dyDescent="0.35"/>
  <cols>
    <col min="2" max="2" width="4.81640625" style="212" customWidth="1"/>
    <col min="3" max="3" width="25.54296875" customWidth="1"/>
    <col min="4" max="4" width="5" style="212" customWidth="1"/>
    <col min="5" max="5" width="29" style="207" customWidth="1"/>
    <col min="6" max="6" width="6.26953125" style="212" customWidth="1"/>
    <col min="7" max="7" width="28.7265625" style="207" customWidth="1"/>
    <col min="8" max="8" width="44.1796875" customWidth="1"/>
    <col min="9" max="9" width="25.453125" customWidth="1"/>
    <col min="10" max="12" width="9.1796875" style="212" customWidth="1"/>
    <col min="13" max="17" width="15.81640625" customWidth="1"/>
    <col min="18" max="20" width="15.81640625" hidden="1" customWidth="1"/>
    <col min="21" max="21" width="15.81640625" customWidth="1"/>
    <col min="22" max="22" width="15.26953125" customWidth="1"/>
    <col min="23" max="23" width="17.453125" hidden="1" customWidth="1"/>
    <col min="24" max="25" width="12.1796875" customWidth="1"/>
    <col min="26" max="26" width="35.7265625" style="207" customWidth="1"/>
    <col min="27" max="27" width="32.7265625" customWidth="1"/>
    <col min="28" max="28" width="23.1796875" customWidth="1"/>
    <col min="29" max="31" width="9.1796875" customWidth="1"/>
    <col min="32" max="36" width="15.81640625" customWidth="1"/>
    <col min="37" max="39" width="15.81640625" hidden="1" customWidth="1"/>
    <col min="40" max="42" width="15.81640625" customWidth="1"/>
    <col min="43" max="43" width="40.7265625" style="2" customWidth="1"/>
    <col min="44" max="44" width="13.26953125" style="2" customWidth="1"/>
    <col min="45" max="45" width="24.81640625" customWidth="1"/>
  </cols>
  <sheetData>
    <row r="1" spans="1:45" s="75" customFormat="1" ht="14" x14ac:dyDescent="0.3">
      <c r="A1" s="31" t="s">
        <v>158</v>
      </c>
      <c r="B1" s="100"/>
      <c r="D1" s="100"/>
      <c r="E1" s="79"/>
      <c r="F1" s="100"/>
      <c r="G1" s="79"/>
      <c r="J1" s="100"/>
      <c r="K1" s="100"/>
      <c r="L1" s="100"/>
      <c r="Z1" s="79"/>
    </row>
    <row r="2" spans="1:45" s="75" customFormat="1" ht="14" x14ac:dyDescent="0.3">
      <c r="A2" s="75" t="s">
        <v>139</v>
      </c>
      <c r="B2" s="100"/>
      <c r="D2" s="100"/>
      <c r="E2" s="79"/>
      <c r="F2" s="100"/>
      <c r="G2" s="79"/>
      <c r="J2" s="100"/>
      <c r="K2" s="100"/>
      <c r="L2" s="100"/>
      <c r="Z2" s="79"/>
    </row>
    <row r="3" spans="1:45" s="75" customFormat="1" ht="23.25" customHeight="1" x14ac:dyDescent="0.3">
      <c r="A3" s="76"/>
      <c r="B3" s="219"/>
      <c r="C3" s="77"/>
      <c r="D3" s="217"/>
      <c r="E3" s="78"/>
      <c r="F3" s="313" t="s">
        <v>3</v>
      </c>
      <c r="G3" s="313"/>
      <c r="H3" s="313"/>
      <c r="I3" s="313"/>
      <c r="J3" s="314" t="s">
        <v>134</v>
      </c>
      <c r="K3" s="315"/>
      <c r="L3" s="315"/>
      <c r="M3" s="315"/>
      <c r="N3" s="315"/>
      <c r="O3" s="315"/>
      <c r="P3" s="315"/>
      <c r="Q3" s="315"/>
      <c r="R3" s="315"/>
      <c r="S3" s="315"/>
      <c r="T3" s="315"/>
      <c r="U3" s="315"/>
      <c r="V3" s="315"/>
      <c r="W3" s="315"/>
      <c r="X3" s="315"/>
      <c r="Y3" s="316"/>
      <c r="Z3" s="310" t="s">
        <v>5</v>
      </c>
      <c r="AA3" s="311"/>
      <c r="AB3" s="312"/>
      <c r="AC3" s="307" t="s">
        <v>135</v>
      </c>
      <c r="AD3" s="308"/>
      <c r="AE3" s="308"/>
      <c r="AF3" s="308"/>
      <c r="AG3" s="308"/>
      <c r="AH3" s="308"/>
      <c r="AI3" s="308"/>
      <c r="AJ3" s="308"/>
      <c r="AK3" s="308"/>
      <c r="AL3" s="308"/>
      <c r="AM3" s="308"/>
      <c r="AN3" s="308"/>
      <c r="AO3" s="308"/>
      <c r="AP3" s="308"/>
      <c r="AQ3" s="309"/>
      <c r="AR3" s="79"/>
      <c r="AS3" s="79"/>
    </row>
    <row r="4" spans="1:45" s="75" customFormat="1" ht="88.5" customHeight="1" x14ac:dyDescent="0.3">
      <c r="A4" s="80" t="s">
        <v>1</v>
      </c>
      <c r="B4" s="220" t="s">
        <v>124</v>
      </c>
      <c r="C4" s="81" t="s">
        <v>2</v>
      </c>
      <c r="D4" s="218" t="s">
        <v>123</v>
      </c>
      <c r="E4" s="82" t="s">
        <v>15</v>
      </c>
      <c r="F4" s="214" t="s">
        <v>125</v>
      </c>
      <c r="G4" s="83" t="s">
        <v>0</v>
      </c>
      <c r="H4" s="83" t="s">
        <v>6</v>
      </c>
      <c r="I4" s="84" t="s">
        <v>161</v>
      </c>
      <c r="J4" s="163" t="s">
        <v>71</v>
      </c>
      <c r="K4" s="163" t="s">
        <v>72</v>
      </c>
      <c r="L4" s="163" t="s">
        <v>73</v>
      </c>
      <c r="M4" s="159" t="s">
        <v>83</v>
      </c>
      <c r="N4" s="159" t="s">
        <v>84</v>
      </c>
      <c r="O4" s="159" t="s">
        <v>194</v>
      </c>
      <c r="P4" s="159" t="s">
        <v>86</v>
      </c>
      <c r="Q4" s="159" t="s">
        <v>70</v>
      </c>
      <c r="R4" s="159" t="s">
        <v>167</v>
      </c>
      <c r="S4" s="159" t="s">
        <v>168</v>
      </c>
      <c r="T4" s="159" t="s">
        <v>169</v>
      </c>
      <c r="U4" s="159" t="s">
        <v>192</v>
      </c>
      <c r="V4" s="164" t="s">
        <v>136</v>
      </c>
      <c r="W4" s="164" t="s">
        <v>137</v>
      </c>
      <c r="X4" s="165" t="s">
        <v>174</v>
      </c>
      <c r="Y4" s="166" t="s">
        <v>138</v>
      </c>
      <c r="Z4" s="158" t="s">
        <v>189</v>
      </c>
      <c r="AA4" s="158" t="s">
        <v>196</v>
      </c>
      <c r="AB4" s="158" t="s">
        <v>17</v>
      </c>
      <c r="AC4" s="167" t="s">
        <v>175</v>
      </c>
      <c r="AD4" s="167" t="s">
        <v>176</v>
      </c>
      <c r="AE4" s="167" t="s">
        <v>177</v>
      </c>
      <c r="AF4" s="168" t="s">
        <v>178</v>
      </c>
      <c r="AG4" s="168" t="s">
        <v>179</v>
      </c>
      <c r="AH4" s="168" t="s">
        <v>195</v>
      </c>
      <c r="AI4" s="168" t="s">
        <v>180</v>
      </c>
      <c r="AJ4" s="168" t="s">
        <v>181</v>
      </c>
      <c r="AK4" s="168" t="s">
        <v>182</v>
      </c>
      <c r="AL4" s="168" t="s">
        <v>183</v>
      </c>
      <c r="AM4" s="168" t="s">
        <v>184</v>
      </c>
      <c r="AN4" s="168" t="s">
        <v>193</v>
      </c>
      <c r="AO4" s="168" t="s">
        <v>185</v>
      </c>
      <c r="AP4" s="168" t="s">
        <v>186</v>
      </c>
      <c r="AQ4" s="181" t="s">
        <v>4</v>
      </c>
      <c r="AR4" s="79"/>
      <c r="AS4" s="79"/>
    </row>
    <row r="5" spans="1:45" s="53" customFormat="1" ht="112" x14ac:dyDescent="0.35">
      <c r="A5" s="70">
        <v>1</v>
      </c>
      <c r="B5" s="182" t="s">
        <v>126</v>
      </c>
      <c r="C5" s="85" t="str">
        <f>IF(VLOOKUP(Table4[[#This Row],[T ID]],Table5[#All],5,FALSE)="No","Not in scope",VLOOKUP(Table4[[#This Row],[T ID]],Table5[#All],2,FALSE))</f>
        <v>Deliver undirected malware
(CAPEC-185)</v>
      </c>
      <c r="D5" s="212" t="s">
        <v>242</v>
      </c>
      <c r="E5" s="85" t="str">
        <f>IF(VLOOKUP(Table4[[#This Row],[V ID]],Vulnerabilities[#All],3,FALSE)="No","Not in scope",VLOOKUP(Table4[[#This Row],[V ID]],Vulnerabilities[#All],2,FALSE))</f>
        <v>Unprotected external USB Port on the tablet/devices.</v>
      </c>
      <c r="F5" s="215" t="s">
        <v>112</v>
      </c>
      <c r="G5" s="86" t="str">
        <f>VLOOKUP(Table4[[#This Row],[A ID]],Assets[#All],3,FALSE)</f>
        <v>Tablet Resources - web cam, microphone, OTG devices, Removable USB, Tablet Application, Network interfaces (Bluetooth, Wifi)</v>
      </c>
      <c r="H5" s="49" t="s">
        <v>274</v>
      </c>
      <c r="I5" s="49"/>
      <c r="J5" s="87" t="s">
        <v>57</v>
      </c>
      <c r="K5" s="87" t="s">
        <v>57</v>
      </c>
      <c r="L5" s="87" t="s">
        <v>57</v>
      </c>
      <c r="M5" s="157" t="s">
        <v>76</v>
      </c>
      <c r="N5" s="157" t="s">
        <v>57</v>
      </c>
      <c r="O5" s="157" t="s">
        <v>57</v>
      </c>
      <c r="P5" s="196" t="s">
        <v>77</v>
      </c>
      <c r="Q5" s="196" t="s">
        <v>75</v>
      </c>
      <c r="R5"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161">
        <f>(1 - ((1 - VLOOKUP(Table4[[#This Row],[Confidentiality]],'Reference - CVSSv3.0'!$B$15:$C$17,2,FALSE)) * (1 - VLOOKUP(Table4[[#This Row],[Integrity]],'Reference - CVSSv3.0'!$B$15:$C$17,2,FALSE)) *  (1 - VLOOKUP(Table4[[#This Row],[Availability]],'Reference - CVSSv3.0'!$B$15:$C$17,2,FALSE))))</f>
        <v>0.52544799999999992</v>
      </c>
      <c r="T5" s="161">
        <f>IF(Table4[[#This Row],[Scope]]="Unchanged",6.42*Table4[[#This Row],[ISC Base]],IF(Table4[[#This Row],[Scope]]="Changed",7.52*(Table4[[#This Row],[ISC Base]] - 0.029) - 3.25 * POWER(Table4[[#This Row],[ISC Base]] - 0.02,15),NA()))</f>
        <v>3.3733761599999994</v>
      </c>
      <c r="U5" s="16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182" t="s">
        <v>57</v>
      </c>
      <c r="W5" s="183">
        <f>VLOOKUP(Table4[[#This Row],[Threat Event Initiation]],NIST_Scale_LOAI[],2,FALSE)</f>
        <v>0.2</v>
      </c>
      <c r="X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49" t="s">
        <v>345</v>
      </c>
      <c r="AA5" s="49" t="s">
        <v>346</v>
      </c>
      <c r="AB5" s="88"/>
      <c r="AC5" s="87" t="s">
        <v>57</v>
      </c>
      <c r="AD5" s="87" t="s">
        <v>78</v>
      </c>
      <c r="AE5" s="87" t="s">
        <v>78</v>
      </c>
      <c r="AF5" s="157" t="s">
        <v>79</v>
      </c>
      <c r="AG5" s="157" t="s">
        <v>57</v>
      </c>
      <c r="AH5" s="157" t="s">
        <v>78</v>
      </c>
      <c r="AI5" s="157" t="s">
        <v>78</v>
      </c>
      <c r="AJ5" s="157" t="s">
        <v>100</v>
      </c>
      <c r="AK5"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61">
        <f>(1 - ((1 - VLOOKUP(Table4[[#This Row],[ConfidentialityP]],'Reference - CVSSv3.0'!$B$15:$C$17,2,FALSE)) * (1 - VLOOKUP(Table4[[#This Row],[IntegrityP]],'Reference - CVSSv3.0'!$B$15:$C$17,2,FALSE)) *  (1 - VLOOKUP(Table4[[#This Row],[AvailabilityP]],'Reference - CVSSv3.0'!$B$15:$C$17,2,FALSE))))</f>
        <v>0.21999999999999997</v>
      </c>
      <c r="AM5" s="161">
        <f>IF(Table4[[#This Row],[ScopeP]]="Unchanged",6.42*Table4[[#This Row],[ISC BaseP]],IF(Table4[[#This Row],[ScopeP]]="Changed",7.52*(Table4[[#This Row],[ISC BaseP]] - 0.029) - 3.25 * POWER(Table4[[#This Row],[ISC BaseP]] - 0.02,15),NA()))</f>
        <v>1.4363199998935039</v>
      </c>
      <c r="AN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2.4</v>
      </c>
      <c r="AP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9" t="s">
        <v>139</v>
      </c>
    </row>
    <row r="6" spans="1:45" s="53" customFormat="1" ht="112" x14ac:dyDescent="0.35">
      <c r="A6" s="70">
        <v>2</v>
      </c>
      <c r="B6" s="182" t="s">
        <v>126</v>
      </c>
      <c r="C6" s="195" t="str">
        <f>IF(VLOOKUP(Table4[[#This Row],[T ID]],Table5[#All],5,FALSE)="No","Not in scope",VLOOKUP(Table4[[#This Row],[T ID]],Table5[#All],2,FALSE))</f>
        <v>Deliver undirected malware
(CAPEC-185)</v>
      </c>
      <c r="D6" s="212" t="s">
        <v>242</v>
      </c>
      <c r="E6" s="195" t="str">
        <f>IF(VLOOKUP(Table4[[#This Row],[V ID]],Vulnerabilities[#All],3,FALSE)="No","Not in scope",VLOOKUP(Table4[[#This Row],[V ID]],Vulnerabilities[#All],2,FALSE))</f>
        <v>Unprotected external USB Port on the tablet/devices.</v>
      </c>
      <c r="F6" s="216" t="s">
        <v>114</v>
      </c>
      <c r="G6" s="195" t="str">
        <f>VLOOKUP(Table4[[#This Row],[A ID]],Assets[#All],3,FALSE)</f>
        <v>Smart medic (Stryker device) System Component</v>
      </c>
      <c r="H6" s="49" t="s">
        <v>274</v>
      </c>
      <c r="I6" s="49"/>
      <c r="J6" s="87" t="s">
        <v>57</v>
      </c>
      <c r="K6" s="87" t="s">
        <v>57</v>
      </c>
      <c r="L6" s="87" t="s">
        <v>57</v>
      </c>
      <c r="M6" s="157" t="s">
        <v>76</v>
      </c>
      <c r="N6" s="157" t="s">
        <v>57</v>
      </c>
      <c r="O6" s="157" t="s">
        <v>57</v>
      </c>
      <c r="P6" s="196" t="s">
        <v>77</v>
      </c>
      <c r="Q6" s="196" t="s">
        <v>75</v>
      </c>
      <c r="R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198">
        <f>(1 - ((1 - VLOOKUP(Table4[[#This Row],[Confidentiality]],'Reference - CVSSv3.0'!$B$15:$C$17,2,FALSE)) * (1 - VLOOKUP(Table4[[#This Row],[Integrity]],'Reference - CVSSv3.0'!$B$15:$C$17,2,FALSE)) *  (1 - VLOOKUP(Table4[[#This Row],[Availability]],'Reference - CVSSv3.0'!$B$15:$C$17,2,FALSE))))</f>
        <v>0.52544799999999992</v>
      </c>
      <c r="T6" s="198">
        <f>IF(Table4[[#This Row],[Scope]]="Unchanged",6.42*Table4[[#This Row],[ISC Base]],IF(Table4[[#This Row],[Scope]]="Changed",7.52*(Table4[[#This Row],[ISC Base]] - 0.029) - 3.25 * POWER(Table4[[#This Row],[ISC Base]] - 0.02,15),NA()))</f>
        <v>3.3733761599999994</v>
      </c>
      <c r="U6"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6" s="182" t="s">
        <v>57</v>
      </c>
      <c r="W6" s="198">
        <f>VLOOKUP(Table4[[#This Row],[Threat Event Initiation]],NIST_Scale_LOAI[],2,FALSE)</f>
        <v>0.2</v>
      </c>
      <c r="X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49" t="s">
        <v>345</v>
      </c>
      <c r="AA6" s="49" t="s">
        <v>346</v>
      </c>
      <c r="AB6" s="200"/>
      <c r="AC6" s="187"/>
      <c r="AD6" s="187"/>
      <c r="AE6" s="187"/>
      <c r="AF6" s="196"/>
      <c r="AG6" s="196"/>
      <c r="AH6" s="196"/>
      <c r="AI6" s="196"/>
      <c r="AJ6" s="201"/>
      <c r="AK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98" t="e">
        <f>(1 - ((1 - VLOOKUP(Table4[[#This Row],[ConfidentialityP]],'Reference - CVSSv3.0'!$B$15:$C$17,2,FALSE)) * (1 - VLOOKUP(Table4[[#This Row],[IntegrityP]],'Reference - CVSSv3.0'!$B$15:$C$17,2,FALSE)) *  (1 - VLOOKUP(Table4[[#This Row],[AvailabilityP]],'Reference - CVSSv3.0'!$B$15:$C$17,2,FALSE))))</f>
        <v>#N/A</v>
      </c>
      <c r="AM6" s="198" t="e">
        <f>IF(Table4[[#This Row],[ScopeP]]="Unchanged",6.42*Table4[[#This Row],[ISC BaseP]],IF(Table4[[#This Row],[ScopeP]]="Changed",7.52*(Table4[[#This Row],[ISC BaseP]] - 0.029) - 3.25 * POWER(Table4[[#This Row],[ISC BaseP]] - 0.02,15),NA()))</f>
        <v>#N/A</v>
      </c>
      <c r="AN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187"/>
    </row>
    <row r="7" spans="1:45" s="53" customFormat="1" ht="112" x14ac:dyDescent="0.35">
      <c r="A7" s="70">
        <v>3</v>
      </c>
      <c r="B7" s="182" t="s">
        <v>126</v>
      </c>
      <c r="C7" s="195" t="str">
        <f>IF(VLOOKUP(Table4[[#This Row],[T ID]],Table5[#All],5,FALSE)="No","Not in scope",VLOOKUP(Table4[[#This Row],[T ID]],Table5[#All],2,FALSE))</f>
        <v>Deliver undirected malware
(CAPEC-185)</v>
      </c>
      <c r="D7" s="212" t="s">
        <v>122</v>
      </c>
      <c r="E7" s="195" t="str">
        <f>IF(VLOOKUP(Table4[[#This Row],[V ID]],Vulnerabilities[#All],3,FALSE)="No","Not in scope",VLOOKUP(Table4[[#This Row],[V ID]],Vulnerabilities[#All],2,FALSE))</f>
        <v>External communications and exposure for communciation channels from and to application and devices like tablet and smartmedic device.</v>
      </c>
      <c r="F7" s="216" t="s">
        <v>114</v>
      </c>
      <c r="G7" s="195" t="str">
        <f>VLOOKUP(Table4[[#This Row],[A ID]],Assets[#All],3,FALSE)</f>
        <v>Smart medic (Stryker device) System Component</v>
      </c>
      <c r="H7" s="49" t="s">
        <v>274</v>
      </c>
      <c r="I7" s="49"/>
      <c r="J7" s="87" t="s">
        <v>57</v>
      </c>
      <c r="K7" s="87" t="s">
        <v>57</v>
      </c>
      <c r="L7" s="87" t="s">
        <v>57</v>
      </c>
      <c r="M7" s="196" t="s">
        <v>79</v>
      </c>
      <c r="N7" s="157" t="s">
        <v>57</v>
      </c>
      <c r="O7" s="157" t="s">
        <v>57</v>
      </c>
      <c r="P7" s="196" t="s">
        <v>77</v>
      </c>
      <c r="Q7" s="196" t="s">
        <v>75</v>
      </c>
      <c r="R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198">
        <f>(1 - ((1 - VLOOKUP(Table4[[#This Row],[Confidentiality]],'Reference - CVSSv3.0'!$B$15:$C$17,2,FALSE)) * (1 - VLOOKUP(Table4[[#This Row],[Integrity]],'Reference - CVSSv3.0'!$B$15:$C$17,2,FALSE)) *  (1 - VLOOKUP(Table4[[#This Row],[Availability]],'Reference - CVSSv3.0'!$B$15:$C$17,2,FALSE))))</f>
        <v>0.52544799999999992</v>
      </c>
      <c r="T7" s="198">
        <f>IF(Table4[[#This Row],[Scope]]="Unchanged",6.42*Table4[[#This Row],[ISC Base]],IF(Table4[[#This Row],[Scope]]="Changed",7.52*(Table4[[#This Row],[ISC Base]] - 0.029) - 3.25 * POWER(Table4[[#This Row],[ISC Base]] - 0.02,15),NA()))</f>
        <v>3.3733761599999994</v>
      </c>
      <c r="U7"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7" s="182" t="s">
        <v>57</v>
      </c>
      <c r="W7" s="198">
        <f>VLOOKUP(Table4[[#This Row],[Threat Event Initiation]],NIST_Scale_LOAI[],2,FALSE)</f>
        <v>0.2</v>
      </c>
      <c r="X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9" t="s">
        <v>345</v>
      </c>
      <c r="AA7" s="49" t="s">
        <v>346</v>
      </c>
      <c r="AB7" s="200"/>
      <c r="AC7" s="187"/>
      <c r="AD7" s="187"/>
      <c r="AE7" s="187"/>
      <c r="AF7" s="196"/>
      <c r="AG7" s="196"/>
      <c r="AH7" s="196"/>
      <c r="AI7" s="196"/>
      <c r="AJ7" s="201"/>
      <c r="AK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98" t="e">
        <f>(1 - ((1 - VLOOKUP(Table4[[#This Row],[ConfidentialityP]],'Reference - CVSSv3.0'!$B$15:$C$17,2,FALSE)) * (1 - VLOOKUP(Table4[[#This Row],[IntegrityP]],'Reference - CVSSv3.0'!$B$15:$C$17,2,FALSE)) *  (1 - VLOOKUP(Table4[[#This Row],[AvailabilityP]],'Reference - CVSSv3.0'!$B$15:$C$17,2,FALSE))))</f>
        <v>#N/A</v>
      </c>
      <c r="AM7" s="198" t="e">
        <f>IF(Table4[[#This Row],[ScopeP]]="Unchanged",6.42*Table4[[#This Row],[ISC BaseP]],IF(Table4[[#This Row],[ScopeP]]="Changed",7.52*(Table4[[#This Row],[ISC BaseP]] - 0.029) - 3.25 * POWER(Table4[[#This Row],[ISC BaseP]] - 0.02,15),NA()))</f>
        <v>#N/A</v>
      </c>
      <c r="AN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187"/>
    </row>
    <row r="8" spans="1:45" s="53" customFormat="1" ht="112" x14ac:dyDescent="0.35">
      <c r="A8" s="70">
        <v>4</v>
      </c>
      <c r="B8" s="182" t="s">
        <v>126</v>
      </c>
      <c r="C8" s="195" t="str">
        <f>IF(VLOOKUP(Table4[[#This Row],[T ID]],Table5[#All],5,FALSE)="No","Not in scope",VLOOKUP(Table4[[#This Row],[T ID]],Table5[#All],2,FALSE))</f>
        <v>Deliver undirected malware
(CAPEC-185)</v>
      </c>
      <c r="D8" s="212" t="s">
        <v>122</v>
      </c>
      <c r="E8" s="195" t="str">
        <f>IF(VLOOKUP(Table4[[#This Row],[V ID]],Vulnerabilities[#All],3,FALSE)="No","Not in scope",VLOOKUP(Table4[[#This Row],[V ID]],Vulnerabilities[#All],2,FALSE))</f>
        <v>External communications and exposure for communciation channels from and to application and devices like tablet and smartmedic device.</v>
      </c>
      <c r="F8" s="215" t="s">
        <v>112</v>
      </c>
      <c r="G8" s="195" t="str">
        <f>VLOOKUP(Table4[[#This Row],[A ID]],Assets[#All],3,FALSE)</f>
        <v>Tablet Resources - web cam, microphone, OTG devices, Removable USB, Tablet Application, Network interfaces (Bluetooth, Wifi)</v>
      </c>
      <c r="H8" s="49" t="s">
        <v>274</v>
      </c>
      <c r="I8" s="49"/>
      <c r="J8" s="87" t="s">
        <v>57</v>
      </c>
      <c r="K8" s="87" t="s">
        <v>57</v>
      </c>
      <c r="L8" s="87" t="s">
        <v>57</v>
      </c>
      <c r="M8" s="196" t="s">
        <v>79</v>
      </c>
      <c r="N8" s="157" t="s">
        <v>57</v>
      </c>
      <c r="O8" s="157" t="s">
        <v>57</v>
      </c>
      <c r="P8" s="196" t="s">
        <v>77</v>
      </c>
      <c r="Q8" s="196" t="s">
        <v>75</v>
      </c>
      <c r="R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198">
        <f>(1 - ((1 - VLOOKUP(Table4[[#This Row],[Confidentiality]],'Reference - CVSSv3.0'!$B$15:$C$17,2,FALSE)) * (1 - VLOOKUP(Table4[[#This Row],[Integrity]],'Reference - CVSSv3.0'!$B$15:$C$17,2,FALSE)) *  (1 - VLOOKUP(Table4[[#This Row],[Availability]],'Reference - CVSSv3.0'!$B$15:$C$17,2,FALSE))))</f>
        <v>0.52544799999999992</v>
      </c>
      <c r="T8" s="198">
        <f>IF(Table4[[#This Row],[Scope]]="Unchanged",6.42*Table4[[#This Row],[ISC Base]],IF(Table4[[#This Row],[Scope]]="Changed",7.52*(Table4[[#This Row],[ISC Base]] - 0.029) - 3.25 * POWER(Table4[[#This Row],[ISC Base]] - 0.02,15),NA()))</f>
        <v>3.3733761599999994</v>
      </c>
      <c r="U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8" s="182" t="s">
        <v>57</v>
      </c>
      <c r="W8" s="198">
        <f>VLOOKUP(Table4[[#This Row],[Threat Event Initiation]],NIST_Scale_LOAI[],2,FALSE)</f>
        <v>0.2</v>
      </c>
      <c r="X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49" t="s">
        <v>345</v>
      </c>
      <c r="AA8" s="49" t="s">
        <v>346</v>
      </c>
      <c r="AB8" s="200"/>
      <c r="AC8" s="187"/>
      <c r="AD8" s="187"/>
      <c r="AE8" s="187"/>
      <c r="AF8" s="196"/>
      <c r="AG8" s="196"/>
      <c r="AH8" s="196"/>
      <c r="AI8" s="196"/>
      <c r="AJ8" s="201"/>
      <c r="AK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98" t="e">
        <f>(1 - ((1 - VLOOKUP(Table4[[#This Row],[ConfidentialityP]],'Reference - CVSSv3.0'!$B$15:$C$17,2,FALSE)) * (1 - VLOOKUP(Table4[[#This Row],[IntegrityP]],'Reference - CVSSv3.0'!$B$15:$C$17,2,FALSE)) *  (1 - VLOOKUP(Table4[[#This Row],[AvailabilityP]],'Reference - CVSSv3.0'!$B$15:$C$17,2,FALSE))))</f>
        <v>#N/A</v>
      </c>
      <c r="AM8" s="198" t="e">
        <f>IF(Table4[[#This Row],[ScopeP]]="Unchanged",6.42*Table4[[#This Row],[ISC BaseP]],IF(Table4[[#This Row],[ScopeP]]="Changed",7.52*(Table4[[#This Row],[ISC BaseP]] - 0.029) - 3.25 * POWER(Table4[[#This Row],[ISC BaseP]] - 0.02,15),NA()))</f>
        <v>#N/A</v>
      </c>
      <c r="AN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187"/>
    </row>
    <row r="9" spans="1:45" s="53" customFormat="1" ht="112" x14ac:dyDescent="0.35">
      <c r="A9" s="70">
        <v>5</v>
      </c>
      <c r="B9" s="182" t="s">
        <v>126</v>
      </c>
      <c r="C9" s="195" t="str">
        <f>IF(VLOOKUP(Table4[[#This Row],[T ID]],Table5[#All],5,FALSE)="No","Not in scope",VLOOKUP(Table4[[#This Row],[T ID]],Table5[#All],2,FALSE))</f>
        <v>Deliver undirected malware
(CAPEC-185)</v>
      </c>
      <c r="D9" s="212" t="s">
        <v>144</v>
      </c>
      <c r="E9" s="195" t="str">
        <f>IF(VLOOKUP(Table4[[#This Row],[V ID]],Vulnerabilities[#All],3,FALSE)="No","Not in scope",VLOOKUP(Table4[[#This Row],[V ID]],Vulnerabilities[#All],2,FALSE))</f>
        <v>Legacy system identification if any</v>
      </c>
      <c r="F9" s="216" t="s">
        <v>114</v>
      </c>
      <c r="G9" s="195" t="str">
        <f>VLOOKUP(Table4[[#This Row],[A ID]],Assets[#All],3,FALSE)</f>
        <v>Smart medic (Stryker device) System Component</v>
      </c>
      <c r="H9" s="49" t="s">
        <v>274</v>
      </c>
      <c r="I9" s="49"/>
      <c r="J9" s="87" t="s">
        <v>57</v>
      </c>
      <c r="K9" s="87" t="s">
        <v>57</v>
      </c>
      <c r="L9" s="87" t="s">
        <v>57</v>
      </c>
      <c r="M9" s="196" t="s">
        <v>76</v>
      </c>
      <c r="N9" s="157" t="s">
        <v>57</v>
      </c>
      <c r="O9" s="157" t="s">
        <v>57</v>
      </c>
      <c r="P9" s="196" t="s">
        <v>78</v>
      </c>
      <c r="Q9" s="196" t="s">
        <v>75</v>
      </c>
      <c r="R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198">
        <f>(1 - ((1 - VLOOKUP(Table4[[#This Row],[Confidentiality]],'Reference - CVSSv3.0'!$B$15:$C$17,2,FALSE)) * (1 - VLOOKUP(Table4[[#This Row],[Integrity]],'Reference - CVSSv3.0'!$B$15:$C$17,2,FALSE)) *  (1 - VLOOKUP(Table4[[#This Row],[Availability]],'Reference - CVSSv3.0'!$B$15:$C$17,2,FALSE))))</f>
        <v>0.52544799999999992</v>
      </c>
      <c r="T9" s="198">
        <f>IF(Table4[[#This Row],[Scope]]="Unchanged",6.42*Table4[[#This Row],[ISC Base]],IF(Table4[[#This Row],[Scope]]="Changed",7.52*(Table4[[#This Row],[ISC Base]] - 0.029) - 3.25 * POWER(Table4[[#This Row],[ISC Base]] - 0.02,15),NA()))</f>
        <v>3.3733761599999994</v>
      </c>
      <c r="U9"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182" t="s">
        <v>57</v>
      </c>
      <c r="W9" s="198">
        <f>VLOOKUP(Table4[[#This Row],[Threat Event Initiation]],NIST_Scale_LOAI[],2,FALSE)</f>
        <v>0.2</v>
      </c>
      <c r="X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49" t="s">
        <v>345</v>
      </c>
      <c r="AA9" s="49" t="s">
        <v>346</v>
      </c>
      <c r="AB9" s="200"/>
      <c r="AC9" s="187"/>
      <c r="AD9" s="187"/>
      <c r="AE9" s="187"/>
      <c r="AF9" s="196"/>
      <c r="AG9" s="196"/>
      <c r="AH9" s="196"/>
      <c r="AI9" s="196"/>
      <c r="AJ9" s="201"/>
      <c r="AK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98" t="e">
        <f>(1 - ((1 - VLOOKUP(Table4[[#This Row],[ConfidentialityP]],'Reference - CVSSv3.0'!$B$15:$C$17,2,FALSE)) * (1 - VLOOKUP(Table4[[#This Row],[IntegrityP]],'Reference - CVSSv3.0'!$B$15:$C$17,2,FALSE)) *  (1 - VLOOKUP(Table4[[#This Row],[AvailabilityP]],'Reference - CVSSv3.0'!$B$15:$C$17,2,FALSE))))</f>
        <v>#N/A</v>
      </c>
      <c r="AM9" s="198" t="e">
        <f>IF(Table4[[#This Row],[ScopeP]]="Unchanged",6.42*Table4[[#This Row],[ISC BaseP]],IF(Table4[[#This Row],[ScopeP]]="Changed",7.52*(Table4[[#This Row],[ISC BaseP]] - 0.029) - 3.25 * POWER(Table4[[#This Row],[ISC BaseP]] - 0.02,15),NA()))</f>
        <v>#N/A</v>
      </c>
      <c r="AN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187"/>
    </row>
    <row r="10" spans="1:45" s="53" customFormat="1" ht="112" x14ac:dyDescent="0.35">
      <c r="A10" s="70">
        <v>6</v>
      </c>
      <c r="B10" s="182" t="s">
        <v>126</v>
      </c>
      <c r="C10" s="195" t="str">
        <f>IF(VLOOKUP(Table4[[#This Row],[T ID]],Table5[#All],5,FALSE)="No","Not in scope",VLOOKUP(Table4[[#This Row],[T ID]],Table5[#All],2,FALSE))</f>
        <v>Deliver undirected malware
(CAPEC-185)</v>
      </c>
      <c r="D10" s="212" t="s">
        <v>144</v>
      </c>
      <c r="E10" s="195" t="str">
        <f>IF(VLOOKUP(Table4[[#This Row],[V ID]],Vulnerabilities[#All],3,FALSE)="No","Not in scope",VLOOKUP(Table4[[#This Row],[V ID]],Vulnerabilities[#All],2,FALSE))</f>
        <v>Legacy system identification if any</v>
      </c>
      <c r="F10" s="215" t="s">
        <v>112</v>
      </c>
      <c r="G10" s="195" t="str">
        <f>VLOOKUP(Table4[[#This Row],[A ID]],Assets[#All],3,FALSE)</f>
        <v>Tablet Resources - web cam, microphone, OTG devices, Removable USB, Tablet Application, Network interfaces (Bluetooth, Wifi)</v>
      </c>
      <c r="H10" s="49" t="s">
        <v>274</v>
      </c>
      <c r="I10" s="49"/>
      <c r="J10" s="87" t="s">
        <v>57</v>
      </c>
      <c r="K10" s="87" t="s">
        <v>57</v>
      </c>
      <c r="L10" s="87" t="s">
        <v>57</v>
      </c>
      <c r="M10" s="196" t="s">
        <v>76</v>
      </c>
      <c r="N10" s="157" t="s">
        <v>57</v>
      </c>
      <c r="O10" s="157" t="s">
        <v>57</v>
      </c>
      <c r="P10" s="196" t="s">
        <v>78</v>
      </c>
      <c r="Q10" s="196" t="s">
        <v>75</v>
      </c>
      <c r="R1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198">
        <f>(1 - ((1 - VLOOKUP(Table4[[#This Row],[Confidentiality]],'Reference - CVSSv3.0'!$B$15:$C$17,2,FALSE)) * (1 - VLOOKUP(Table4[[#This Row],[Integrity]],'Reference - CVSSv3.0'!$B$15:$C$17,2,FALSE)) *  (1 - VLOOKUP(Table4[[#This Row],[Availability]],'Reference - CVSSv3.0'!$B$15:$C$17,2,FALSE))))</f>
        <v>0.52544799999999992</v>
      </c>
      <c r="T10" s="198">
        <f>IF(Table4[[#This Row],[Scope]]="Unchanged",6.42*Table4[[#This Row],[ISC Base]],IF(Table4[[#This Row],[Scope]]="Changed",7.52*(Table4[[#This Row],[ISC Base]] - 0.029) - 3.25 * POWER(Table4[[#This Row],[ISC Base]] - 0.02,15),NA()))</f>
        <v>3.3733761599999994</v>
      </c>
      <c r="U1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182" t="s">
        <v>57</v>
      </c>
      <c r="W10" s="198">
        <f>VLOOKUP(Table4[[#This Row],[Threat Event Initiation]],NIST_Scale_LOAI[],2,FALSE)</f>
        <v>0.2</v>
      </c>
      <c r="X1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49" t="s">
        <v>345</v>
      </c>
      <c r="AA10" s="49" t="s">
        <v>346</v>
      </c>
      <c r="AB10" s="200"/>
      <c r="AC10" s="187"/>
      <c r="AD10" s="187"/>
      <c r="AE10" s="187"/>
      <c r="AF10" s="196"/>
      <c r="AG10" s="196"/>
      <c r="AH10" s="196"/>
      <c r="AI10" s="196"/>
      <c r="AJ10" s="201"/>
      <c r="AK1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98" t="e">
        <f>(1 - ((1 - VLOOKUP(Table4[[#This Row],[ConfidentialityP]],'Reference - CVSSv3.0'!$B$15:$C$17,2,FALSE)) * (1 - VLOOKUP(Table4[[#This Row],[IntegrityP]],'Reference - CVSSv3.0'!$B$15:$C$17,2,FALSE)) *  (1 - VLOOKUP(Table4[[#This Row],[AvailabilityP]],'Reference - CVSSv3.0'!$B$15:$C$17,2,FALSE))))</f>
        <v>#N/A</v>
      </c>
      <c r="AM10" s="198" t="e">
        <f>IF(Table4[[#This Row],[ScopeP]]="Unchanged",6.42*Table4[[#This Row],[ISC BaseP]],IF(Table4[[#This Row],[ScopeP]]="Changed",7.52*(Table4[[#This Row],[ISC BaseP]] - 0.029) - 3.25 * POWER(Table4[[#This Row],[ISC BaseP]] - 0.02,15),NA()))</f>
        <v>#N/A</v>
      </c>
      <c r="AN1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187"/>
    </row>
    <row r="11" spans="1:45" s="53" customFormat="1" ht="112" x14ac:dyDescent="0.35">
      <c r="A11" s="70">
        <v>7</v>
      </c>
      <c r="B11" s="182" t="s">
        <v>126</v>
      </c>
      <c r="C11" s="195" t="str">
        <f>IF(VLOOKUP(Table4[[#This Row],[T ID]],Table5[#All],5,FALSE)="No","Not in scope",VLOOKUP(Table4[[#This Row],[T ID]],Table5[#All],2,FALSE))</f>
        <v>Deliver undirected malware
(CAPEC-185)</v>
      </c>
      <c r="D11" s="212" t="s">
        <v>229</v>
      </c>
      <c r="E11" s="195" t="str">
        <f>IF(VLOOKUP(Table4[[#This Row],[V ID]],Vulnerabilities[#All],3,FALSE)="No","Not in scope",VLOOKUP(Table4[[#This Row],[V ID]],Vulnerabilities[#All],2,FALSE))</f>
        <v>Ineffective patch management of firware, OS and applications thoughout the information system plan</v>
      </c>
      <c r="F11" s="216" t="s">
        <v>116</v>
      </c>
      <c r="G11" s="195" t="str">
        <f>VLOOKUP(Table4[[#This Row],[A ID]],Assets[#All],3,FALSE)</f>
        <v>Device Maintainence tool (Hardware/Software)</v>
      </c>
      <c r="H11" s="49" t="s">
        <v>274</v>
      </c>
      <c r="I11" s="49"/>
      <c r="J11" s="87" t="s">
        <v>57</v>
      </c>
      <c r="K11" s="87" t="s">
        <v>57</v>
      </c>
      <c r="L11" s="87" t="s">
        <v>57</v>
      </c>
      <c r="M11" s="196" t="s">
        <v>80</v>
      </c>
      <c r="N11" s="157" t="s">
        <v>57</v>
      </c>
      <c r="O11" s="157" t="s">
        <v>57</v>
      </c>
      <c r="P11" s="196" t="s">
        <v>78</v>
      </c>
      <c r="Q11" s="196" t="s">
        <v>75</v>
      </c>
      <c r="R1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198">
        <f>(1 - ((1 - VLOOKUP(Table4[[#This Row],[Confidentiality]],'Reference - CVSSv3.0'!$B$15:$C$17,2,FALSE)) * (1 - VLOOKUP(Table4[[#This Row],[Integrity]],'Reference - CVSSv3.0'!$B$15:$C$17,2,FALSE)) *  (1 - VLOOKUP(Table4[[#This Row],[Availability]],'Reference - CVSSv3.0'!$B$15:$C$17,2,FALSE))))</f>
        <v>0.52544799999999992</v>
      </c>
      <c r="T11" s="198">
        <f>IF(Table4[[#This Row],[Scope]]="Unchanged",6.42*Table4[[#This Row],[ISC Base]],IF(Table4[[#This Row],[Scope]]="Changed",7.52*(Table4[[#This Row],[ISC Base]] - 0.029) - 3.25 * POWER(Table4[[#This Row],[ISC Base]] - 0.02,15),NA()))</f>
        <v>3.3733761599999994</v>
      </c>
      <c r="U1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182" t="s">
        <v>57</v>
      </c>
      <c r="W11" s="198">
        <f>VLOOKUP(Table4[[#This Row],[Threat Event Initiation]],NIST_Scale_LOAI[],2,FALSE)</f>
        <v>0.2</v>
      </c>
      <c r="X1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49" t="s">
        <v>345</v>
      </c>
      <c r="AA11" s="49" t="s">
        <v>346</v>
      </c>
      <c r="AB11" s="200"/>
      <c r="AC11" s="187"/>
      <c r="AD11" s="187"/>
      <c r="AE11" s="187"/>
      <c r="AF11" s="196"/>
      <c r="AG11" s="196"/>
      <c r="AH11" s="196"/>
      <c r="AI11" s="196"/>
      <c r="AJ11" s="201"/>
      <c r="AK1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98" t="e">
        <f>(1 - ((1 - VLOOKUP(Table4[[#This Row],[ConfidentialityP]],'Reference - CVSSv3.0'!$B$15:$C$17,2,FALSE)) * (1 - VLOOKUP(Table4[[#This Row],[IntegrityP]],'Reference - CVSSv3.0'!$B$15:$C$17,2,FALSE)) *  (1 - VLOOKUP(Table4[[#This Row],[AvailabilityP]],'Reference - CVSSv3.0'!$B$15:$C$17,2,FALSE))))</f>
        <v>#N/A</v>
      </c>
      <c r="AM11" s="198" t="e">
        <f>IF(Table4[[#This Row],[ScopeP]]="Unchanged",6.42*Table4[[#This Row],[ISC BaseP]],IF(Table4[[#This Row],[ScopeP]]="Changed",7.52*(Table4[[#This Row],[ISC BaseP]] - 0.029) - 3.25 * POWER(Table4[[#This Row],[ISC BaseP]] - 0.02,15),NA()))</f>
        <v>#N/A</v>
      </c>
      <c r="AN1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187"/>
    </row>
    <row r="12" spans="1:45" s="53" customFormat="1" ht="112" x14ac:dyDescent="0.35">
      <c r="A12" s="70">
        <v>8</v>
      </c>
      <c r="B12" s="182" t="s">
        <v>126</v>
      </c>
      <c r="C12" s="195" t="str">
        <f>IF(VLOOKUP(Table4[[#This Row],[T ID]],Table5[#All],5,FALSE)="No","Not in scope",VLOOKUP(Table4[[#This Row],[T ID]],Table5[#All],2,FALSE))</f>
        <v>Deliver undirected malware
(CAPEC-185)</v>
      </c>
      <c r="D12" s="212" t="s">
        <v>229</v>
      </c>
      <c r="E12" s="195" t="str">
        <f>IF(VLOOKUP(Table4[[#This Row],[V ID]],Vulnerabilities[#All],3,FALSE)="No","Not in scope",VLOOKUP(Table4[[#This Row],[V ID]],Vulnerabilities[#All],2,FALSE))</f>
        <v>Ineffective patch management of firware, OS and applications thoughout the information system plan</v>
      </c>
      <c r="F12" s="215" t="s">
        <v>112</v>
      </c>
      <c r="G12" s="195" t="str">
        <f>VLOOKUP(Table4[[#This Row],[A ID]],Assets[#All],3,FALSE)</f>
        <v>Tablet Resources - web cam, microphone, OTG devices, Removable USB, Tablet Application, Network interfaces (Bluetooth, Wifi)</v>
      </c>
      <c r="H12" s="49" t="s">
        <v>274</v>
      </c>
      <c r="I12" s="49"/>
      <c r="J12" s="87" t="s">
        <v>57</v>
      </c>
      <c r="K12" s="87" t="s">
        <v>57</v>
      </c>
      <c r="L12" s="87" t="s">
        <v>57</v>
      </c>
      <c r="M12" s="196" t="s">
        <v>80</v>
      </c>
      <c r="N12" s="157" t="s">
        <v>57</v>
      </c>
      <c r="O12" s="157" t="s">
        <v>57</v>
      </c>
      <c r="P12" s="196" t="s">
        <v>78</v>
      </c>
      <c r="Q12" s="196" t="s">
        <v>75</v>
      </c>
      <c r="R1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198">
        <f>(1 - ((1 - VLOOKUP(Table4[[#This Row],[Confidentiality]],'Reference - CVSSv3.0'!$B$15:$C$17,2,FALSE)) * (1 - VLOOKUP(Table4[[#This Row],[Integrity]],'Reference - CVSSv3.0'!$B$15:$C$17,2,FALSE)) *  (1 - VLOOKUP(Table4[[#This Row],[Availability]],'Reference - CVSSv3.0'!$B$15:$C$17,2,FALSE))))</f>
        <v>0.52544799999999992</v>
      </c>
      <c r="T12" s="198">
        <f>IF(Table4[[#This Row],[Scope]]="Unchanged",6.42*Table4[[#This Row],[ISC Base]],IF(Table4[[#This Row],[Scope]]="Changed",7.52*(Table4[[#This Row],[ISC Base]] - 0.029) - 3.25 * POWER(Table4[[#This Row],[ISC Base]] - 0.02,15),NA()))</f>
        <v>3.3733761599999994</v>
      </c>
      <c r="U1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182" t="s">
        <v>57</v>
      </c>
      <c r="W12" s="198">
        <f>VLOOKUP(Table4[[#This Row],[Threat Event Initiation]],NIST_Scale_LOAI[],2,FALSE)</f>
        <v>0.2</v>
      </c>
      <c r="X1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49" t="s">
        <v>345</v>
      </c>
      <c r="AA12" s="49" t="s">
        <v>346</v>
      </c>
      <c r="AB12" s="200"/>
      <c r="AC12" s="187"/>
      <c r="AD12" s="187"/>
      <c r="AE12" s="187"/>
      <c r="AF12" s="196"/>
      <c r="AG12" s="196"/>
      <c r="AH12" s="196"/>
      <c r="AI12" s="196"/>
      <c r="AJ12" s="201"/>
      <c r="AK1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98" t="e">
        <f>(1 - ((1 - VLOOKUP(Table4[[#This Row],[ConfidentialityP]],'Reference - CVSSv3.0'!$B$15:$C$17,2,FALSE)) * (1 - VLOOKUP(Table4[[#This Row],[IntegrityP]],'Reference - CVSSv3.0'!$B$15:$C$17,2,FALSE)) *  (1 - VLOOKUP(Table4[[#This Row],[AvailabilityP]],'Reference - CVSSv3.0'!$B$15:$C$17,2,FALSE))))</f>
        <v>#N/A</v>
      </c>
      <c r="AM12" s="198" t="e">
        <f>IF(Table4[[#This Row],[ScopeP]]="Unchanged",6.42*Table4[[#This Row],[ISC BaseP]],IF(Table4[[#This Row],[ScopeP]]="Changed",7.52*(Table4[[#This Row],[ISC BaseP]] - 0.029) - 3.25 * POWER(Table4[[#This Row],[ISC BaseP]] - 0.02,15),NA()))</f>
        <v>#N/A</v>
      </c>
      <c r="AN1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187"/>
    </row>
    <row r="13" spans="1:45" s="53" customFormat="1" ht="112" x14ac:dyDescent="0.35">
      <c r="A13" s="70">
        <v>9</v>
      </c>
      <c r="B13" s="182" t="s">
        <v>126</v>
      </c>
      <c r="C13" s="195" t="str">
        <f>IF(VLOOKUP(Table4[[#This Row],[T ID]],Table5[#All],5,FALSE)="No","Not in scope",VLOOKUP(Table4[[#This Row],[T ID]],Table5[#All],2,FALSE))</f>
        <v>Deliver undirected malware
(CAPEC-185)</v>
      </c>
      <c r="D13" s="212" t="s">
        <v>229</v>
      </c>
      <c r="E13" s="195" t="str">
        <f>IF(VLOOKUP(Table4[[#This Row],[V ID]],Vulnerabilities[#All],3,FALSE)="No","Not in scope",VLOOKUP(Table4[[#This Row],[V ID]],Vulnerabilities[#All],2,FALSE))</f>
        <v>Ineffective patch management of firware, OS and applications thoughout the information system plan</v>
      </c>
      <c r="F13" s="216" t="s">
        <v>114</v>
      </c>
      <c r="G13" s="195" t="str">
        <f>VLOOKUP(Table4[[#This Row],[A ID]],Assets[#All],3,FALSE)</f>
        <v>Smart medic (Stryker device) System Component</v>
      </c>
      <c r="H13" s="49" t="s">
        <v>274</v>
      </c>
      <c r="I13" s="49"/>
      <c r="J13" s="87" t="s">
        <v>57</v>
      </c>
      <c r="K13" s="87" t="s">
        <v>57</v>
      </c>
      <c r="L13" s="87" t="s">
        <v>57</v>
      </c>
      <c r="M13" s="196" t="s">
        <v>80</v>
      </c>
      <c r="N13" s="157" t="s">
        <v>57</v>
      </c>
      <c r="O13" s="157" t="s">
        <v>57</v>
      </c>
      <c r="P13" s="196" t="s">
        <v>78</v>
      </c>
      <c r="Q13" s="196" t="s">
        <v>75</v>
      </c>
      <c r="R1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198">
        <f>(1 - ((1 - VLOOKUP(Table4[[#This Row],[Confidentiality]],'Reference - CVSSv3.0'!$B$15:$C$17,2,FALSE)) * (1 - VLOOKUP(Table4[[#This Row],[Integrity]],'Reference - CVSSv3.0'!$B$15:$C$17,2,FALSE)) *  (1 - VLOOKUP(Table4[[#This Row],[Availability]],'Reference - CVSSv3.0'!$B$15:$C$17,2,FALSE))))</f>
        <v>0.52544799999999992</v>
      </c>
      <c r="T13" s="198">
        <f>IF(Table4[[#This Row],[Scope]]="Unchanged",6.42*Table4[[#This Row],[ISC Base]],IF(Table4[[#This Row],[Scope]]="Changed",7.52*(Table4[[#This Row],[ISC Base]] - 0.029) - 3.25 * POWER(Table4[[#This Row],[ISC Base]] - 0.02,15),NA()))</f>
        <v>3.3733761599999994</v>
      </c>
      <c r="U1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182" t="s">
        <v>57</v>
      </c>
      <c r="W13" s="198">
        <f>VLOOKUP(Table4[[#This Row],[Threat Event Initiation]],NIST_Scale_LOAI[],2,FALSE)</f>
        <v>0.2</v>
      </c>
      <c r="X1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49" t="s">
        <v>345</v>
      </c>
      <c r="AA13" s="49" t="s">
        <v>346</v>
      </c>
      <c r="AB13" s="200"/>
      <c r="AC13" s="187"/>
      <c r="AD13" s="187"/>
      <c r="AE13" s="187"/>
      <c r="AF13" s="196"/>
      <c r="AG13" s="196"/>
      <c r="AH13" s="196"/>
      <c r="AI13" s="196"/>
      <c r="AJ13" s="201"/>
      <c r="AK1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98" t="e">
        <f>(1 - ((1 - VLOOKUP(Table4[[#This Row],[ConfidentialityP]],'Reference - CVSSv3.0'!$B$15:$C$17,2,FALSE)) * (1 - VLOOKUP(Table4[[#This Row],[IntegrityP]],'Reference - CVSSv3.0'!$B$15:$C$17,2,FALSE)) *  (1 - VLOOKUP(Table4[[#This Row],[AvailabilityP]],'Reference - CVSSv3.0'!$B$15:$C$17,2,FALSE))))</f>
        <v>#N/A</v>
      </c>
      <c r="AM13" s="198" t="e">
        <f>IF(Table4[[#This Row],[ScopeP]]="Unchanged",6.42*Table4[[#This Row],[ISC BaseP]],IF(Table4[[#This Row],[ScopeP]]="Changed",7.52*(Table4[[#This Row],[ISC BaseP]] - 0.029) - 3.25 * POWER(Table4[[#This Row],[ISC BaseP]] - 0.02,15),NA()))</f>
        <v>#N/A</v>
      </c>
      <c r="AN1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187"/>
    </row>
    <row r="14" spans="1:45" s="53" customFormat="1" ht="112" x14ac:dyDescent="0.35">
      <c r="A14" s="70">
        <v>10</v>
      </c>
      <c r="B14" s="182" t="s">
        <v>126</v>
      </c>
      <c r="C14" s="195" t="str">
        <f>IF(VLOOKUP(Table4[[#This Row],[T ID]],Table5[#All],5,FALSE)="No","Not in scope",VLOOKUP(Table4[[#This Row],[T ID]],Table5[#All],2,FALSE))</f>
        <v>Deliver undirected malware
(CAPEC-185)</v>
      </c>
      <c r="D14" s="212" t="s">
        <v>230</v>
      </c>
      <c r="E14" s="195" t="str">
        <f>IF(VLOOKUP(Table4[[#This Row],[V ID]],Vulnerabilities[#All],3,FALSE)="No","Not in scope",VLOOKUP(Table4[[#This Row],[V ID]],Vulnerabilities[#All],2,FALSE))</f>
        <v xml:space="preserve">Lack of plan for periodic Software Vulnerability Management </v>
      </c>
      <c r="F14" s="216" t="s">
        <v>116</v>
      </c>
      <c r="G14" s="195" t="str">
        <f>VLOOKUP(Table4[[#This Row],[A ID]],Assets[#All],3,FALSE)</f>
        <v>Device Maintainence tool (Hardware/Software)</v>
      </c>
      <c r="H14" s="49" t="s">
        <v>274</v>
      </c>
      <c r="I14" s="49"/>
      <c r="J14" s="87" t="s">
        <v>57</v>
      </c>
      <c r="K14" s="87" t="s">
        <v>57</v>
      </c>
      <c r="L14" s="87" t="s">
        <v>57</v>
      </c>
      <c r="M14" s="196" t="s">
        <v>80</v>
      </c>
      <c r="N14" s="157" t="s">
        <v>57</v>
      </c>
      <c r="O14" s="157" t="s">
        <v>57</v>
      </c>
      <c r="P14" s="196" t="s">
        <v>78</v>
      </c>
      <c r="Q14" s="196" t="s">
        <v>75</v>
      </c>
      <c r="R1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198">
        <f>(1 - ((1 - VLOOKUP(Table4[[#This Row],[Confidentiality]],'Reference - CVSSv3.0'!$B$15:$C$17,2,FALSE)) * (1 - VLOOKUP(Table4[[#This Row],[Integrity]],'Reference - CVSSv3.0'!$B$15:$C$17,2,FALSE)) *  (1 - VLOOKUP(Table4[[#This Row],[Availability]],'Reference - CVSSv3.0'!$B$15:$C$17,2,FALSE))))</f>
        <v>0.52544799999999992</v>
      </c>
      <c r="T14" s="198">
        <f>IF(Table4[[#This Row],[Scope]]="Unchanged",6.42*Table4[[#This Row],[ISC Base]],IF(Table4[[#This Row],[Scope]]="Changed",7.52*(Table4[[#This Row],[ISC Base]] - 0.029) - 3.25 * POWER(Table4[[#This Row],[ISC Base]] - 0.02,15),NA()))</f>
        <v>3.3733761599999994</v>
      </c>
      <c r="U1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182" t="s">
        <v>57</v>
      </c>
      <c r="W14" s="198">
        <f>VLOOKUP(Table4[[#This Row],[Threat Event Initiation]],NIST_Scale_LOAI[],2,FALSE)</f>
        <v>0.2</v>
      </c>
      <c r="X1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49" t="s">
        <v>345</v>
      </c>
      <c r="AA14" s="49" t="s">
        <v>346</v>
      </c>
      <c r="AB14" s="200"/>
      <c r="AC14" s="187"/>
      <c r="AD14" s="187"/>
      <c r="AE14" s="187"/>
      <c r="AF14" s="196"/>
      <c r="AG14" s="196"/>
      <c r="AH14" s="196"/>
      <c r="AI14" s="196"/>
      <c r="AJ14" s="201"/>
      <c r="AK1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98" t="e">
        <f>(1 - ((1 - VLOOKUP(Table4[[#This Row],[ConfidentialityP]],'Reference - CVSSv3.0'!$B$15:$C$17,2,FALSE)) * (1 - VLOOKUP(Table4[[#This Row],[IntegrityP]],'Reference - CVSSv3.0'!$B$15:$C$17,2,FALSE)) *  (1 - VLOOKUP(Table4[[#This Row],[AvailabilityP]],'Reference - CVSSv3.0'!$B$15:$C$17,2,FALSE))))</f>
        <v>#N/A</v>
      </c>
      <c r="AM14" s="198" t="e">
        <f>IF(Table4[[#This Row],[ScopeP]]="Unchanged",6.42*Table4[[#This Row],[ISC BaseP]],IF(Table4[[#This Row],[ScopeP]]="Changed",7.52*(Table4[[#This Row],[ISC BaseP]] - 0.029) - 3.25 * POWER(Table4[[#This Row],[ISC BaseP]] - 0.02,15),NA()))</f>
        <v>#N/A</v>
      </c>
      <c r="AN1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187"/>
    </row>
    <row r="15" spans="1:45" s="53" customFormat="1" ht="112" x14ac:dyDescent="0.35">
      <c r="A15" s="70">
        <v>11</v>
      </c>
      <c r="B15" s="182" t="s">
        <v>126</v>
      </c>
      <c r="C15" s="195" t="str">
        <f>IF(VLOOKUP(Table4[[#This Row],[T ID]],Table5[#All],5,FALSE)="No","Not in scope",VLOOKUP(Table4[[#This Row],[T ID]],Table5[#All],2,FALSE))</f>
        <v>Deliver undirected malware
(CAPEC-185)</v>
      </c>
      <c r="D15" s="212" t="s">
        <v>230</v>
      </c>
      <c r="E15" s="195" t="str">
        <f>IF(VLOOKUP(Table4[[#This Row],[V ID]],Vulnerabilities[#All],3,FALSE)="No","Not in scope",VLOOKUP(Table4[[#This Row],[V ID]],Vulnerabilities[#All],2,FALSE))</f>
        <v xml:space="preserve">Lack of plan for periodic Software Vulnerability Management </v>
      </c>
      <c r="F15" s="215" t="s">
        <v>112</v>
      </c>
      <c r="G15" s="195" t="str">
        <f>VLOOKUP(Table4[[#This Row],[A ID]],Assets[#All],3,FALSE)</f>
        <v>Tablet Resources - web cam, microphone, OTG devices, Removable USB, Tablet Application, Network interfaces (Bluetooth, Wifi)</v>
      </c>
      <c r="H15" s="49" t="s">
        <v>274</v>
      </c>
      <c r="I15" s="49"/>
      <c r="J15" s="87" t="s">
        <v>57</v>
      </c>
      <c r="K15" s="87" t="s">
        <v>57</v>
      </c>
      <c r="L15" s="87" t="s">
        <v>57</v>
      </c>
      <c r="M15" s="196" t="s">
        <v>80</v>
      </c>
      <c r="N15" s="157" t="s">
        <v>57</v>
      </c>
      <c r="O15" s="157" t="s">
        <v>57</v>
      </c>
      <c r="P15" s="196" t="s">
        <v>78</v>
      </c>
      <c r="Q15" s="196" t="s">
        <v>75</v>
      </c>
      <c r="R1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198">
        <f>(1 - ((1 - VLOOKUP(Table4[[#This Row],[Confidentiality]],'Reference - CVSSv3.0'!$B$15:$C$17,2,FALSE)) * (1 - VLOOKUP(Table4[[#This Row],[Integrity]],'Reference - CVSSv3.0'!$B$15:$C$17,2,FALSE)) *  (1 - VLOOKUP(Table4[[#This Row],[Availability]],'Reference - CVSSv3.0'!$B$15:$C$17,2,FALSE))))</f>
        <v>0.52544799999999992</v>
      </c>
      <c r="T15" s="198">
        <f>IF(Table4[[#This Row],[Scope]]="Unchanged",6.42*Table4[[#This Row],[ISC Base]],IF(Table4[[#This Row],[Scope]]="Changed",7.52*(Table4[[#This Row],[ISC Base]] - 0.029) - 3.25 * POWER(Table4[[#This Row],[ISC Base]] - 0.02,15),NA()))</f>
        <v>3.3733761599999994</v>
      </c>
      <c r="U15"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182" t="s">
        <v>57</v>
      </c>
      <c r="W15" s="198">
        <f>VLOOKUP(Table4[[#This Row],[Threat Event Initiation]],NIST_Scale_LOAI[],2,FALSE)</f>
        <v>0.2</v>
      </c>
      <c r="X1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49" t="s">
        <v>345</v>
      </c>
      <c r="AA15" s="49" t="s">
        <v>346</v>
      </c>
      <c r="AB15" s="200"/>
      <c r="AC15" s="187"/>
      <c r="AD15" s="187"/>
      <c r="AE15" s="187"/>
      <c r="AF15" s="196"/>
      <c r="AG15" s="196"/>
      <c r="AH15" s="196"/>
      <c r="AI15" s="196"/>
      <c r="AJ15" s="201"/>
      <c r="AK1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98" t="e">
        <f>(1 - ((1 - VLOOKUP(Table4[[#This Row],[ConfidentialityP]],'Reference - CVSSv3.0'!$B$15:$C$17,2,FALSE)) * (1 - VLOOKUP(Table4[[#This Row],[IntegrityP]],'Reference - CVSSv3.0'!$B$15:$C$17,2,FALSE)) *  (1 - VLOOKUP(Table4[[#This Row],[AvailabilityP]],'Reference - CVSSv3.0'!$B$15:$C$17,2,FALSE))))</f>
        <v>#N/A</v>
      </c>
      <c r="AM15" s="198" t="e">
        <f>IF(Table4[[#This Row],[ScopeP]]="Unchanged",6.42*Table4[[#This Row],[ISC BaseP]],IF(Table4[[#This Row],[ScopeP]]="Changed",7.52*(Table4[[#This Row],[ISC BaseP]] - 0.029) - 3.25 * POWER(Table4[[#This Row],[ISC BaseP]] - 0.02,15),NA()))</f>
        <v>#N/A</v>
      </c>
      <c r="AN1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187"/>
    </row>
    <row r="16" spans="1:45" s="53" customFormat="1" ht="112" x14ac:dyDescent="0.35">
      <c r="A16" s="70">
        <v>12</v>
      </c>
      <c r="B16" s="182" t="s">
        <v>126</v>
      </c>
      <c r="C16" s="195" t="str">
        <f>IF(VLOOKUP(Table4[[#This Row],[T ID]],Table5[#All],5,FALSE)="No","Not in scope",VLOOKUP(Table4[[#This Row],[T ID]],Table5[#All],2,FALSE))</f>
        <v>Deliver undirected malware
(CAPEC-185)</v>
      </c>
      <c r="D16" s="212" t="s">
        <v>230</v>
      </c>
      <c r="E16" s="195" t="str">
        <f>IF(VLOOKUP(Table4[[#This Row],[V ID]],Vulnerabilities[#All],3,FALSE)="No","Not in scope",VLOOKUP(Table4[[#This Row],[V ID]],Vulnerabilities[#All],2,FALSE))</f>
        <v xml:space="preserve">Lack of plan for periodic Software Vulnerability Management </v>
      </c>
      <c r="F16" s="216" t="s">
        <v>114</v>
      </c>
      <c r="G16" s="195" t="str">
        <f>VLOOKUP(Table4[[#This Row],[A ID]],Assets[#All],3,FALSE)</f>
        <v>Smart medic (Stryker device) System Component</v>
      </c>
      <c r="H16" s="49" t="s">
        <v>274</v>
      </c>
      <c r="I16" s="49"/>
      <c r="J16" s="87" t="s">
        <v>57</v>
      </c>
      <c r="K16" s="87" t="s">
        <v>57</v>
      </c>
      <c r="L16" s="87" t="s">
        <v>57</v>
      </c>
      <c r="M16" s="196" t="s">
        <v>80</v>
      </c>
      <c r="N16" s="157" t="s">
        <v>57</v>
      </c>
      <c r="O16" s="157" t="s">
        <v>57</v>
      </c>
      <c r="P16" s="196" t="s">
        <v>78</v>
      </c>
      <c r="Q16" s="196" t="s">
        <v>75</v>
      </c>
      <c r="R1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198">
        <f>(1 - ((1 - VLOOKUP(Table4[[#This Row],[Confidentiality]],'Reference - CVSSv3.0'!$B$15:$C$17,2,FALSE)) * (1 - VLOOKUP(Table4[[#This Row],[Integrity]],'Reference - CVSSv3.0'!$B$15:$C$17,2,FALSE)) *  (1 - VLOOKUP(Table4[[#This Row],[Availability]],'Reference - CVSSv3.0'!$B$15:$C$17,2,FALSE))))</f>
        <v>0.52544799999999992</v>
      </c>
      <c r="T16" s="198">
        <f>IF(Table4[[#This Row],[Scope]]="Unchanged",6.42*Table4[[#This Row],[ISC Base]],IF(Table4[[#This Row],[Scope]]="Changed",7.52*(Table4[[#This Row],[ISC Base]] - 0.029) - 3.25 * POWER(Table4[[#This Row],[ISC Base]] - 0.02,15),NA()))</f>
        <v>3.3733761599999994</v>
      </c>
      <c r="U16"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182" t="s">
        <v>57</v>
      </c>
      <c r="W16" s="198">
        <f>VLOOKUP(Table4[[#This Row],[Threat Event Initiation]],NIST_Scale_LOAI[],2,FALSE)</f>
        <v>0.2</v>
      </c>
      <c r="X1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49" t="s">
        <v>345</v>
      </c>
      <c r="AA16" s="49" t="s">
        <v>346</v>
      </c>
      <c r="AB16" s="200"/>
      <c r="AC16" s="187"/>
      <c r="AD16" s="187"/>
      <c r="AE16" s="187"/>
      <c r="AF16" s="196"/>
      <c r="AG16" s="196"/>
      <c r="AH16" s="196"/>
      <c r="AI16" s="196"/>
      <c r="AJ16" s="201"/>
      <c r="AK1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98" t="e">
        <f>(1 - ((1 - VLOOKUP(Table4[[#This Row],[ConfidentialityP]],'Reference - CVSSv3.0'!$B$15:$C$17,2,FALSE)) * (1 - VLOOKUP(Table4[[#This Row],[IntegrityP]],'Reference - CVSSv3.0'!$B$15:$C$17,2,FALSE)) *  (1 - VLOOKUP(Table4[[#This Row],[AvailabilityP]],'Reference - CVSSv3.0'!$B$15:$C$17,2,FALSE))))</f>
        <v>#N/A</v>
      </c>
      <c r="AM16" s="198" t="e">
        <f>IF(Table4[[#This Row],[ScopeP]]="Unchanged",6.42*Table4[[#This Row],[ISC BaseP]],IF(Table4[[#This Row],[ScopeP]]="Changed",7.52*(Table4[[#This Row],[ISC BaseP]] - 0.029) - 3.25 * POWER(Table4[[#This Row],[ISC BaseP]] - 0.02,15),NA()))</f>
        <v>#N/A</v>
      </c>
      <c r="AN1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187"/>
    </row>
    <row r="17" spans="1:43" s="53" customFormat="1" ht="112" x14ac:dyDescent="0.35">
      <c r="A17" s="70">
        <v>13</v>
      </c>
      <c r="B17" s="182" t="s">
        <v>126</v>
      </c>
      <c r="C17" s="195" t="str">
        <f>IF(VLOOKUP(Table4[[#This Row],[T ID]],Table5[#All],5,FALSE)="No","Not in scope",VLOOKUP(Table4[[#This Row],[T ID]],Table5[#All],2,FALSE))</f>
        <v>Deliver undirected malware
(CAPEC-185)</v>
      </c>
      <c r="D17" s="212" t="s">
        <v>241</v>
      </c>
      <c r="E17" s="195" t="str">
        <f>IF(VLOOKUP(Table4[[#This Row],[V ID]],Vulnerabilities[#All],3,FALSE)="No","Not in scope",VLOOKUP(Table4[[#This Row],[V ID]],Vulnerabilities[#All],2,FALSE))</f>
        <v>Unprotected network port(s) on network devices and connection points</v>
      </c>
      <c r="F17" s="216" t="s">
        <v>112</v>
      </c>
      <c r="G17" s="195" t="str">
        <f>VLOOKUP(Table4[[#This Row],[A ID]],Assets[#All],3,FALSE)</f>
        <v>Tablet Resources - web cam, microphone, OTG devices, Removable USB, Tablet Application, Network interfaces (Bluetooth, Wifi)</v>
      </c>
      <c r="H17" s="49" t="s">
        <v>274</v>
      </c>
      <c r="I17" s="49"/>
      <c r="J17" s="87" t="s">
        <v>78</v>
      </c>
      <c r="K17" s="87" t="s">
        <v>78</v>
      </c>
      <c r="L17" s="87" t="s">
        <v>66</v>
      </c>
      <c r="M17" s="196" t="s">
        <v>79</v>
      </c>
      <c r="N17" s="157" t="s">
        <v>57</v>
      </c>
      <c r="O17" s="157" t="s">
        <v>66</v>
      </c>
      <c r="P17" s="196" t="s">
        <v>78</v>
      </c>
      <c r="Q17" s="196" t="s">
        <v>75</v>
      </c>
      <c r="R1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198">
        <f>(1 - ((1 - VLOOKUP(Table4[[#This Row],[Confidentiality]],'Reference - CVSSv3.0'!$B$15:$C$17,2,FALSE)) * (1 - VLOOKUP(Table4[[#This Row],[Integrity]],'Reference - CVSSv3.0'!$B$15:$C$17,2,FALSE)) *  (1 - VLOOKUP(Table4[[#This Row],[Availability]],'Reference - CVSSv3.0'!$B$15:$C$17,2,FALSE))))</f>
        <v>0.56000000000000005</v>
      </c>
      <c r="T17" s="198">
        <f>IF(Table4[[#This Row],[Scope]]="Unchanged",6.42*Table4[[#This Row],[ISC Base]],IF(Table4[[#This Row],[Scope]]="Changed",7.52*(Table4[[#This Row],[ISC Base]] - 0.029) - 3.25 * POWER(Table4[[#This Row],[ISC Base]] - 0.02,15),NA()))</f>
        <v>3.5952000000000002</v>
      </c>
      <c r="U17" s="19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182" t="s">
        <v>57</v>
      </c>
      <c r="W17" s="198">
        <f>VLOOKUP(Table4[[#This Row],[Threat Event Initiation]],NIST_Scale_LOAI[],2,FALSE)</f>
        <v>0.2</v>
      </c>
      <c r="X1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49" t="s">
        <v>345</v>
      </c>
      <c r="AA17" s="49" t="s">
        <v>346</v>
      </c>
      <c r="AB17" s="200"/>
      <c r="AC17" s="187"/>
      <c r="AD17" s="187"/>
      <c r="AE17" s="187"/>
      <c r="AF17" s="196"/>
      <c r="AG17" s="196"/>
      <c r="AH17" s="196"/>
      <c r="AI17" s="196"/>
      <c r="AJ17" s="201"/>
      <c r="AK1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98" t="e">
        <f>(1 - ((1 - VLOOKUP(Table4[[#This Row],[ConfidentialityP]],'Reference - CVSSv3.0'!$B$15:$C$17,2,FALSE)) * (1 - VLOOKUP(Table4[[#This Row],[IntegrityP]],'Reference - CVSSv3.0'!$B$15:$C$17,2,FALSE)) *  (1 - VLOOKUP(Table4[[#This Row],[AvailabilityP]],'Reference - CVSSv3.0'!$B$15:$C$17,2,FALSE))))</f>
        <v>#N/A</v>
      </c>
      <c r="AM17" s="198" t="e">
        <f>IF(Table4[[#This Row],[ScopeP]]="Unchanged",6.42*Table4[[#This Row],[ISC BaseP]],IF(Table4[[#This Row],[ScopeP]]="Changed",7.52*(Table4[[#This Row],[ISC BaseP]] - 0.029) - 3.25 * POWER(Table4[[#This Row],[ISC BaseP]] - 0.02,15),NA()))</f>
        <v>#N/A</v>
      </c>
      <c r="AN1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187"/>
    </row>
    <row r="18" spans="1:43" s="53" customFormat="1" ht="112" x14ac:dyDescent="0.35">
      <c r="A18" s="70">
        <v>14</v>
      </c>
      <c r="B18" s="182" t="s">
        <v>126</v>
      </c>
      <c r="C18" s="195" t="str">
        <f>IF(VLOOKUP(Table4[[#This Row],[T ID]],Table5[#All],5,FALSE)="No","Not in scope",VLOOKUP(Table4[[#This Row],[T ID]],Table5[#All],2,FALSE))</f>
        <v>Deliver undirected malware
(CAPEC-185)</v>
      </c>
      <c r="D18" s="212" t="s">
        <v>241</v>
      </c>
      <c r="E18" s="195" t="str">
        <f>IF(VLOOKUP(Table4[[#This Row],[V ID]],Vulnerabilities[#All],3,FALSE)="No","Not in scope",VLOOKUP(Table4[[#This Row],[V ID]],Vulnerabilities[#All],2,FALSE))</f>
        <v>Unprotected network port(s) on network devices and connection points</v>
      </c>
      <c r="F18" s="216" t="s">
        <v>114</v>
      </c>
      <c r="G18" s="195" t="str">
        <f>VLOOKUP(Table4[[#This Row],[A ID]],Assets[#All],3,FALSE)</f>
        <v>Smart medic (Stryker device) System Component</v>
      </c>
      <c r="H18" s="49" t="s">
        <v>274</v>
      </c>
      <c r="I18" s="49"/>
      <c r="J18" s="87" t="s">
        <v>78</v>
      </c>
      <c r="K18" s="87" t="s">
        <v>78</v>
      </c>
      <c r="L18" s="87" t="s">
        <v>66</v>
      </c>
      <c r="M18" s="196" t="s">
        <v>79</v>
      </c>
      <c r="N18" s="157" t="s">
        <v>57</v>
      </c>
      <c r="O18" s="157" t="s">
        <v>66</v>
      </c>
      <c r="P18" s="196" t="s">
        <v>78</v>
      </c>
      <c r="Q18" s="196" t="s">
        <v>75</v>
      </c>
      <c r="R1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198">
        <f>(1 - ((1 - VLOOKUP(Table4[[#This Row],[Confidentiality]],'Reference - CVSSv3.0'!$B$15:$C$17,2,FALSE)) * (1 - VLOOKUP(Table4[[#This Row],[Integrity]],'Reference - CVSSv3.0'!$B$15:$C$17,2,FALSE)) *  (1 - VLOOKUP(Table4[[#This Row],[Availability]],'Reference - CVSSv3.0'!$B$15:$C$17,2,FALSE))))</f>
        <v>0.56000000000000005</v>
      </c>
      <c r="T18" s="198">
        <f>IF(Table4[[#This Row],[Scope]]="Unchanged",6.42*Table4[[#This Row],[ISC Base]],IF(Table4[[#This Row],[Scope]]="Changed",7.52*(Table4[[#This Row],[ISC Base]] - 0.029) - 3.25 * POWER(Table4[[#This Row],[ISC Base]] - 0.02,15),NA()))</f>
        <v>3.5952000000000002</v>
      </c>
      <c r="U18" s="19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182" t="s">
        <v>57</v>
      </c>
      <c r="W18" s="198">
        <f>VLOOKUP(Table4[[#This Row],[Threat Event Initiation]],NIST_Scale_LOAI[],2,FALSE)</f>
        <v>0.2</v>
      </c>
      <c r="X1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49" t="s">
        <v>345</v>
      </c>
      <c r="AA18" s="49" t="s">
        <v>346</v>
      </c>
      <c r="AB18" s="200"/>
      <c r="AC18" s="187"/>
      <c r="AD18" s="187"/>
      <c r="AE18" s="187"/>
      <c r="AF18" s="196"/>
      <c r="AG18" s="196"/>
      <c r="AH18" s="196"/>
      <c r="AI18" s="196"/>
      <c r="AJ18" s="201"/>
      <c r="AK1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198" t="e">
        <f>(1 - ((1 - VLOOKUP(Table4[[#This Row],[ConfidentialityP]],'Reference - CVSSv3.0'!$B$15:$C$17,2,FALSE)) * (1 - VLOOKUP(Table4[[#This Row],[IntegrityP]],'Reference - CVSSv3.0'!$B$15:$C$17,2,FALSE)) *  (1 - VLOOKUP(Table4[[#This Row],[AvailabilityP]],'Reference - CVSSv3.0'!$B$15:$C$17,2,FALSE))))</f>
        <v>#N/A</v>
      </c>
      <c r="AM18" s="198" t="e">
        <f>IF(Table4[[#This Row],[ScopeP]]="Unchanged",6.42*Table4[[#This Row],[ISC BaseP]],IF(Table4[[#This Row],[ScopeP]]="Changed",7.52*(Table4[[#This Row],[ISC BaseP]] - 0.029) - 3.25 * POWER(Table4[[#This Row],[ISC BaseP]] - 0.02,15),NA()))</f>
        <v>#N/A</v>
      </c>
      <c r="AN1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187"/>
    </row>
    <row r="19" spans="1:43" s="53" customFormat="1" ht="112" x14ac:dyDescent="0.35">
      <c r="A19" s="70">
        <v>15</v>
      </c>
      <c r="B19" s="182" t="s">
        <v>126</v>
      </c>
      <c r="C19" s="195" t="str">
        <f>IF(VLOOKUP(Table4[[#This Row],[T ID]],Table5[#All],5,FALSE)="No","Not in scope",VLOOKUP(Table4[[#This Row],[T ID]],Table5[#All],2,FALSE))</f>
        <v>Deliver undirected malware
(CAPEC-185)</v>
      </c>
      <c r="D19" s="212" t="s">
        <v>245</v>
      </c>
      <c r="E19" s="195" t="str">
        <f>IF(VLOOKUP(Table4[[#This Row],[V ID]],Vulnerabilities[#All],3,FALSE)="No","Not in scope",VLOOKUP(Table4[[#This Row],[V ID]],Vulnerabilities[#All],2,FALSE))</f>
        <v>Unencrypted data at rest in all possible locations</v>
      </c>
      <c r="F19" s="216" t="s">
        <v>112</v>
      </c>
      <c r="G19" s="195" t="str">
        <f>VLOOKUP(Table4[[#This Row],[A ID]],Assets[#All],3,FALSE)</f>
        <v>Tablet Resources - web cam, microphone, OTG devices, Removable USB, Tablet Application, Network interfaces (Bluetooth, Wifi)</v>
      </c>
      <c r="H19" s="49" t="s">
        <v>274</v>
      </c>
      <c r="I19" s="49"/>
      <c r="J19" s="87" t="s">
        <v>57</v>
      </c>
      <c r="K19" s="87" t="s">
        <v>57</v>
      </c>
      <c r="L19" s="87" t="s">
        <v>57</v>
      </c>
      <c r="M19" s="196" t="s">
        <v>80</v>
      </c>
      <c r="N19" s="157" t="s">
        <v>57</v>
      </c>
      <c r="O19" s="157" t="s">
        <v>57</v>
      </c>
      <c r="P19" s="196" t="s">
        <v>78</v>
      </c>
      <c r="Q19" s="196" t="s">
        <v>75</v>
      </c>
      <c r="R1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198">
        <f>(1 - ((1 - VLOOKUP(Table4[[#This Row],[Confidentiality]],'Reference - CVSSv3.0'!$B$15:$C$17,2,FALSE)) * (1 - VLOOKUP(Table4[[#This Row],[Integrity]],'Reference - CVSSv3.0'!$B$15:$C$17,2,FALSE)) *  (1 - VLOOKUP(Table4[[#This Row],[Availability]],'Reference - CVSSv3.0'!$B$15:$C$17,2,FALSE))))</f>
        <v>0.52544799999999992</v>
      </c>
      <c r="T19" s="198">
        <f>IF(Table4[[#This Row],[Scope]]="Unchanged",6.42*Table4[[#This Row],[ISC Base]],IF(Table4[[#This Row],[Scope]]="Changed",7.52*(Table4[[#This Row],[ISC Base]] - 0.029) - 3.25 * POWER(Table4[[#This Row],[ISC Base]] - 0.02,15),NA()))</f>
        <v>3.3733761599999994</v>
      </c>
      <c r="U19"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182" t="s">
        <v>57</v>
      </c>
      <c r="W19" s="198">
        <f>VLOOKUP(Table4[[#This Row],[Threat Event Initiation]],NIST_Scale_LOAI[],2,FALSE)</f>
        <v>0.2</v>
      </c>
      <c r="X1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49" t="s">
        <v>345</v>
      </c>
      <c r="AA19" s="49" t="s">
        <v>346</v>
      </c>
      <c r="AB19" s="200"/>
      <c r="AC19" s="187"/>
      <c r="AD19" s="187"/>
      <c r="AE19" s="187"/>
      <c r="AF19" s="196"/>
      <c r="AG19" s="196"/>
      <c r="AH19" s="196"/>
      <c r="AI19" s="196"/>
      <c r="AJ19" s="201"/>
      <c r="AK1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198" t="e">
        <f>(1 - ((1 - VLOOKUP(Table4[[#This Row],[ConfidentialityP]],'Reference - CVSSv3.0'!$B$15:$C$17,2,FALSE)) * (1 - VLOOKUP(Table4[[#This Row],[IntegrityP]],'Reference - CVSSv3.0'!$B$15:$C$17,2,FALSE)) *  (1 - VLOOKUP(Table4[[#This Row],[AvailabilityP]],'Reference - CVSSv3.0'!$B$15:$C$17,2,FALSE))))</f>
        <v>#N/A</v>
      </c>
      <c r="AM19" s="198" t="e">
        <f>IF(Table4[[#This Row],[ScopeP]]="Unchanged",6.42*Table4[[#This Row],[ISC BaseP]],IF(Table4[[#This Row],[ScopeP]]="Changed",7.52*(Table4[[#This Row],[ISC BaseP]] - 0.029) - 3.25 * POWER(Table4[[#This Row],[ISC BaseP]] - 0.02,15),NA()))</f>
        <v>#N/A</v>
      </c>
      <c r="AN1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187"/>
    </row>
    <row r="20" spans="1:43" s="53" customFormat="1" ht="112" x14ac:dyDescent="0.35">
      <c r="A20" s="287">
        <v>16</v>
      </c>
      <c r="B20" s="182" t="s">
        <v>126</v>
      </c>
      <c r="C20" s="195" t="str">
        <f>IF(VLOOKUP(Table4[[#This Row],[T ID]],Table5[#All],5,FALSE)="No","Not in scope",VLOOKUP(Table4[[#This Row],[T ID]],Table5[#All],2,FALSE))</f>
        <v>Deliver undirected malware
(CAPEC-185)</v>
      </c>
      <c r="D20" s="212" t="s">
        <v>249</v>
      </c>
      <c r="E20" s="195" t="str">
        <f>IF(VLOOKUP(Table4[[#This Row],[V ID]],Vulnerabilities[#All],3,FALSE)="No","Not in scope",VLOOKUP(Table4[[#This Row],[V ID]],Vulnerabilities[#All],2,FALSE))</f>
        <v>Unencrypted data in transit in all flowchannels</v>
      </c>
      <c r="F20" s="216" t="s">
        <v>114</v>
      </c>
      <c r="G20" s="195" t="str">
        <f>VLOOKUP(Table4[[#This Row],[A ID]],Assets[#All],3,FALSE)</f>
        <v>Smart medic (Stryker device) System Component</v>
      </c>
      <c r="H20" s="49" t="s">
        <v>274</v>
      </c>
      <c r="I20" s="49"/>
      <c r="J20" s="87" t="s">
        <v>78</v>
      </c>
      <c r="K20" s="87" t="s">
        <v>78</v>
      </c>
      <c r="L20" s="87" t="s">
        <v>66</v>
      </c>
      <c r="M20" s="196" t="s">
        <v>79</v>
      </c>
      <c r="N20" s="157" t="s">
        <v>57</v>
      </c>
      <c r="O20" s="157" t="s">
        <v>66</v>
      </c>
      <c r="P20" s="196" t="s">
        <v>78</v>
      </c>
      <c r="Q20" s="196" t="s">
        <v>75</v>
      </c>
      <c r="R2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198">
        <f>(1 - ((1 - VLOOKUP(Table4[[#This Row],[Confidentiality]],'Reference - CVSSv3.0'!$B$15:$C$17,2,FALSE)) * (1 - VLOOKUP(Table4[[#This Row],[Integrity]],'Reference - CVSSv3.0'!$B$15:$C$17,2,FALSE)) *  (1 - VLOOKUP(Table4[[#This Row],[Availability]],'Reference - CVSSv3.0'!$B$15:$C$17,2,FALSE))))</f>
        <v>0.56000000000000005</v>
      </c>
      <c r="T20" s="198">
        <f>IF(Table4[[#This Row],[Scope]]="Unchanged",6.42*Table4[[#This Row],[ISC Base]],IF(Table4[[#This Row],[Scope]]="Changed",7.52*(Table4[[#This Row],[ISC Base]] - 0.029) - 3.25 * POWER(Table4[[#This Row],[ISC Base]] - 0.02,15),NA()))</f>
        <v>3.5952000000000002</v>
      </c>
      <c r="U20" s="19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182" t="s">
        <v>57</v>
      </c>
      <c r="W20" s="198">
        <f>VLOOKUP(Table4[[#This Row],[Threat Event Initiation]],NIST_Scale_LOAI[],2,FALSE)</f>
        <v>0.2</v>
      </c>
      <c r="X2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49" t="s">
        <v>345</v>
      </c>
      <c r="AA20" s="49" t="s">
        <v>346</v>
      </c>
      <c r="AB20" s="200"/>
      <c r="AC20" s="187"/>
      <c r="AD20" s="187"/>
      <c r="AE20" s="187"/>
      <c r="AF20" s="196"/>
      <c r="AG20" s="196"/>
      <c r="AH20" s="196"/>
      <c r="AI20" s="196"/>
      <c r="AJ20" s="201"/>
      <c r="AK2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198" t="e">
        <f>(1 - ((1 - VLOOKUP(Table4[[#This Row],[ConfidentialityP]],'Reference - CVSSv3.0'!$B$15:$C$17,2,FALSE)) * (1 - VLOOKUP(Table4[[#This Row],[IntegrityP]],'Reference - CVSSv3.0'!$B$15:$C$17,2,FALSE)) *  (1 - VLOOKUP(Table4[[#This Row],[AvailabilityP]],'Reference - CVSSv3.0'!$B$15:$C$17,2,FALSE))))</f>
        <v>#N/A</v>
      </c>
      <c r="AM20" s="198" t="e">
        <f>IF(Table4[[#This Row],[ScopeP]]="Unchanged",6.42*Table4[[#This Row],[ISC BaseP]],IF(Table4[[#This Row],[ScopeP]]="Changed",7.52*(Table4[[#This Row],[ISC BaseP]] - 0.029) - 3.25 * POWER(Table4[[#This Row],[ISC BaseP]] - 0.02,15),NA()))</f>
        <v>#N/A</v>
      </c>
      <c r="AN2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187"/>
    </row>
    <row r="21" spans="1:43" s="53" customFormat="1" ht="112" x14ac:dyDescent="0.35">
      <c r="A21" s="287">
        <v>17</v>
      </c>
      <c r="B21" s="182" t="s">
        <v>126</v>
      </c>
      <c r="C21" s="195" t="str">
        <f>IF(VLOOKUP(Table4[[#This Row],[T ID]],Table5[#All],5,FALSE)="No","Not in scope",VLOOKUP(Table4[[#This Row],[T ID]],Table5[#All],2,FALSE))</f>
        <v>Deliver undirected malware
(CAPEC-185)</v>
      </c>
      <c r="D21" s="212" t="s">
        <v>249</v>
      </c>
      <c r="E21" s="195" t="str">
        <f>IF(VLOOKUP(Table4[[#This Row],[V ID]],Vulnerabilities[#All],3,FALSE)="No","Not in scope",VLOOKUP(Table4[[#This Row],[V ID]],Vulnerabilities[#All],2,FALSE))</f>
        <v>Unencrypted data in transit in all flowchannels</v>
      </c>
      <c r="F21" s="216" t="s">
        <v>112</v>
      </c>
      <c r="G21" s="195" t="str">
        <f>VLOOKUP(Table4[[#This Row],[A ID]],Assets[#All],3,FALSE)</f>
        <v>Tablet Resources - web cam, microphone, OTG devices, Removable USB, Tablet Application, Network interfaces (Bluetooth, Wifi)</v>
      </c>
      <c r="H21" s="49" t="s">
        <v>274</v>
      </c>
      <c r="I21" s="49"/>
      <c r="J21" s="87" t="s">
        <v>78</v>
      </c>
      <c r="K21" s="87" t="s">
        <v>78</v>
      </c>
      <c r="L21" s="87" t="s">
        <v>66</v>
      </c>
      <c r="M21" s="196" t="s">
        <v>79</v>
      </c>
      <c r="N21" s="157" t="s">
        <v>57</v>
      </c>
      <c r="O21" s="157" t="s">
        <v>66</v>
      </c>
      <c r="P21" s="196" t="s">
        <v>78</v>
      </c>
      <c r="Q21" s="196" t="s">
        <v>75</v>
      </c>
      <c r="R2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198">
        <f>(1 - ((1 - VLOOKUP(Table4[[#This Row],[Confidentiality]],'Reference - CVSSv3.0'!$B$15:$C$17,2,FALSE)) * (1 - VLOOKUP(Table4[[#This Row],[Integrity]],'Reference - CVSSv3.0'!$B$15:$C$17,2,FALSE)) *  (1 - VLOOKUP(Table4[[#This Row],[Availability]],'Reference - CVSSv3.0'!$B$15:$C$17,2,FALSE))))</f>
        <v>0.56000000000000005</v>
      </c>
      <c r="T21" s="198">
        <f>IF(Table4[[#This Row],[Scope]]="Unchanged",6.42*Table4[[#This Row],[ISC Base]],IF(Table4[[#This Row],[Scope]]="Changed",7.52*(Table4[[#This Row],[ISC Base]] - 0.029) - 3.25 * POWER(Table4[[#This Row],[ISC Base]] - 0.02,15),NA()))</f>
        <v>3.5952000000000002</v>
      </c>
      <c r="U21" s="19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182" t="s">
        <v>57</v>
      </c>
      <c r="W21" s="198">
        <f>VLOOKUP(Table4[[#This Row],[Threat Event Initiation]],NIST_Scale_LOAI[],2,FALSE)</f>
        <v>0.2</v>
      </c>
      <c r="X2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49" t="s">
        <v>345</v>
      </c>
      <c r="AA21" s="49" t="s">
        <v>346</v>
      </c>
      <c r="AB21" s="200"/>
      <c r="AC21" s="187"/>
      <c r="AD21" s="187"/>
      <c r="AE21" s="187"/>
      <c r="AF21" s="196"/>
      <c r="AG21" s="196"/>
      <c r="AH21" s="196"/>
      <c r="AI21" s="196"/>
      <c r="AJ21" s="201"/>
      <c r="AK2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198" t="e">
        <f>(1 - ((1 - VLOOKUP(Table4[[#This Row],[ConfidentialityP]],'Reference - CVSSv3.0'!$B$15:$C$17,2,FALSE)) * (1 - VLOOKUP(Table4[[#This Row],[IntegrityP]],'Reference - CVSSv3.0'!$B$15:$C$17,2,FALSE)) *  (1 - VLOOKUP(Table4[[#This Row],[AvailabilityP]],'Reference - CVSSv3.0'!$B$15:$C$17,2,FALSE))))</f>
        <v>#N/A</v>
      </c>
      <c r="AM21" s="198" t="e">
        <f>IF(Table4[[#This Row],[ScopeP]]="Unchanged",6.42*Table4[[#This Row],[ISC BaseP]],IF(Table4[[#This Row],[ScopeP]]="Changed",7.52*(Table4[[#This Row],[ISC BaseP]] - 0.029) - 3.25 * POWER(Table4[[#This Row],[ISC BaseP]] - 0.02,15),NA()))</f>
        <v>#N/A</v>
      </c>
      <c r="AN2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187"/>
    </row>
    <row r="22" spans="1:43" s="53" customFormat="1" ht="112" x14ac:dyDescent="0.35">
      <c r="A22" s="70">
        <v>18</v>
      </c>
      <c r="B22" s="182" t="s">
        <v>126</v>
      </c>
      <c r="C22" s="195" t="str">
        <f>IF(VLOOKUP(Table4[[#This Row],[T ID]],Table5[#All],5,FALSE)="No","Not in scope",VLOOKUP(Table4[[#This Row],[T ID]],Table5[#All],2,FALSE))</f>
        <v>Deliver undirected malware
(CAPEC-185)</v>
      </c>
      <c r="D22" s="212" t="s">
        <v>145</v>
      </c>
      <c r="E22" s="195" t="str">
        <f>IF(VLOOKUP(Table4[[#This Row],[V ID]],Vulnerabilities[#All],3,FALSE)="No","Not in scope",VLOOKUP(Table4[[#This Row],[V ID]],Vulnerabilities[#All],2,FALSE))</f>
        <v>Outdated  - Software/Hardware</v>
      </c>
      <c r="F22" s="216" t="s">
        <v>116</v>
      </c>
      <c r="G22" s="195" t="str">
        <f>VLOOKUP(Table4[[#This Row],[A ID]],Assets[#All],3,FALSE)</f>
        <v>Device Maintainence tool (Hardware/Software)</v>
      </c>
      <c r="H22" s="49" t="s">
        <v>274</v>
      </c>
      <c r="I22" s="49"/>
      <c r="J22" s="87" t="s">
        <v>57</v>
      </c>
      <c r="K22" s="87" t="s">
        <v>57</v>
      </c>
      <c r="L22" s="87" t="s">
        <v>57</v>
      </c>
      <c r="M22" s="196" t="s">
        <v>76</v>
      </c>
      <c r="N22" s="157" t="s">
        <v>57</v>
      </c>
      <c r="O22" s="157" t="s">
        <v>57</v>
      </c>
      <c r="P22" s="196" t="s">
        <v>78</v>
      </c>
      <c r="Q22" s="196" t="s">
        <v>75</v>
      </c>
      <c r="R2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198">
        <f>(1 - ((1 - VLOOKUP(Table4[[#This Row],[Confidentiality]],'Reference - CVSSv3.0'!$B$15:$C$17,2,FALSE)) * (1 - VLOOKUP(Table4[[#This Row],[Integrity]],'Reference - CVSSv3.0'!$B$15:$C$17,2,FALSE)) *  (1 - VLOOKUP(Table4[[#This Row],[Availability]],'Reference - CVSSv3.0'!$B$15:$C$17,2,FALSE))))</f>
        <v>0.52544799999999992</v>
      </c>
      <c r="T22" s="198">
        <f>IF(Table4[[#This Row],[Scope]]="Unchanged",6.42*Table4[[#This Row],[ISC Base]],IF(Table4[[#This Row],[Scope]]="Changed",7.52*(Table4[[#This Row],[ISC Base]] - 0.029) - 3.25 * POWER(Table4[[#This Row],[ISC Base]] - 0.02,15),NA()))</f>
        <v>3.3733761599999994</v>
      </c>
      <c r="U2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182" t="s">
        <v>56</v>
      </c>
      <c r="W22" s="198">
        <f>VLOOKUP(Table4[[#This Row],[Threat Event Initiation]],NIST_Scale_LOAI[],2,FALSE)</f>
        <v>0.5</v>
      </c>
      <c r="X2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49" t="s">
        <v>345</v>
      </c>
      <c r="AA22" s="49" t="s">
        <v>346</v>
      </c>
      <c r="AB22" s="200"/>
      <c r="AC22" s="187"/>
      <c r="AD22" s="187"/>
      <c r="AE22" s="187"/>
      <c r="AF22" s="196"/>
      <c r="AG22" s="196"/>
      <c r="AH22" s="196"/>
      <c r="AI22" s="196"/>
      <c r="AJ22" s="201"/>
      <c r="AK2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198" t="e">
        <f>(1 - ((1 - VLOOKUP(Table4[[#This Row],[ConfidentialityP]],'Reference - CVSSv3.0'!$B$15:$C$17,2,FALSE)) * (1 - VLOOKUP(Table4[[#This Row],[IntegrityP]],'Reference - CVSSv3.0'!$B$15:$C$17,2,FALSE)) *  (1 - VLOOKUP(Table4[[#This Row],[AvailabilityP]],'Reference - CVSSv3.0'!$B$15:$C$17,2,FALSE))))</f>
        <v>#N/A</v>
      </c>
      <c r="AM22" s="198" t="e">
        <f>IF(Table4[[#This Row],[ScopeP]]="Unchanged",6.42*Table4[[#This Row],[ISC BaseP]],IF(Table4[[#This Row],[ScopeP]]="Changed",7.52*(Table4[[#This Row],[ISC BaseP]] - 0.029) - 3.25 * POWER(Table4[[#This Row],[ISC BaseP]] - 0.02,15),NA()))</f>
        <v>#N/A</v>
      </c>
      <c r="AN2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187"/>
    </row>
    <row r="23" spans="1:43" s="53" customFormat="1" ht="112" x14ac:dyDescent="0.35">
      <c r="A23" s="70">
        <v>19</v>
      </c>
      <c r="B23" s="182" t="s">
        <v>126</v>
      </c>
      <c r="C23" s="195" t="str">
        <f>IF(VLOOKUP(Table4[[#This Row],[T ID]],Table5[#All],5,FALSE)="No","Not in scope",VLOOKUP(Table4[[#This Row],[T ID]],Table5[#All],2,FALSE))</f>
        <v>Deliver undirected malware
(CAPEC-185)</v>
      </c>
      <c r="D23" s="212" t="s">
        <v>145</v>
      </c>
      <c r="E23" s="195" t="str">
        <f>IF(VLOOKUP(Table4[[#This Row],[V ID]],Vulnerabilities[#All],3,FALSE)="No","Not in scope",VLOOKUP(Table4[[#This Row],[V ID]],Vulnerabilities[#All],2,FALSE))</f>
        <v>Outdated  - Software/Hardware</v>
      </c>
      <c r="F23" s="216" t="s">
        <v>114</v>
      </c>
      <c r="G23" s="195" t="str">
        <f>VLOOKUP(Table4[[#This Row],[A ID]],Assets[#All],3,FALSE)</f>
        <v>Smart medic (Stryker device) System Component</v>
      </c>
      <c r="H23" s="49" t="s">
        <v>274</v>
      </c>
      <c r="I23" s="49"/>
      <c r="J23" s="87" t="s">
        <v>57</v>
      </c>
      <c r="K23" s="87" t="s">
        <v>57</v>
      </c>
      <c r="L23" s="87" t="s">
        <v>57</v>
      </c>
      <c r="M23" s="196" t="s">
        <v>76</v>
      </c>
      <c r="N23" s="157" t="s">
        <v>57</v>
      </c>
      <c r="O23" s="157" t="s">
        <v>57</v>
      </c>
      <c r="P23" s="196" t="s">
        <v>78</v>
      </c>
      <c r="Q23" s="196" t="s">
        <v>75</v>
      </c>
      <c r="R2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198">
        <f>(1 - ((1 - VLOOKUP(Table4[[#This Row],[Confidentiality]],'Reference - CVSSv3.0'!$B$15:$C$17,2,FALSE)) * (1 - VLOOKUP(Table4[[#This Row],[Integrity]],'Reference - CVSSv3.0'!$B$15:$C$17,2,FALSE)) *  (1 - VLOOKUP(Table4[[#This Row],[Availability]],'Reference - CVSSv3.0'!$B$15:$C$17,2,FALSE))))</f>
        <v>0.52544799999999992</v>
      </c>
      <c r="T23" s="198">
        <f>IF(Table4[[#This Row],[Scope]]="Unchanged",6.42*Table4[[#This Row],[ISC Base]],IF(Table4[[#This Row],[Scope]]="Changed",7.52*(Table4[[#This Row],[ISC Base]] - 0.029) - 3.25 * POWER(Table4[[#This Row],[ISC Base]] - 0.02,15),NA()))</f>
        <v>3.3733761599999994</v>
      </c>
      <c r="U23"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182" t="s">
        <v>56</v>
      </c>
      <c r="W23" s="198">
        <f>VLOOKUP(Table4[[#This Row],[Threat Event Initiation]],NIST_Scale_LOAI[],2,FALSE)</f>
        <v>0.5</v>
      </c>
      <c r="X2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49" t="s">
        <v>345</v>
      </c>
      <c r="AA23" s="49" t="s">
        <v>346</v>
      </c>
      <c r="AB23" s="200"/>
      <c r="AC23" s="187"/>
      <c r="AD23" s="187"/>
      <c r="AE23" s="187"/>
      <c r="AF23" s="196"/>
      <c r="AG23" s="196"/>
      <c r="AH23" s="196"/>
      <c r="AI23" s="196"/>
      <c r="AJ23" s="201"/>
      <c r="AK2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198" t="e">
        <f>(1 - ((1 - VLOOKUP(Table4[[#This Row],[ConfidentialityP]],'Reference - CVSSv3.0'!$B$15:$C$17,2,FALSE)) * (1 - VLOOKUP(Table4[[#This Row],[IntegrityP]],'Reference - CVSSv3.0'!$B$15:$C$17,2,FALSE)) *  (1 - VLOOKUP(Table4[[#This Row],[AvailabilityP]],'Reference - CVSSv3.0'!$B$15:$C$17,2,FALSE))))</f>
        <v>#N/A</v>
      </c>
      <c r="AM23" s="198" t="e">
        <f>IF(Table4[[#This Row],[ScopeP]]="Unchanged",6.42*Table4[[#This Row],[ISC BaseP]],IF(Table4[[#This Row],[ScopeP]]="Changed",7.52*(Table4[[#This Row],[ISC BaseP]] - 0.029) - 3.25 * POWER(Table4[[#This Row],[ISC BaseP]] - 0.02,15),NA()))</f>
        <v>#N/A</v>
      </c>
      <c r="AN2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187"/>
    </row>
    <row r="24" spans="1:43" s="53" customFormat="1" ht="112" x14ac:dyDescent="0.35">
      <c r="A24" s="70">
        <v>20</v>
      </c>
      <c r="B24" s="182" t="s">
        <v>126</v>
      </c>
      <c r="C24" s="195" t="str">
        <f>IF(VLOOKUP(Table4[[#This Row],[T ID]],Table5[#All],5,FALSE)="No","Not in scope",VLOOKUP(Table4[[#This Row],[T ID]],Table5[#All],2,FALSE))</f>
        <v>Deliver undirected malware
(CAPEC-185)</v>
      </c>
      <c r="D24" s="212" t="s">
        <v>145</v>
      </c>
      <c r="E24" s="195" t="str">
        <f>IF(VLOOKUP(Table4[[#This Row],[V ID]],Vulnerabilities[#All],3,FALSE)="No","Not in scope",VLOOKUP(Table4[[#This Row],[V ID]],Vulnerabilities[#All],2,FALSE))</f>
        <v>Outdated  - Software/Hardware</v>
      </c>
      <c r="F24" s="216" t="s">
        <v>112</v>
      </c>
      <c r="G24" s="195" t="str">
        <f>VLOOKUP(Table4[[#This Row],[A ID]],Assets[#All],3,FALSE)</f>
        <v>Tablet Resources - web cam, microphone, OTG devices, Removable USB, Tablet Application, Network interfaces (Bluetooth, Wifi)</v>
      </c>
      <c r="H24" s="49" t="s">
        <v>274</v>
      </c>
      <c r="I24" s="49"/>
      <c r="J24" s="87" t="s">
        <v>57</v>
      </c>
      <c r="K24" s="87" t="s">
        <v>57</v>
      </c>
      <c r="L24" s="87" t="s">
        <v>57</v>
      </c>
      <c r="M24" s="196" t="s">
        <v>76</v>
      </c>
      <c r="N24" s="157" t="s">
        <v>57</v>
      </c>
      <c r="O24" s="157" t="s">
        <v>57</v>
      </c>
      <c r="P24" s="196" t="s">
        <v>78</v>
      </c>
      <c r="Q24" s="196" t="s">
        <v>75</v>
      </c>
      <c r="R2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198">
        <f>(1 - ((1 - VLOOKUP(Table4[[#This Row],[Confidentiality]],'Reference - CVSSv3.0'!$B$15:$C$17,2,FALSE)) * (1 - VLOOKUP(Table4[[#This Row],[Integrity]],'Reference - CVSSv3.0'!$B$15:$C$17,2,FALSE)) *  (1 - VLOOKUP(Table4[[#This Row],[Availability]],'Reference - CVSSv3.0'!$B$15:$C$17,2,FALSE))))</f>
        <v>0.52544799999999992</v>
      </c>
      <c r="T24" s="198">
        <f>IF(Table4[[#This Row],[Scope]]="Unchanged",6.42*Table4[[#This Row],[ISC Base]],IF(Table4[[#This Row],[Scope]]="Changed",7.52*(Table4[[#This Row],[ISC Base]] - 0.029) - 3.25 * POWER(Table4[[#This Row],[ISC Base]] - 0.02,15),NA()))</f>
        <v>3.3733761599999994</v>
      </c>
      <c r="U2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182" t="s">
        <v>57</v>
      </c>
      <c r="W24" s="198">
        <f>VLOOKUP(Table4[[#This Row],[Threat Event Initiation]],NIST_Scale_LOAI[],2,FALSE)</f>
        <v>0.2</v>
      </c>
      <c r="X2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49" t="s">
        <v>345</v>
      </c>
      <c r="AA24" s="49" t="s">
        <v>346</v>
      </c>
      <c r="AB24" s="200"/>
      <c r="AC24" s="187"/>
      <c r="AD24" s="187"/>
      <c r="AE24" s="187"/>
      <c r="AF24" s="196"/>
      <c r="AG24" s="196"/>
      <c r="AH24" s="196"/>
      <c r="AI24" s="196"/>
      <c r="AJ24" s="201"/>
      <c r="AK2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198" t="e">
        <f>(1 - ((1 - VLOOKUP(Table4[[#This Row],[ConfidentialityP]],'Reference - CVSSv3.0'!$B$15:$C$17,2,FALSE)) * (1 - VLOOKUP(Table4[[#This Row],[IntegrityP]],'Reference - CVSSv3.0'!$B$15:$C$17,2,FALSE)) *  (1 - VLOOKUP(Table4[[#This Row],[AvailabilityP]],'Reference - CVSSv3.0'!$B$15:$C$17,2,FALSE))))</f>
        <v>#N/A</v>
      </c>
      <c r="AM24" s="198" t="e">
        <f>IF(Table4[[#This Row],[ScopeP]]="Unchanged",6.42*Table4[[#This Row],[ISC BaseP]],IF(Table4[[#This Row],[ScopeP]]="Changed",7.52*(Table4[[#This Row],[ISC BaseP]] - 0.029) - 3.25 * POWER(Table4[[#This Row],[ISC BaseP]] - 0.02,15),NA()))</f>
        <v>#N/A</v>
      </c>
      <c r="AN2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187"/>
    </row>
    <row r="25" spans="1:43" s="53" customFormat="1" ht="112" x14ac:dyDescent="0.35">
      <c r="A25" s="70">
        <v>21</v>
      </c>
      <c r="B25" s="182" t="s">
        <v>127</v>
      </c>
      <c r="C25" s="85" t="str">
        <f>IF(VLOOKUP(Table4[[#This Row],[T ID]],Table5[#All],5,FALSE)="No","Not in scope",VLOOKUP(Table4[[#This Row],[T ID]],Table5[#All],2,FALSE))</f>
        <v>Deliver directed malware
(CAPEC-185)</v>
      </c>
      <c r="D25" s="212" t="s">
        <v>143</v>
      </c>
      <c r="E25" s="85" t="str">
        <f>IF(VLOOKUP(Table4[[#This Row],[V ID]],Vulnerabilities[#All],3,FALSE)="No","Not in scope",VLOOKUP(Table4[[#This Row],[V ID]],Vulnerabilities[#All],2,FALSE))</f>
        <v>InSecure Configuration for Software/OS on Mobile Devices, Laptops, Workstations, and Servers</v>
      </c>
      <c r="F25" s="216" t="s">
        <v>116</v>
      </c>
      <c r="G25" s="86" t="str">
        <f>VLOOKUP(Table4[[#This Row],[A ID]],Assets[#All],3,FALSE)</f>
        <v>Device Maintainence tool (Hardware/Software)</v>
      </c>
      <c r="H25" s="49" t="s">
        <v>274</v>
      </c>
      <c r="I25" s="49"/>
      <c r="J25" s="87" t="s">
        <v>78</v>
      </c>
      <c r="K25" s="87" t="s">
        <v>78</v>
      </c>
      <c r="L25" s="87" t="s">
        <v>66</v>
      </c>
      <c r="M25" s="196" t="s">
        <v>80</v>
      </c>
      <c r="N25" s="157" t="s">
        <v>57</v>
      </c>
      <c r="O25" s="157" t="s">
        <v>66</v>
      </c>
      <c r="P25" s="196" t="s">
        <v>77</v>
      </c>
      <c r="Q25" s="196" t="s">
        <v>75</v>
      </c>
      <c r="R25"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161">
        <f>(1 - ((1 - VLOOKUP(Table4[[#This Row],[Confidentiality]],'Reference - CVSSv3.0'!$B$15:$C$17,2,FALSE)) * (1 - VLOOKUP(Table4[[#This Row],[Integrity]],'Reference - CVSSv3.0'!$B$15:$C$17,2,FALSE)) *  (1 - VLOOKUP(Table4[[#This Row],[Availability]],'Reference - CVSSv3.0'!$B$15:$C$17,2,FALSE))))</f>
        <v>0.56000000000000005</v>
      </c>
      <c r="T25" s="161">
        <f>IF(Table4[[#This Row],[Scope]]="Unchanged",6.42*Table4[[#This Row],[ISC Base]],IF(Table4[[#This Row],[Scope]]="Changed",7.52*(Table4[[#This Row],[ISC Base]] - 0.029) - 3.25 * POWER(Table4[[#This Row],[ISC Base]] - 0.02,15),NA()))</f>
        <v>3.5952000000000002</v>
      </c>
      <c r="U25" s="16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182" t="s">
        <v>56</v>
      </c>
      <c r="W25" s="183">
        <f>VLOOKUP(Table4[[#This Row],[Threat Event Initiation]],NIST_Scale_LOAI[],2,FALSE)</f>
        <v>0.5</v>
      </c>
      <c r="X2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49" t="s">
        <v>345</v>
      </c>
      <c r="AA25" s="49" t="s">
        <v>346</v>
      </c>
      <c r="AB25" s="88"/>
      <c r="AC25" s="87" t="s">
        <v>66</v>
      </c>
      <c r="AD25" s="87" t="s">
        <v>66</v>
      </c>
      <c r="AE25" s="87" t="s">
        <v>57</v>
      </c>
      <c r="AF25" s="157" t="s">
        <v>76</v>
      </c>
      <c r="AG25" s="157" t="s">
        <v>66</v>
      </c>
      <c r="AH25" s="157" t="s">
        <v>66</v>
      </c>
      <c r="AI25" s="157" t="s">
        <v>77</v>
      </c>
      <c r="AJ25" s="157" t="s">
        <v>75</v>
      </c>
      <c r="AK25"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25" s="161">
        <f>(1 - ((1 - VLOOKUP(Table4[[#This Row],[ConfidentialityP]],'Reference - CVSSv3.0'!$B$15:$C$17,2,FALSE)) * (1 - VLOOKUP(Table4[[#This Row],[IntegrityP]],'Reference - CVSSv3.0'!$B$15:$C$17,2,FALSE)) *  (1 - VLOOKUP(Table4[[#This Row],[AvailabilityP]],'Reference - CVSSv3.0'!$B$15:$C$17,2,FALSE))))</f>
        <v>0.84899199999999997</v>
      </c>
      <c r="AM25" s="161">
        <f>IF(Table4[[#This Row],[ScopeP]]="Unchanged",6.42*Table4[[#This Row],[ISC BaseP]],IF(Table4[[#This Row],[ScopeP]]="Changed",7.52*(Table4[[#This Row],[ISC BaseP]] - 0.029) - 3.25 * POWER(Table4[[#This Row],[ISC BaseP]] - 0.02,15),NA()))</f>
        <v>5.4505286399999999</v>
      </c>
      <c r="AN2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2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5.6</v>
      </c>
      <c r="AP2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5" s="59" t="s">
        <v>197</v>
      </c>
    </row>
    <row r="26" spans="1:43" s="53" customFormat="1" ht="112" x14ac:dyDescent="0.35">
      <c r="A26" s="70">
        <v>22</v>
      </c>
      <c r="B26" s="182" t="s">
        <v>127</v>
      </c>
      <c r="C26" s="195" t="str">
        <f>IF(VLOOKUP(Table4[[#This Row],[T ID]],Table5[#All],5,FALSE)="No","Not in scope",VLOOKUP(Table4[[#This Row],[T ID]],Table5[#All],2,FALSE))</f>
        <v>Deliver directed malware
(CAPEC-185)</v>
      </c>
      <c r="D26" s="212" t="s">
        <v>143</v>
      </c>
      <c r="E26" s="195" t="str">
        <f>IF(VLOOKUP(Table4[[#This Row],[V ID]],Vulnerabilities[#All],3,FALSE)="No","Not in scope",VLOOKUP(Table4[[#This Row],[V ID]],Vulnerabilities[#All],2,FALSE))</f>
        <v>InSecure Configuration for Software/OS on Mobile Devices, Laptops, Workstations, and Servers</v>
      </c>
      <c r="F26" s="216" t="s">
        <v>114</v>
      </c>
      <c r="G26" s="195" t="str">
        <f>VLOOKUP(Table4[[#This Row],[A ID]],Assets[#All],3,FALSE)</f>
        <v>Smart medic (Stryker device) System Component</v>
      </c>
      <c r="H26" s="49" t="s">
        <v>274</v>
      </c>
      <c r="I26" s="49"/>
      <c r="J26" s="87" t="s">
        <v>78</v>
      </c>
      <c r="K26" s="87" t="s">
        <v>78</v>
      </c>
      <c r="L26" s="87" t="s">
        <v>66</v>
      </c>
      <c r="M26" s="196" t="s">
        <v>80</v>
      </c>
      <c r="N26" s="157" t="s">
        <v>57</v>
      </c>
      <c r="O26" s="157" t="s">
        <v>66</v>
      </c>
      <c r="P26" s="196" t="s">
        <v>77</v>
      </c>
      <c r="Q26" s="196" t="s">
        <v>75</v>
      </c>
      <c r="R2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198">
        <f>(1 - ((1 - VLOOKUP(Table4[[#This Row],[Confidentiality]],'Reference - CVSSv3.0'!$B$15:$C$17,2,FALSE)) * (1 - VLOOKUP(Table4[[#This Row],[Integrity]],'Reference - CVSSv3.0'!$B$15:$C$17,2,FALSE)) *  (1 - VLOOKUP(Table4[[#This Row],[Availability]],'Reference - CVSSv3.0'!$B$15:$C$17,2,FALSE))))</f>
        <v>0.56000000000000005</v>
      </c>
      <c r="T26" s="198">
        <f>IF(Table4[[#This Row],[Scope]]="Unchanged",6.42*Table4[[#This Row],[ISC Base]],IF(Table4[[#This Row],[Scope]]="Changed",7.52*(Table4[[#This Row],[ISC Base]] - 0.029) - 3.25 * POWER(Table4[[#This Row],[ISC Base]] - 0.02,15),NA()))</f>
        <v>3.5952000000000002</v>
      </c>
      <c r="U26"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182" t="s">
        <v>56</v>
      </c>
      <c r="W26" s="198">
        <f>VLOOKUP(Table4[[#This Row],[Threat Event Initiation]],NIST_Scale_LOAI[],2,FALSE)</f>
        <v>0.5</v>
      </c>
      <c r="X2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49" t="s">
        <v>345</v>
      </c>
      <c r="AA26" s="49" t="s">
        <v>346</v>
      </c>
      <c r="AB26" s="200"/>
      <c r="AC26" s="187"/>
      <c r="AD26" s="187"/>
      <c r="AE26" s="187"/>
      <c r="AF26" s="196"/>
      <c r="AG26" s="196"/>
      <c r="AH26" s="196"/>
      <c r="AI26" s="196"/>
      <c r="AJ26" s="201"/>
      <c r="AK2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198" t="e">
        <f>(1 - ((1 - VLOOKUP(Table4[[#This Row],[ConfidentialityP]],'Reference - CVSSv3.0'!$B$15:$C$17,2,FALSE)) * (1 - VLOOKUP(Table4[[#This Row],[IntegrityP]],'Reference - CVSSv3.0'!$B$15:$C$17,2,FALSE)) *  (1 - VLOOKUP(Table4[[#This Row],[AvailabilityP]],'Reference - CVSSv3.0'!$B$15:$C$17,2,FALSE))))</f>
        <v>#N/A</v>
      </c>
      <c r="AM26" s="198" t="e">
        <f>IF(Table4[[#This Row],[ScopeP]]="Unchanged",6.42*Table4[[#This Row],[ISC BaseP]],IF(Table4[[#This Row],[ScopeP]]="Changed",7.52*(Table4[[#This Row],[ISC BaseP]] - 0.029) - 3.25 * POWER(Table4[[#This Row],[ISC BaseP]] - 0.02,15),NA()))</f>
        <v>#N/A</v>
      </c>
      <c r="AN2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187"/>
    </row>
    <row r="27" spans="1:43" s="53" customFormat="1" ht="112" x14ac:dyDescent="0.35">
      <c r="A27" s="70">
        <v>23</v>
      </c>
      <c r="B27" s="182" t="s">
        <v>127</v>
      </c>
      <c r="C27" s="195" t="str">
        <f>IF(VLOOKUP(Table4[[#This Row],[T ID]],Table5[#All],5,FALSE)="No","Not in scope",VLOOKUP(Table4[[#This Row],[T ID]],Table5[#All],2,FALSE))</f>
        <v>Deliver directed malware
(CAPEC-185)</v>
      </c>
      <c r="D27" s="212" t="s">
        <v>143</v>
      </c>
      <c r="E27" s="195" t="str">
        <f>IF(VLOOKUP(Table4[[#This Row],[V ID]],Vulnerabilities[#All],3,FALSE)="No","Not in scope",VLOOKUP(Table4[[#This Row],[V ID]],Vulnerabilities[#All],2,FALSE))</f>
        <v>InSecure Configuration for Software/OS on Mobile Devices, Laptops, Workstations, and Servers</v>
      </c>
      <c r="F27" s="216" t="s">
        <v>112</v>
      </c>
      <c r="G27" s="195" t="str">
        <f>VLOOKUP(Table4[[#This Row],[A ID]],Assets[#All],3,FALSE)</f>
        <v>Tablet Resources - web cam, microphone, OTG devices, Removable USB, Tablet Application, Network interfaces (Bluetooth, Wifi)</v>
      </c>
      <c r="H27" s="49" t="s">
        <v>274</v>
      </c>
      <c r="I27" s="49"/>
      <c r="J27" s="87" t="s">
        <v>57</v>
      </c>
      <c r="K27" s="87" t="s">
        <v>57</v>
      </c>
      <c r="L27" s="87" t="s">
        <v>57</v>
      </c>
      <c r="M27" s="196" t="s">
        <v>80</v>
      </c>
      <c r="N27" s="157" t="s">
        <v>57</v>
      </c>
      <c r="O27" s="157" t="s">
        <v>57</v>
      </c>
      <c r="P27" s="196" t="s">
        <v>77</v>
      </c>
      <c r="Q27" s="196" t="s">
        <v>75</v>
      </c>
      <c r="R2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198">
        <f>(1 - ((1 - VLOOKUP(Table4[[#This Row],[Confidentiality]],'Reference - CVSSv3.0'!$B$15:$C$17,2,FALSE)) * (1 - VLOOKUP(Table4[[#This Row],[Integrity]],'Reference - CVSSv3.0'!$B$15:$C$17,2,FALSE)) *  (1 - VLOOKUP(Table4[[#This Row],[Availability]],'Reference - CVSSv3.0'!$B$15:$C$17,2,FALSE))))</f>
        <v>0.52544799999999992</v>
      </c>
      <c r="T27" s="198">
        <f>IF(Table4[[#This Row],[Scope]]="Unchanged",6.42*Table4[[#This Row],[ISC Base]],IF(Table4[[#This Row],[Scope]]="Changed",7.52*(Table4[[#This Row],[ISC Base]] - 0.029) - 3.25 * POWER(Table4[[#This Row],[ISC Base]] - 0.02,15),NA()))</f>
        <v>3.3733761599999994</v>
      </c>
      <c r="U27"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182" t="s">
        <v>57</v>
      </c>
      <c r="W27" s="198">
        <f>VLOOKUP(Table4[[#This Row],[Threat Event Initiation]],NIST_Scale_LOAI[],2,FALSE)</f>
        <v>0.2</v>
      </c>
      <c r="X2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49" t="s">
        <v>345</v>
      </c>
      <c r="AA27" s="49" t="s">
        <v>346</v>
      </c>
      <c r="AB27" s="200"/>
      <c r="AC27" s="187"/>
      <c r="AD27" s="187"/>
      <c r="AE27" s="187"/>
      <c r="AF27" s="196"/>
      <c r="AG27" s="196"/>
      <c r="AH27" s="196"/>
      <c r="AI27" s="196"/>
      <c r="AJ27" s="201"/>
      <c r="AK2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198" t="e">
        <f>(1 - ((1 - VLOOKUP(Table4[[#This Row],[ConfidentialityP]],'Reference - CVSSv3.0'!$B$15:$C$17,2,FALSE)) * (1 - VLOOKUP(Table4[[#This Row],[IntegrityP]],'Reference - CVSSv3.0'!$B$15:$C$17,2,FALSE)) *  (1 - VLOOKUP(Table4[[#This Row],[AvailabilityP]],'Reference - CVSSv3.0'!$B$15:$C$17,2,FALSE))))</f>
        <v>#N/A</v>
      </c>
      <c r="AM27" s="198" t="e">
        <f>IF(Table4[[#This Row],[ScopeP]]="Unchanged",6.42*Table4[[#This Row],[ISC BaseP]],IF(Table4[[#This Row],[ScopeP]]="Changed",7.52*(Table4[[#This Row],[ISC BaseP]] - 0.029) - 3.25 * POWER(Table4[[#This Row],[ISC BaseP]] - 0.02,15),NA()))</f>
        <v>#N/A</v>
      </c>
      <c r="AN2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187"/>
    </row>
    <row r="28" spans="1:43" s="53" customFormat="1" ht="70" x14ac:dyDescent="0.35">
      <c r="A28" s="70">
        <v>24</v>
      </c>
      <c r="B28" s="182" t="s">
        <v>127</v>
      </c>
      <c r="C28" s="195" t="str">
        <f>IF(VLOOKUP(Table4[[#This Row],[T ID]],Table5[#All],5,FALSE)="No","Not in scope",VLOOKUP(Table4[[#This Row],[T ID]],Table5[#All],2,FALSE))</f>
        <v>Deliver directed malware
(CAPEC-185)</v>
      </c>
      <c r="D28" s="212" t="s">
        <v>242</v>
      </c>
      <c r="E28" s="195" t="str">
        <f>IF(VLOOKUP(Table4[[#This Row],[V ID]],Vulnerabilities[#All],3,FALSE)="No","Not in scope",VLOOKUP(Table4[[#This Row],[V ID]],Vulnerabilities[#All],2,FALSE))</f>
        <v>Unprotected external USB Port on the tablet/devices.</v>
      </c>
      <c r="F28" s="216" t="s">
        <v>119</v>
      </c>
      <c r="G28" s="195" t="str">
        <f>VLOOKUP(Table4[[#This Row],[A ID]],Assets[#All],3,FALSE)</f>
        <v>Wireless Network device (Scope of HDO)</v>
      </c>
      <c r="H28" s="49" t="s">
        <v>274</v>
      </c>
      <c r="I28" s="49"/>
      <c r="J28" s="87" t="s">
        <v>57</v>
      </c>
      <c r="K28" s="87" t="s">
        <v>57</v>
      </c>
      <c r="L28" s="87" t="s">
        <v>57</v>
      </c>
      <c r="M28" s="157" t="s">
        <v>76</v>
      </c>
      <c r="N28" s="157" t="s">
        <v>57</v>
      </c>
      <c r="O28" s="157" t="s">
        <v>57</v>
      </c>
      <c r="P28" s="196" t="s">
        <v>77</v>
      </c>
      <c r="Q28" s="196" t="s">
        <v>75</v>
      </c>
      <c r="R2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198">
        <f>(1 - ((1 - VLOOKUP(Table4[[#This Row],[Confidentiality]],'Reference - CVSSv3.0'!$B$15:$C$17,2,FALSE)) * (1 - VLOOKUP(Table4[[#This Row],[Integrity]],'Reference - CVSSv3.0'!$B$15:$C$17,2,FALSE)) *  (1 - VLOOKUP(Table4[[#This Row],[Availability]],'Reference - CVSSv3.0'!$B$15:$C$17,2,FALSE))))</f>
        <v>0.52544799999999992</v>
      </c>
      <c r="T28" s="198">
        <f>IF(Table4[[#This Row],[Scope]]="Unchanged",6.42*Table4[[#This Row],[ISC Base]],IF(Table4[[#This Row],[Scope]]="Changed",7.52*(Table4[[#This Row],[ISC Base]] - 0.029) - 3.25 * POWER(Table4[[#This Row],[ISC Base]] - 0.02,15),NA()))</f>
        <v>3.3733761599999994</v>
      </c>
      <c r="U28"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182" t="s">
        <v>56</v>
      </c>
      <c r="W28" s="198">
        <f>VLOOKUP(Table4[[#This Row],[Threat Event Initiation]],NIST_Scale_LOAI[],2,FALSE)</f>
        <v>0.5</v>
      </c>
      <c r="X2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49" t="s">
        <v>396</v>
      </c>
      <c r="AA28" s="49" t="s">
        <v>397</v>
      </c>
      <c r="AB28" s="200"/>
      <c r="AC28" s="187"/>
      <c r="AD28" s="187"/>
      <c r="AE28" s="187"/>
      <c r="AF28" s="196"/>
      <c r="AG28" s="196"/>
      <c r="AH28" s="196"/>
      <c r="AI28" s="196"/>
      <c r="AJ28" s="201"/>
      <c r="AK2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198" t="e">
        <f>(1 - ((1 - VLOOKUP(Table4[[#This Row],[ConfidentialityP]],'Reference - CVSSv3.0'!$B$15:$C$17,2,FALSE)) * (1 - VLOOKUP(Table4[[#This Row],[IntegrityP]],'Reference - CVSSv3.0'!$B$15:$C$17,2,FALSE)) *  (1 - VLOOKUP(Table4[[#This Row],[AvailabilityP]],'Reference - CVSSv3.0'!$B$15:$C$17,2,FALSE))))</f>
        <v>#N/A</v>
      </c>
      <c r="AM28" s="198" t="e">
        <f>IF(Table4[[#This Row],[ScopeP]]="Unchanged",6.42*Table4[[#This Row],[ISC BaseP]],IF(Table4[[#This Row],[ScopeP]]="Changed",7.52*(Table4[[#This Row],[ISC BaseP]] - 0.029) - 3.25 * POWER(Table4[[#This Row],[ISC BaseP]] - 0.02,15),NA()))</f>
        <v>#N/A</v>
      </c>
      <c r="AN2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187"/>
    </row>
    <row r="29" spans="1:43" s="53" customFormat="1" ht="112" x14ac:dyDescent="0.35">
      <c r="A29" s="70">
        <v>25</v>
      </c>
      <c r="B29" s="182" t="s">
        <v>127</v>
      </c>
      <c r="C29" s="195" t="str">
        <f>IF(VLOOKUP(Table4[[#This Row],[T ID]],Table5[#All],5,FALSE)="No","Not in scope",VLOOKUP(Table4[[#This Row],[T ID]],Table5[#All],2,FALSE))</f>
        <v>Deliver directed malware
(CAPEC-185)</v>
      </c>
      <c r="D29" s="212" t="s">
        <v>242</v>
      </c>
      <c r="E29" s="195" t="str">
        <f>IF(VLOOKUP(Table4[[#This Row],[V ID]],Vulnerabilities[#All],3,FALSE)="No","Not in scope",VLOOKUP(Table4[[#This Row],[V ID]],Vulnerabilities[#All],2,FALSE))</f>
        <v>Unprotected external USB Port on the tablet/devices.</v>
      </c>
      <c r="F29" s="216" t="s">
        <v>112</v>
      </c>
      <c r="G29" s="195" t="str">
        <f>VLOOKUP(Table4[[#This Row],[A ID]],Assets[#All],3,FALSE)</f>
        <v>Tablet Resources - web cam, microphone, OTG devices, Removable USB, Tablet Application, Network interfaces (Bluetooth, Wifi)</v>
      </c>
      <c r="H29" s="49" t="s">
        <v>274</v>
      </c>
      <c r="I29" s="49"/>
      <c r="J29" s="87" t="s">
        <v>57</v>
      </c>
      <c r="K29" s="87" t="s">
        <v>57</v>
      </c>
      <c r="L29" s="87" t="s">
        <v>57</v>
      </c>
      <c r="M29" s="157" t="s">
        <v>76</v>
      </c>
      <c r="N29" s="157" t="s">
        <v>57</v>
      </c>
      <c r="O29" s="157" t="s">
        <v>57</v>
      </c>
      <c r="P29" s="196" t="s">
        <v>77</v>
      </c>
      <c r="Q29" s="196" t="s">
        <v>75</v>
      </c>
      <c r="R2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198">
        <f>(1 - ((1 - VLOOKUP(Table4[[#This Row],[Confidentiality]],'Reference - CVSSv3.0'!$B$15:$C$17,2,FALSE)) * (1 - VLOOKUP(Table4[[#This Row],[Integrity]],'Reference - CVSSv3.0'!$B$15:$C$17,2,FALSE)) *  (1 - VLOOKUP(Table4[[#This Row],[Availability]],'Reference - CVSSv3.0'!$B$15:$C$17,2,FALSE))))</f>
        <v>0.52544799999999992</v>
      </c>
      <c r="T29" s="198">
        <f>IF(Table4[[#This Row],[Scope]]="Unchanged",6.42*Table4[[#This Row],[ISC Base]],IF(Table4[[#This Row],[Scope]]="Changed",7.52*(Table4[[#This Row],[ISC Base]] - 0.029) - 3.25 * POWER(Table4[[#This Row],[ISC Base]] - 0.02,15),NA()))</f>
        <v>3.3733761599999994</v>
      </c>
      <c r="U29"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182" t="s">
        <v>56</v>
      </c>
      <c r="W29" s="198">
        <f>VLOOKUP(Table4[[#This Row],[Threat Event Initiation]],NIST_Scale_LOAI[],2,FALSE)</f>
        <v>0.5</v>
      </c>
      <c r="X2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49" t="s">
        <v>345</v>
      </c>
      <c r="AA29" s="49" t="s">
        <v>346</v>
      </c>
      <c r="AB29" s="200"/>
      <c r="AC29" s="187"/>
      <c r="AD29" s="187"/>
      <c r="AE29" s="187"/>
      <c r="AF29" s="196"/>
      <c r="AG29" s="196"/>
      <c r="AH29" s="196"/>
      <c r="AI29" s="196"/>
      <c r="AJ29" s="201"/>
      <c r="AK2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198" t="e">
        <f>(1 - ((1 - VLOOKUP(Table4[[#This Row],[ConfidentialityP]],'Reference - CVSSv3.0'!$B$15:$C$17,2,FALSE)) * (1 - VLOOKUP(Table4[[#This Row],[IntegrityP]],'Reference - CVSSv3.0'!$B$15:$C$17,2,FALSE)) *  (1 - VLOOKUP(Table4[[#This Row],[AvailabilityP]],'Reference - CVSSv3.0'!$B$15:$C$17,2,FALSE))))</f>
        <v>#N/A</v>
      </c>
      <c r="AM29" s="198" t="e">
        <f>IF(Table4[[#This Row],[ScopeP]]="Unchanged",6.42*Table4[[#This Row],[ISC BaseP]],IF(Table4[[#This Row],[ScopeP]]="Changed",7.52*(Table4[[#This Row],[ISC BaseP]] - 0.029) - 3.25 * POWER(Table4[[#This Row],[ISC BaseP]] - 0.02,15),NA()))</f>
        <v>#N/A</v>
      </c>
      <c r="AN2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187"/>
    </row>
    <row r="30" spans="1:43" s="53" customFormat="1" ht="112" x14ac:dyDescent="0.35">
      <c r="A30" s="70">
        <v>26</v>
      </c>
      <c r="B30" s="182" t="s">
        <v>127</v>
      </c>
      <c r="C30" s="195" t="str">
        <f>IF(VLOOKUP(Table4[[#This Row],[T ID]],Table5[#All],5,FALSE)="No","Not in scope",VLOOKUP(Table4[[#This Row],[T ID]],Table5[#All],2,FALSE))</f>
        <v>Deliver directed malware
(CAPEC-185)</v>
      </c>
      <c r="D30" s="212" t="s">
        <v>242</v>
      </c>
      <c r="E30" s="195" t="str">
        <f>IF(VLOOKUP(Table4[[#This Row],[V ID]],Vulnerabilities[#All],3,FALSE)="No","Not in scope",VLOOKUP(Table4[[#This Row],[V ID]],Vulnerabilities[#All],2,FALSE))</f>
        <v>Unprotected external USB Port on the tablet/devices.</v>
      </c>
      <c r="F30" s="216" t="s">
        <v>108</v>
      </c>
      <c r="G30" s="195" t="str">
        <f>VLOOKUP(Table4[[#This Row],[A ID]],Assets[#All],3,FALSE)</f>
        <v>Smart medic app (Stryker Admin Web Application)</v>
      </c>
      <c r="H30" s="49" t="s">
        <v>274</v>
      </c>
      <c r="I30" s="49"/>
      <c r="J30" s="87" t="s">
        <v>57</v>
      </c>
      <c r="K30" s="87" t="s">
        <v>57</v>
      </c>
      <c r="L30" s="87" t="s">
        <v>57</v>
      </c>
      <c r="M30" s="157" t="s">
        <v>76</v>
      </c>
      <c r="N30" s="157" t="s">
        <v>57</v>
      </c>
      <c r="O30" s="157" t="s">
        <v>57</v>
      </c>
      <c r="P30" s="196" t="s">
        <v>77</v>
      </c>
      <c r="Q30" s="196" t="s">
        <v>75</v>
      </c>
      <c r="R3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198">
        <f>(1 - ((1 - VLOOKUP(Table4[[#This Row],[Confidentiality]],'Reference - CVSSv3.0'!$B$15:$C$17,2,FALSE)) * (1 - VLOOKUP(Table4[[#This Row],[Integrity]],'Reference - CVSSv3.0'!$B$15:$C$17,2,FALSE)) *  (1 - VLOOKUP(Table4[[#This Row],[Availability]],'Reference - CVSSv3.0'!$B$15:$C$17,2,FALSE))))</f>
        <v>0.52544799999999992</v>
      </c>
      <c r="T30" s="198">
        <f>IF(Table4[[#This Row],[Scope]]="Unchanged",6.42*Table4[[#This Row],[ISC Base]],IF(Table4[[#This Row],[Scope]]="Changed",7.52*(Table4[[#This Row],[ISC Base]] - 0.029) - 3.25 * POWER(Table4[[#This Row],[ISC Base]] - 0.02,15),NA()))</f>
        <v>3.3733761599999994</v>
      </c>
      <c r="U30"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182" t="s">
        <v>57</v>
      </c>
      <c r="W30" s="198">
        <f>VLOOKUP(Table4[[#This Row],[Threat Event Initiation]],NIST_Scale_LOAI[],2,FALSE)</f>
        <v>0.2</v>
      </c>
      <c r="X3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49" t="s">
        <v>345</v>
      </c>
      <c r="AA30" s="49" t="s">
        <v>346</v>
      </c>
      <c r="AB30" s="200"/>
      <c r="AC30" s="187"/>
      <c r="AD30" s="187"/>
      <c r="AE30" s="187"/>
      <c r="AF30" s="196"/>
      <c r="AG30" s="196"/>
      <c r="AH30" s="196"/>
      <c r="AI30" s="196"/>
      <c r="AJ30" s="201"/>
      <c r="AK3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198" t="e">
        <f>(1 - ((1 - VLOOKUP(Table4[[#This Row],[ConfidentialityP]],'Reference - CVSSv3.0'!$B$15:$C$17,2,FALSE)) * (1 - VLOOKUP(Table4[[#This Row],[IntegrityP]],'Reference - CVSSv3.0'!$B$15:$C$17,2,FALSE)) *  (1 - VLOOKUP(Table4[[#This Row],[AvailabilityP]],'Reference - CVSSv3.0'!$B$15:$C$17,2,FALSE))))</f>
        <v>#N/A</v>
      </c>
      <c r="AM30" s="198" t="e">
        <f>IF(Table4[[#This Row],[ScopeP]]="Unchanged",6.42*Table4[[#This Row],[ISC BaseP]],IF(Table4[[#This Row],[ScopeP]]="Changed",7.52*(Table4[[#This Row],[ISC BaseP]] - 0.029) - 3.25 * POWER(Table4[[#This Row],[ISC BaseP]] - 0.02,15),NA()))</f>
        <v>#N/A</v>
      </c>
      <c r="AN3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187"/>
    </row>
    <row r="31" spans="1:43" s="53" customFormat="1" ht="111" customHeight="1" x14ac:dyDescent="0.35">
      <c r="A31" s="70">
        <v>27</v>
      </c>
      <c r="B31" s="182" t="s">
        <v>127</v>
      </c>
      <c r="C31" s="195" t="str">
        <f>IF(VLOOKUP(Table4[[#This Row],[T ID]],Table5[#All],5,FALSE)="No","Not in scope",VLOOKUP(Table4[[#This Row],[T ID]],Table5[#All],2,FALSE))</f>
        <v>Deliver directed malware
(CAPEC-185)</v>
      </c>
      <c r="D31" s="212" t="s">
        <v>122</v>
      </c>
      <c r="E31" s="195" t="str">
        <f>IF(VLOOKUP(Table4[[#This Row],[V ID]],Vulnerabilities[#All],3,FALSE)="No","Not in scope",VLOOKUP(Table4[[#This Row],[V ID]],Vulnerabilities[#All],2,FALSE))</f>
        <v>External communications and exposure for communciation channels from and to application and devices like tablet and smartmedic device.</v>
      </c>
      <c r="F31" s="216" t="s">
        <v>112</v>
      </c>
      <c r="G31" s="195" t="str">
        <f>VLOOKUP(Table4[[#This Row],[A ID]],Assets[#All],3,FALSE)</f>
        <v>Tablet Resources - web cam, microphone, OTG devices, Removable USB, Tablet Application, Network interfaces (Bluetooth, Wifi)</v>
      </c>
      <c r="H31" s="49" t="s">
        <v>274</v>
      </c>
      <c r="I31" s="49"/>
      <c r="J31" s="87" t="s">
        <v>78</v>
      </c>
      <c r="K31" s="87" t="s">
        <v>78</v>
      </c>
      <c r="L31" s="87" t="s">
        <v>66</v>
      </c>
      <c r="M31" s="196" t="s">
        <v>79</v>
      </c>
      <c r="N31" s="157" t="s">
        <v>57</v>
      </c>
      <c r="O31" s="157" t="s">
        <v>66</v>
      </c>
      <c r="P31" s="196" t="s">
        <v>77</v>
      </c>
      <c r="Q31" s="196" t="s">
        <v>75</v>
      </c>
      <c r="R3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198">
        <f>(1 - ((1 - VLOOKUP(Table4[[#This Row],[Confidentiality]],'Reference - CVSSv3.0'!$B$15:$C$17,2,FALSE)) * (1 - VLOOKUP(Table4[[#This Row],[Integrity]],'Reference - CVSSv3.0'!$B$15:$C$17,2,FALSE)) *  (1 - VLOOKUP(Table4[[#This Row],[Availability]],'Reference - CVSSv3.0'!$B$15:$C$17,2,FALSE))))</f>
        <v>0.56000000000000005</v>
      </c>
      <c r="T31" s="198">
        <f>IF(Table4[[#This Row],[Scope]]="Unchanged",6.42*Table4[[#This Row],[ISC Base]],IF(Table4[[#This Row],[Scope]]="Changed",7.52*(Table4[[#This Row],[ISC Base]] - 0.029) - 3.25 * POWER(Table4[[#This Row],[ISC Base]] - 0.02,15),NA()))</f>
        <v>3.5952000000000002</v>
      </c>
      <c r="U31" s="198">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182" t="s">
        <v>56</v>
      </c>
      <c r="W31" s="198">
        <f>VLOOKUP(Table4[[#This Row],[Threat Event Initiation]],NIST_Scale_LOAI[],2,FALSE)</f>
        <v>0.5</v>
      </c>
      <c r="X3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49" t="s">
        <v>375</v>
      </c>
      <c r="AA31" s="51" t="s">
        <v>369</v>
      </c>
      <c r="AB31" s="200"/>
      <c r="AC31" s="187"/>
      <c r="AD31" s="187"/>
      <c r="AE31" s="187"/>
      <c r="AF31" s="196"/>
      <c r="AG31" s="196"/>
      <c r="AH31" s="196"/>
      <c r="AI31" s="196"/>
      <c r="AJ31" s="201"/>
      <c r="AK3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198" t="e">
        <f>(1 - ((1 - VLOOKUP(Table4[[#This Row],[ConfidentialityP]],'Reference - CVSSv3.0'!$B$15:$C$17,2,FALSE)) * (1 - VLOOKUP(Table4[[#This Row],[IntegrityP]],'Reference - CVSSv3.0'!$B$15:$C$17,2,FALSE)) *  (1 - VLOOKUP(Table4[[#This Row],[AvailabilityP]],'Reference - CVSSv3.0'!$B$15:$C$17,2,FALSE))))</f>
        <v>#N/A</v>
      </c>
      <c r="AM31" s="198" t="e">
        <f>IF(Table4[[#This Row],[ScopeP]]="Unchanged",6.42*Table4[[#This Row],[ISC BaseP]],IF(Table4[[#This Row],[ScopeP]]="Changed",7.52*(Table4[[#This Row],[ISC BaseP]] - 0.029) - 3.25 * POWER(Table4[[#This Row],[ISC BaseP]] - 0.02,15),NA()))</f>
        <v>#N/A</v>
      </c>
      <c r="AN3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187"/>
    </row>
    <row r="32" spans="1:43" s="53" customFormat="1" ht="112" x14ac:dyDescent="0.35">
      <c r="A32" s="70">
        <v>28</v>
      </c>
      <c r="B32" s="182" t="s">
        <v>127</v>
      </c>
      <c r="C32" s="195" t="str">
        <f>IF(VLOOKUP(Table4[[#This Row],[T ID]],Table5[#All],5,FALSE)="No","Not in scope",VLOOKUP(Table4[[#This Row],[T ID]],Table5[#All],2,FALSE))</f>
        <v>Deliver directed malware
(CAPEC-185)</v>
      </c>
      <c r="D32" s="212" t="s">
        <v>229</v>
      </c>
      <c r="E32" s="195" t="str">
        <f>IF(VLOOKUP(Table4[[#This Row],[V ID]],Vulnerabilities[#All],3,FALSE)="No","Not in scope",VLOOKUP(Table4[[#This Row],[V ID]],Vulnerabilities[#All],2,FALSE))</f>
        <v>Ineffective patch management of firware, OS and applications thoughout the information system plan</v>
      </c>
      <c r="F32" s="216" t="s">
        <v>116</v>
      </c>
      <c r="G32" s="195" t="str">
        <f>VLOOKUP(Table4[[#This Row],[A ID]],Assets[#All],3,FALSE)</f>
        <v>Device Maintainence tool (Hardware/Software)</v>
      </c>
      <c r="H32" s="49" t="s">
        <v>274</v>
      </c>
      <c r="I32" s="49"/>
      <c r="J32" s="87" t="s">
        <v>57</v>
      </c>
      <c r="K32" s="87" t="s">
        <v>57</v>
      </c>
      <c r="L32" s="87" t="s">
        <v>57</v>
      </c>
      <c r="M32" s="196" t="s">
        <v>80</v>
      </c>
      <c r="N32" s="157" t="s">
        <v>57</v>
      </c>
      <c r="O32" s="157" t="s">
        <v>57</v>
      </c>
      <c r="P32" s="196" t="s">
        <v>78</v>
      </c>
      <c r="Q32" s="196" t="s">
        <v>75</v>
      </c>
      <c r="R3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198">
        <f>(1 - ((1 - VLOOKUP(Table4[[#This Row],[Confidentiality]],'Reference - CVSSv3.0'!$B$15:$C$17,2,FALSE)) * (1 - VLOOKUP(Table4[[#This Row],[Integrity]],'Reference - CVSSv3.0'!$B$15:$C$17,2,FALSE)) *  (1 - VLOOKUP(Table4[[#This Row],[Availability]],'Reference - CVSSv3.0'!$B$15:$C$17,2,FALSE))))</f>
        <v>0.52544799999999992</v>
      </c>
      <c r="T32" s="198">
        <f>IF(Table4[[#This Row],[Scope]]="Unchanged",6.42*Table4[[#This Row],[ISC Base]],IF(Table4[[#This Row],[Scope]]="Changed",7.52*(Table4[[#This Row],[ISC Base]] - 0.029) - 3.25 * POWER(Table4[[#This Row],[ISC Base]] - 0.02,15),NA()))</f>
        <v>3.3733761599999994</v>
      </c>
      <c r="U3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182" t="s">
        <v>57</v>
      </c>
      <c r="W32" s="198">
        <f>VLOOKUP(Table4[[#This Row],[Threat Event Initiation]],NIST_Scale_LOAI[],2,FALSE)</f>
        <v>0.2</v>
      </c>
      <c r="X3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49" t="s">
        <v>345</v>
      </c>
      <c r="AA32" s="49" t="s">
        <v>346</v>
      </c>
      <c r="AB32" s="200"/>
      <c r="AC32" s="187"/>
      <c r="AD32" s="187"/>
      <c r="AE32" s="187"/>
      <c r="AF32" s="196"/>
      <c r="AG32" s="196"/>
      <c r="AH32" s="196"/>
      <c r="AI32" s="196"/>
      <c r="AJ32" s="201"/>
      <c r="AK3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198" t="e">
        <f>(1 - ((1 - VLOOKUP(Table4[[#This Row],[ConfidentialityP]],'Reference - CVSSv3.0'!$B$15:$C$17,2,FALSE)) * (1 - VLOOKUP(Table4[[#This Row],[IntegrityP]],'Reference - CVSSv3.0'!$B$15:$C$17,2,FALSE)) *  (1 - VLOOKUP(Table4[[#This Row],[AvailabilityP]],'Reference - CVSSv3.0'!$B$15:$C$17,2,FALSE))))</f>
        <v>#N/A</v>
      </c>
      <c r="AM32" s="198" t="e">
        <f>IF(Table4[[#This Row],[ScopeP]]="Unchanged",6.42*Table4[[#This Row],[ISC BaseP]],IF(Table4[[#This Row],[ScopeP]]="Changed",7.52*(Table4[[#This Row],[ISC BaseP]] - 0.029) - 3.25 * POWER(Table4[[#This Row],[ISC BaseP]] - 0.02,15),NA()))</f>
        <v>#N/A</v>
      </c>
      <c r="AN3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187"/>
    </row>
    <row r="33" spans="1:43" s="53" customFormat="1" ht="112" x14ac:dyDescent="0.35">
      <c r="A33" s="70">
        <v>29</v>
      </c>
      <c r="B33" s="182" t="s">
        <v>127</v>
      </c>
      <c r="C33" s="195" t="str">
        <f>IF(VLOOKUP(Table4[[#This Row],[T ID]],Table5[#All],5,FALSE)="No","Not in scope",VLOOKUP(Table4[[#This Row],[T ID]],Table5[#All],2,FALSE))</f>
        <v>Deliver directed malware
(CAPEC-185)</v>
      </c>
      <c r="D33" s="212" t="s">
        <v>229</v>
      </c>
      <c r="E33" s="195" t="str">
        <f>IF(VLOOKUP(Table4[[#This Row],[V ID]],Vulnerabilities[#All],3,FALSE)="No","Not in scope",VLOOKUP(Table4[[#This Row],[V ID]],Vulnerabilities[#All],2,FALSE))</f>
        <v>Ineffective patch management of firware, OS and applications thoughout the information system plan</v>
      </c>
      <c r="F33" s="216" t="s">
        <v>114</v>
      </c>
      <c r="G33" s="195" t="str">
        <f>VLOOKUP(Table4[[#This Row],[A ID]],Assets[#All],3,FALSE)</f>
        <v>Smart medic (Stryker device) System Component</v>
      </c>
      <c r="H33" s="49" t="s">
        <v>274</v>
      </c>
      <c r="I33" s="49"/>
      <c r="J33" s="87" t="s">
        <v>57</v>
      </c>
      <c r="K33" s="87" t="s">
        <v>57</v>
      </c>
      <c r="L33" s="87" t="s">
        <v>57</v>
      </c>
      <c r="M33" s="196" t="s">
        <v>80</v>
      </c>
      <c r="N33" s="157" t="s">
        <v>57</v>
      </c>
      <c r="O33" s="157" t="s">
        <v>57</v>
      </c>
      <c r="P33" s="196" t="s">
        <v>78</v>
      </c>
      <c r="Q33" s="196" t="s">
        <v>75</v>
      </c>
      <c r="R3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198">
        <f>(1 - ((1 - VLOOKUP(Table4[[#This Row],[Confidentiality]],'Reference - CVSSv3.0'!$B$15:$C$17,2,FALSE)) * (1 - VLOOKUP(Table4[[#This Row],[Integrity]],'Reference - CVSSv3.0'!$B$15:$C$17,2,FALSE)) *  (1 - VLOOKUP(Table4[[#This Row],[Availability]],'Reference - CVSSv3.0'!$B$15:$C$17,2,FALSE))))</f>
        <v>0.52544799999999992</v>
      </c>
      <c r="T33" s="198">
        <f>IF(Table4[[#This Row],[Scope]]="Unchanged",6.42*Table4[[#This Row],[ISC Base]],IF(Table4[[#This Row],[Scope]]="Changed",7.52*(Table4[[#This Row],[ISC Base]] - 0.029) - 3.25 * POWER(Table4[[#This Row],[ISC Base]] - 0.02,15),NA()))</f>
        <v>3.3733761599999994</v>
      </c>
      <c r="U3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182" t="s">
        <v>57</v>
      </c>
      <c r="W33" s="198">
        <f>VLOOKUP(Table4[[#This Row],[Threat Event Initiation]],NIST_Scale_LOAI[],2,FALSE)</f>
        <v>0.2</v>
      </c>
      <c r="X3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49" t="s">
        <v>345</v>
      </c>
      <c r="AA33" s="49" t="s">
        <v>346</v>
      </c>
      <c r="AB33" s="200"/>
      <c r="AC33" s="187"/>
      <c r="AD33" s="187"/>
      <c r="AE33" s="187"/>
      <c r="AF33" s="196"/>
      <c r="AG33" s="196"/>
      <c r="AH33" s="196"/>
      <c r="AI33" s="196"/>
      <c r="AJ33" s="201"/>
      <c r="AK3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198" t="e">
        <f>(1 - ((1 - VLOOKUP(Table4[[#This Row],[ConfidentialityP]],'Reference - CVSSv3.0'!$B$15:$C$17,2,FALSE)) * (1 - VLOOKUP(Table4[[#This Row],[IntegrityP]],'Reference - CVSSv3.0'!$B$15:$C$17,2,FALSE)) *  (1 - VLOOKUP(Table4[[#This Row],[AvailabilityP]],'Reference - CVSSv3.0'!$B$15:$C$17,2,FALSE))))</f>
        <v>#N/A</v>
      </c>
      <c r="AM33" s="198" t="e">
        <f>IF(Table4[[#This Row],[ScopeP]]="Unchanged",6.42*Table4[[#This Row],[ISC BaseP]],IF(Table4[[#This Row],[ScopeP]]="Changed",7.52*(Table4[[#This Row],[ISC BaseP]] - 0.029) - 3.25 * POWER(Table4[[#This Row],[ISC BaseP]] - 0.02,15),NA()))</f>
        <v>#N/A</v>
      </c>
      <c r="AN3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187"/>
    </row>
    <row r="34" spans="1:43" s="53" customFormat="1" ht="112" x14ac:dyDescent="0.35">
      <c r="A34" s="70">
        <v>30</v>
      </c>
      <c r="B34" s="182" t="s">
        <v>127</v>
      </c>
      <c r="C34" s="195" t="str">
        <f>IF(VLOOKUP(Table4[[#This Row],[T ID]],Table5[#All],5,FALSE)="No","Not in scope",VLOOKUP(Table4[[#This Row],[T ID]],Table5[#All],2,FALSE))</f>
        <v>Deliver directed malware
(CAPEC-185)</v>
      </c>
      <c r="D34" s="212" t="s">
        <v>229</v>
      </c>
      <c r="E34" s="195" t="str">
        <f>IF(VLOOKUP(Table4[[#This Row],[V ID]],Vulnerabilities[#All],3,FALSE)="No","Not in scope",VLOOKUP(Table4[[#This Row],[V ID]],Vulnerabilities[#All],2,FALSE))</f>
        <v>Ineffective patch management of firware, OS and applications thoughout the information system plan</v>
      </c>
      <c r="F34" s="216" t="s">
        <v>112</v>
      </c>
      <c r="G34" s="195" t="str">
        <f>VLOOKUP(Table4[[#This Row],[A ID]],Assets[#All],3,FALSE)</f>
        <v>Tablet Resources - web cam, microphone, OTG devices, Removable USB, Tablet Application, Network interfaces (Bluetooth, Wifi)</v>
      </c>
      <c r="H34" s="49" t="s">
        <v>274</v>
      </c>
      <c r="I34" s="49"/>
      <c r="J34" s="87" t="s">
        <v>57</v>
      </c>
      <c r="K34" s="87" t="s">
        <v>57</v>
      </c>
      <c r="L34" s="87" t="s">
        <v>57</v>
      </c>
      <c r="M34" s="196" t="s">
        <v>80</v>
      </c>
      <c r="N34" s="157" t="s">
        <v>57</v>
      </c>
      <c r="O34" s="157" t="s">
        <v>57</v>
      </c>
      <c r="P34" s="196" t="s">
        <v>78</v>
      </c>
      <c r="Q34" s="196" t="s">
        <v>75</v>
      </c>
      <c r="R3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198">
        <f>(1 - ((1 - VLOOKUP(Table4[[#This Row],[Confidentiality]],'Reference - CVSSv3.0'!$B$15:$C$17,2,FALSE)) * (1 - VLOOKUP(Table4[[#This Row],[Integrity]],'Reference - CVSSv3.0'!$B$15:$C$17,2,FALSE)) *  (1 - VLOOKUP(Table4[[#This Row],[Availability]],'Reference - CVSSv3.0'!$B$15:$C$17,2,FALSE))))</f>
        <v>0.52544799999999992</v>
      </c>
      <c r="T34" s="198">
        <f>IF(Table4[[#This Row],[Scope]]="Unchanged",6.42*Table4[[#This Row],[ISC Base]],IF(Table4[[#This Row],[Scope]]="Changed",7.52*(Table4[[#This Row],[ISC Base]] - 0.029) - 3.25 * POWER(Table4[[#This Row],[ISC Base]] - 0.02,15),NA()))</f>
        <v>3.3733761599999994</v>
      </c>
      <c r="U3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182" t="s">
        <v>57</v>
      </c>
      <c r="W34" s="198">
        <f>VLOOKUP(Table4[[#This Row],[Threat Event Initiation]],NIST_Scale_LOAI[],2,FALSE)</f>
        <v>0.2</v>
      </c>
      <c r="X3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49" t="s">
        <v>345</v>
      </c>
      <c r="AA34" s="49" t="s">
        <v>346</v>
      </c>
      <c r="AB34" s="200"/>
      <c r="AC34" s="187"/>
      <c r="AD34" s="187"/>
      <c r="AE34" s="187"/>
      <c r="AF34" s="196"/>
      <c r="AG34" s="196"/>
      <c r="AH34" s="196"/>
      <c r="AI34" s="196"/>
      <c r="AJ34" s="201"/>
      <c r="AK3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198" t="e">
        <f>(1 - ((1 - VLOOKUP(Table4[[#This Row],[ConfidentialityP]],'Reference - CVSSv3.0'!$B$15:$C$17,2,FALSE)) * (1 - VLOOKUP(Table4[[#This Row],[IntegrityP]],'Reference - CVSSv3.0'!$B$15:$C$17,2,FALSE)) *  (1 - VLOOKUP(Table4[[#This Row],[AvailabilityP]],'Reference - CVSSv3.0'!$B$15:$C$17,2,FALSE))))</f>
        <v>#N/A</v>
      </c>
      <c r="AM34" s="198" t="e">
        <f>IF(Table4[[#This Row],[ScopeP]]="Unchanged",6.42*Table4[[#This Row],[ISC BaseP]],IF(Table4[[#This Row],[ScopeP]]="Changed",7.52*(Table4[[#This Row],[ISC BaseP]] - 0.029) - 3.25 * POWER(Table4[[#This Row],[ISC BaseP]] - 0.02,15),NA()))</f>
        <v>#N/A</v>
      </c>
      <c r="AN3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187"/>
    </row>
    <row r="35" spans="1:43" s="53" customFormat="1" ht="109.5" customHeight="1" x14ac:dyDescent="0.35">
      <c r="A35" s="70">
        <v>31</v>
      </c>
      <c r="B35" s="182" t="s">
        <v>127</v>
      </c>
      <c r="C35" s="195" t="str">
        <f>IF(VLOOKUP(Table4[[#This Row],[T ID]],Table5[#All],5,FALSE)="No","Not in scope",VLOOKUP(Table4[[#This Row],[T ID]],Table5[#All],2,FALSE))</f>
        <v>Deliver directed malware
(CAPEC-185)</v>
      </c>
      <c r="D35" s="212" t="s">
        <v>241</v>
      </c>
      <c r="E35" s="195" t="str">
        <f>IF(VLOOKUP(Table4[[#This Row],[V ID]],Vulnerabilities[#All],3,FALSE)="No","Not in scope",VLOOKUP(Table4[[#This Row],[V ID]],Vulnerabilities[#All],2,FALSE))</f>
        <v>Unprotected network port(s) on network devices and connection points</v>
      </c>
      <c r="F35" s="216" t="s">
        <v>114</v>
      </c>
      <c r="G35" s="195" t="str">
        <f>VLOOKUP(Table4[[#This Row],[A ID]],Assets[#All],3,FALSE)</f>
        <v>Smart medic (Stryker device) System Component</v>
      </c>
      <c r="H35" s="49" t="s">
        <v>275</v>
      </c>
      <c r="I35" s="49"/>
      <c r="J35" s="87" t="s">
        <v>78</v>
      </c>
      <c r="K35" s="87" t="s">
        <v>78</v>
      </c>
      <c r="L35" s="87" t="s">
        <v>66</v>
      </c>
      <c r="M35" s="196" t="s">
        <v>79</v>
      </c>
      <c r="N35" s="157" t="s">
        <v>57</v>
      </c>
      <c r="O35" s="157" t="s">
        <v>66</v>
      </c>
      <c r="P35" s="196" t="s">
        <v>78</v>
      </c>
      <c r="Q35" s="196" t="s">
        <v>75</v>
      </c>
      <c r="R3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198">
        <f>(1 - ((1 - VLOOKUP(Table4[[#This Row],[Confidentiality]],'Reference - CVSSv3.0'!$B$15:$C$17,2,FALSE)) * (1 - VLOOKUP(Table4[[#This Row],[Integrity]],'Reference - CVSSv3.0'!$B$15:$C$17,2,FALSE)) *  (1 - VLOOKUP(Table4[[#This Row],[Availability]],'Reference - CVSSv3.0'!$B$15:$C$17,2,FALSE))))</f>
        <v>0.56000000000000005</v>
      </c>
      <c r="T35" s="198">
        <f>IF(Table4[[#This Row],[Scope]]="Unchanged",6.42*Table4[[#This Row],[ISC Base]],IF(Table4[[#This Row],[Scope]]="Changed",7.52*(Table4[[#This Row],[ISC Base]] - 0.029) - 3.25 * POWER(Table4[[#This Row],[ISC Base]] - 0.02,15),NA()))</f>
        <v>3.5952000000000002</v>
      </c>
      <c r="U35" s="19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182" t="s">
        <v>56</v>
      </c>
      <c r="W35" s="198">
        <f>VLOOKUP(Table4[[#This Row],[Threat Event Initiation]],NIST_Scale_LOAI[],2,FALSE)</f>
        <v>0.5</v>
      </c>
      <c r="X3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49" t="s">
        <v>377</v>
      </c>
      <c r="AA35" s="51" t="s">
        <v>369</v>
      </c>
      <c r="AB35" s="200"/>
      <c r="AC35" s="187"/>
      <c r="AD35" s="187"/>
      <c r="AE35" s="187"/>
      <c r="AF35" s="196"/>
      <c r="AG35" s="196"/>
      <c r="AH35" s="196"/>
      <c r="AI35" s="196"/>
      <c r="AJ35" s="201"/>
      <c r="AK3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198" t="e">
        <f>(1 - ((1 - VLOOKUP(Table4[[#This Row],[ConfidentialityP]],'Reference - CVSSv3.0'!$B$15:$C$17,2,FALSE)) * (1 - VLOOKUP(Table4[[#This Row],[IntegrityP]],'Reference - CVSSv3.0'!$B$15:$C$17,2,FALSE)) *  (1 - VLOOKUP(Table4[[#This Row],[AvailabilityP]],'Reference - CVSSv3.0'!$B$15:$C$17,2,FALSE))))</f>
        <v>#N/A</v>
      </c>
      <c r="AM35" s="198" t="e">
        <f>IF(Table4[[#This Row],[ScopeP]]="Unchanged",6.42*Table4[[#This Row],[ISC BaseP]],IF(Table4[[#This Row],[ScopeP]]="Changed",7.52*(Table4[[#This Row],[ISC BaseP]] - 0.029) - 3.25 * POWER(Table4[[#This Row],[ISC BaseP]] - 0.02,15),NA()))</f>
        <v>#N/A</v>
      </c>
      <c r="AN3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187"/>
    </row>
    <row r="36" spans="1:43" s="53" customFormat="1" ht="112" x14ac:dyDescent="0.35">
      <c r="A36" s="70">
        <v>32</v>
      </c>
      <c r="B36" s="182" t="s">
        <v>127</v>
      </c>
      <c r="C36" s="195" t="str">
        <f>IF(VLOOKUP(Table4[[#This Row],[T ID]],Table5[#All],5,FALSE)="No","Not in scope",VLOOKUP(Table4[[#This Row],[T ID]],Table5[#All],2,FALSE))</f>
        <v>Deliver directed malware
(CAPEC-185)</v>
      </c>
      <c r="D36" s="212" t="s">
        <v>241</v>
      </c>
      <c r="E36" s="195" t="str">
        <f>IF(VLOOKUP(Table4[[#This Row],[V ID]],Vulnerabilities[#All],3,FALSE)="No","Not in scope",VLOOKUP(Table4[[#This Row],[V ID]],Vulnerabilities[#All],2,FALSE))</f>
        <v>Unprotected network port(s) on network devices and connection points</v>
      </c>
      <c r="F36" s="216" t="s">
        <v>112</v>
      </c>
      <c r="G36" s="195" t="str">
        <f>VLOOKUP(Table4[[#This Row],[A ID]],Assets[#All],3,FALSE)</f>
        <v>Tablet Resources - web cam, microphone, OTG devices, Removable USB, Tablet Application, Network interfaces (Bluetooth, Wifi)</v>
      </c>
      <c r="H36" s="49" t="s">
        <v>275</v>
      </c>
      <c r="I36" s="49"/>
      <c r="J36" s="87" t="s">
        <v>78</v>
      </c>
      <c r="K36" s="87" t="s">
        <v>78</v>
      </c>
      <c r="L36" s="87" t="s">
        <v>66</v>
      </c>
      <c r="M36" s="196" t="s">
        <v>79</v>
      </c>
      <c r="N36" s="157" t="s">
        <v>57</v>
      </c>
      <c r="O36" s="157" t="s">
        <v>66</v>
      </c>
      <c r="P36" s="196" t="s">
        <v>78</v>
      </c>
      <c r="Q36" s="196" t="s">
        <v>75</v>
      </c>
      <c r="R3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198">
        <f>(1 - ((1 - VLOOKUP(Table4[[#This Row],[Confidentiality]],'Reference - CVSSv3.0'!$B$15:$C$17,2,FALSE)) * (1 - VLOOKUP(Table4[[#This Row],[Integrity]],'Reference - CVSSv3.0'!$B$15:$C$17,2,FALSE)) *  (1 - VLOOKUP(Table4[[#This Row],[Availability]],'Reference - CVSSv3.0'!$B$15:$C$17,2,FALSE))))</f>
        <v>0.56000000000000005</v>
      </c>
      <c r="T36" s="198">
        <f>IF(Table4[[#This Row],[Scope]]="Unchanged",6.42*Table4[[#This Row],[ISC Base]],IF(Table4[[#This Row],[Scope]]="Changed",7.52*(Table4[[#This Row],[ISC Base]] - 0.029) - 3.25 * POWER(Table4[[#This Row],[ISC Base]] - 0.02,15),NA()))</f>
        <v>3.5952000000000002</v>
      </c>
      <c r="U36" s="19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182" t="s">
        <v>57</v>
      </c>
      <c r="W36" s="198">
        <f>VLOOKUP(Table4[[#This Row],[Threat Event Initiation]],NIST_Scale_LOAI[],2,FALSE)</f>
        <v>0.2</v>
      </c>
      <c r="X3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49" t="s">
        <v>345</v>
      </c>
      <c r="AA36" s="49" t="s">
        <v>346</v>
      </c>
      <c r="AB36" s="200"/>
      <c r="AC36" s="187"/>
      <c r="AD36" s="187"/>
      <c r="AE36" s="187"/>
      <c r="AF36" s="196"/>
      <c r="AG36" s="196"/>
      <c r="AH36" s="196"/>
      <c r="AI36" s="196"/>
      <c r="AJ36" s="201"/>
      <c r="AK3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198" t="e">
        <f>(1 - ((1 - VLOOKUP(Table4[[#This Row],[ConfidentialityP]],'Reference - CVSSv3.0'!$B$15:$C$17,2,FALSE)) * (1 - VLOOKUP(Table4[[#This Row],[IntegrityP]],'Reference - CVSSv3.0'!$B$15:$C$17,2,FALSE)) *  (1 - VLOOKUP(Table4[[#This Row],[AvailabilityP]],'Reference - CVSSv3.0'!$B$15:$C$17,2,FALSE))))</f>
        <v>#N/A</v>
      </c>
      <c r="AM36" s="198" t="e">
        <f>IF(Table4[[#This Row],[ScopeP]]="Unchanged",6.42*Table4[[#This Row],[ISC BaseP]],IF(Table4[[#This Row],[ScopeP]]="Changed",7.52*(Table4[[#This Row],[ISC BaseP]] - 0.029) - 3.25 * POWER(Table4[[#This Row],[ISC BaseP]] - 0.02,15),NA()))</f>
        <v>#N/A</v>
      </c>
      <c r="AN3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187"/>
    </row>
    <row r="37" spans="1:43" s="53" customFormat="1" ht="263.5" customHeight="1" x14ac:dyDescent="0.35">
      <c r="A37" s="70">
        <v>33</v>
      </c>
      <c r="B37" s="182" t="s">
        <v>127</v>
      </c>
      <c r="C37" s="195" t="str">
        <f>IF(VLOOKUP(Table4[[#This Row],[T ID]],Table5[#All],5,FALSE)="No","Not in scope",VLOOKUP(Table4[[#This Row],[T ID]],Table5[#All],2,FALSE))</f>
        <v>Deliver directed malware
(CAPEC-185)</v>
      </c>
      <c r="D37" s="212" t="s">
        <v>143</v>
      </c>
      <c r="E37" s="195" t="str">
        <f>IF(VLOOKUP(Table4[[#This Row],[V ID]],Vulnerabilities[#All],3,FALSE)="No","Not in scope",VLOOKUP(Table4[[#This Row],[V ID]],Vulnerabilities[#All],2,FALSE))</f>
        <v>InSecure Configuration for Software/OS on Mobile Devices, Laptops, Workstations, and Servers</v>
      </c>
      <c r="F37" s="216" t="s">
        <v>108</v>
      </c>
      <c r="G37" s="195" t="str">
        <f>VLOOKUP(Table4[[#This Row],[A ID]],Assets[#All],3,FALSE)</f>
        <v>Smart medic app (Stryker Admin Web Application)</v>
      </c>
      <c r="H37" s="49" t="s">
        <v>275</v>
      </c>
      <c r="I37" s="49"/>
      <c r="J37" s="87" t="s">
        <v>78</v>
      </c>
      <c r="K37" s="87" t="s">
        <v>78</v>
      </c>
      <c r="L37" s="87" t="s">
        <v>66</v>
      </c>
      <c r="M37" s="196" t="s">
        <v>80</v>
      </c>
      <c r="N37" s="157" t="s">
        <v>66</v>
      </c>
      <c r="O37" s="157" t="s">
        <v>66</v>
      </c>
      <c r="P37" s="196" t="s">
        <v>77</v>
      </c>
      <c r="Q37" s="196" t="s">
        <v>75</v>
      </c>
      <c r="R3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198">
        <f>(1 - ((1 - VLOOKUP(Table4[[#This Row],[Confidentiality]],'Reference - CVSSv3.0'!$B$15:$C$17,2,FALSE)) * (1 - VLOOKUP(Table4[[#This Row],[Integrity]],'Reference - CVSSv3.0'!$B$15:$C$17,2,FALSE)) *  (1 - VLOOKUP(Table4[[#This Row],[Availability]],'Reference - CVSSv3.0'!$B$15:$C$17,2,FALSE))))</f>
        <v>0.56000000000000005</v>
      </c>
      <c r="T37" s="198">
        <f>IF(Table4[[#This Row],[Scope]]="Unchanged",6.42*Table4[[#This Row],[ISC Base]],IF(Table4[[#This Row],[Scope]]="Changed",7.52*(Table4[[#This Row],[ISC Base]] - 0.029) - 3.25 * POWER(Table4[[#This Row],[ISC Base]] - 0.02,15),NA()))</f>
        <v>3.5952000000000002</v>
      </c>
      <c r="U37" s="198">
        <f>IF(Table4[[#This Row],[Impact Sub Score]]&lt;=0,0,IF(Table4[[#This Row],[Scope]]="Unchanged",ROUNDUP(MIN((Table4[[#This Row],[Impact Sub Score]]+Table4[[#This Row],[Exploitability Sub Score]]),10),1),IF(Table4[[#This Row],[Scope]]="Changed",ROUNDUP(MIN((1.08*(Table4[[#This Row],[Impact Sub Score]]+Table4[[#This Row],[Exploitability Sub Score]])),10),1),NA())))</f>
        <v>4</v>
      </c>
      <c r="V37" s="182" t="s">
        <v>56</v>
      </c>
      <c r="W37" s="198">
        <f>VLOOKUP(Table4[[#This Row],[Threat Event Initiation]],NIST_Scale_LOAI[],2,FALSE)</f>
        <v>0.5</v>
      </c>
      <c r="X3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49" t="s">
        <v>357</v>
      </c>
      <c r="AA37" s="49" t="s">
        <v>358</v>
      </c>
      <c r="AB37" s="200"/>
      <c r="AC37" s="187"/>
      <c r="AD37" s="187"/>
      <c r="AE37" s="187"/>
      <c r="AF37" s="196"/>
      <c r="AG37" s="196"/>
      <c r="AH37" s="196"/>
      <c r="AI37" s="196"/>
      <c r="AJ37" s="201"/>
      <c r="AK3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198" t="e">
        <f>(1 - ((1 - VLOOKUP(Table4[[#This Row],[ConfidentialityP]],'Reference - CVSSv3.0'!$B$15:$C$17,2,FALSE)) * (1 - VLOOKUP(Table4[[#This Row],[IntegrityP]],'Reference - CVSSv3.0'!$B$15:$C$17,2,FALSE)) *  (1 - VLOOKUP(Table4[[#This Row],[AvailabilityP]],'Reference - CVSSv3.0'!$B$15:$C$17,2,FALSE))))</f>
        <v>#N/A</v>
      </c>
      <c r="AM37" s="198" t="e">
        <f>IF(Table4[[#This Row],[ScopeP]]="Unchanged",6.42*Table4[[#This Row],[ISC BaseP]],IF(Table4[[#This Row],[ScopeP]]="Changed",7.52*(Table4[[#This Row],[ISC BaseP]] - 0.029) - 3.25 * POWER(Table4[[#This Row],[ISC BaseP]] - 0.02,15),NA()))</f>
        <v>#N/A</v>
      </c>
      <c r="AN3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187"/>
    </row>
    <row r="38" spans="1:43" s="53" customFormat="1" ht="112" x14ac:dyDescent="0.35">
      <c r="A38" s="70">
        <v>34</v>
      </c>
      <c r="B38" s="182" t="s">
        <v>127</v>
      </c>
      <c r="C38" s="195" t="str">
        <f>IF(VLOOKUP(Table4[[#This Row],[T ID]],Table5[#All],5,FALSE)="No","Not in scope",VLOOKUP(Table4[[#This Row],[T ID]],Table5[#All],2,FALSE))</f>
        <v>Deliver directed malware
(CAPEC-185)</v>
      </c>
      <c r="D38" s="212" t="s">
        <v>143</v>
      </c>
      <c r="E38" s="195" t="str">
        <f>IF(VLOOKUP(Table4[[#This Row],[V ID]],Vulnerabilities[#All],3,FALSE)="No","Not in scope",VLOOKUP(Table4[[#This Row],[V ID]],Vulnerabilities[#All],2,FALSE))</f>
        <v>InSecure Configuration for Software/OS on Mobile Devices, Laptops, Workstations, and Servers</v>
      </c>
      <c r="F38" s="216" t="s">
        <v>112</v>
      </c>
      <c r="G38" s="195" t="str">
        <f>VLOOKUP(Table4[[#This Row],[A ID]],Assets[#All],3,FALSE)</f>
        <v>Tablet Resources - web cam, microphone, OTG devices, Removable USB, Tablet Application, Network interfaces (Bluetooth, Wifi)</v>
      </c>
      <c r="H38" s="49" t="s">
        <v>275</v>
      </c>
      <c r="I38" s="49"/>
      <c r="J38" s="87" t="s">
        <v>57</v>
      </c>
      <c r="K38" s="87" t="s">
        <v>57</v>
      </c>
      <c r="L38" s="87" t="s">
        <v>57</v>
      </c>
      <c r="M38" s="196" t="s">
        <v>80</v>
      </c>
      <c r="N38" s="157" t="s">
        <v>57</v>
      </c>
      <c r="O38" s="157" t="s">
        <v>57</v>
      </c>
      <c r="P38" s="196" t="s">
        <v>77</v>
      </c>
      <c r="Q38" s="196" t="s">
        <v>75</v>
      </c>
      <c r="R3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198">
        <f>(1 - ((1 - VLOOKUP(Table4[[#This Row],[Confidentiality]],'Reference - CVSSv3.0'!$B$15:$C$17,2,FALSE)) * (1 - VLOOKUP(Table4[[#This Row],[Integrity]],'Reference - CVSSv3.0'!$B$15:$C$17,2,FALSE)) *  (1 - VLOOKUP(Table4[[#This Row],[Availability]],'Reference - CVSSv3.0'!$B$15:$C$17,2,FALSE))))</f>
        <v>0.52544799999999992</v>
      </c>
      <c r="T38" s="198">
        <f>IF(Table4[[#This Row],[Scope]]="Unchanged",6.42*Table4[[#This Row],[ISC Base]],IF(Table4[[#This Row],[Scope]]="Changed",7.52*(Table4[[#This Row],[ISC Base]] - 0.029) - 3.25 * POWER(Table4[[#This Row],[ISC Base]] - 0.02,15),NA()))</f>
        <v>3.3733761599999994</v>
      </c>
      <c r="U38"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182" t="s">
        <v>57</v>
      </c>
      <c r="W38" s="198">
        <f>VLOOKUP(Table4[[#This Row],[Threat Event Initiation]],NIST_Scale_LOAI[],2,FALSE)</f>
        <v>0.2</v>
      </c>
      <c r="X3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49" t="s">
        <v>345</v>
      </c>
      <c r="AA38" s="49" t="s">
        <v>346</v>
      </c>
      <c r="AB38" s="200"/>
      <c r="AC38" s="187"/>
      <c r="AD38" s="187"/>
      <c r="AE38" s="187"/>
      <c r="AF38" s="196"/>
      <c r="AG38" s="196"/>
      <c r="AH38" s="196"/>
      <c r="AI38" s="196"/>
      <c r="AJ38" s="201"/>
      <c r="AK3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198" t="e">
        <f>(1 - ((1 - VLOOKUP(Table4[[#This Row],[ConfidentialityP]],'Reference - CVSSv3.0'!$B$15:$C$17,2,FALSE)) * (1 - VLOOKUP(Table4[[#This Row],[IntegrityP]],'Reference - CVSSv3.0'!$B$15:$C$17,2,FALSE)) *  (1 - VLOOKUP(Table4[[#This Row],[AvailabilityP]],'Reference - CVSSv3.0'!$B$15:$C$17,2,FALSE))))</f>
        <v>#N/A</v>
      </c>
      <c r="AM38" s="198" t="e">
        <f>IF(Table4[[#This Row],[ScopeP]]="Unchanged",6.42*Table4[[#This Row],[ISC BaseP]],IF(Table4[[#This Row],[ScopeP]]="Changed",7.52*(Table4[[#This Row],[ISC BaseP]] - 0.029) - 3.25 * POWER(Table4[[#This Row],[ISC BaseP]] - 0.02,15),NA()))</f>
        <v>#N/A</v>
      </c>
      <c r="AN3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187"/>
    </row>
    <row r="39" spans="1:43" s="53" customFormat="1" ht="112" x14ac:dyDescent="0.35">
      <c r="A39" s="70">
        <v>35</v>
      </c>
      <c r="B39" s="182" t="s">
        <v>127</v>
      </c>
      <c r="C39" s="85" t="str">
        <f>IF(VLOOKUP(Table4[[#This Row],[T ID]],Table5[#All],5,FALSE)="No","Not in scope",VLOOKUP(Table4[[#This Row],[T ID]],Table5[#All],2,FALSE))</f>
        <v>Deliver directed malware
(CAPEC-185)</v>
      </c>
      <c r="D39" s="212" t="s">
        <v>245</v>
      </c>
      <c r="E39" s="85" t="str">
        <f>IF(VLOOKUP(Table4[[#This Row],[V ID]],Vulnerabilities[#All],3,FALSE)="No","Not in scope",VLOOKUP(Table4[[#This Row],[V ID]],Vulnerabilities[#All],2,FALSE))</f>
        <v>Unencrypted data at rest in all possible locations</v>
      </c>
      <c r="F39" s="215" t="s">
        <v>112</v>
      </c>
      <c r="G39" s="86" t="str">
        <f>VLOOKUP(Table4[[#This Row],[A ID]],Assets[#All],3,FALSE)</f>
        <v>Tablet Resources - web cam, microphone, OTG devices, Removable USB, Tablet Application, Network interfaces (Bluetooth, Wifi)</v>
      </c>
      <c r="H39" s="49" t="s">
        <v>275</v>
      </c>
      <c r="I39" s="49"/>
      <c r="J39" s="87" t="s">
        <v>57</v>
      </c>
      <c r="K39" s="87" t="s">
        <v>57</v>
      </c>
      <c r="L39" s="87" t="s">
        <v>57</v>
      </c>
      <c r="M39" s="196" t="s">
        <v>80</v>
      </c>
      <c r="N39" s="157" t="s">
        <v>57</v>
      </c>
      <c r="O39" s="157" t="s">
        <v>57</v>
      </c>
      <c r="P39" s="196" t="s">
        <v>78</v>
      </c>
      <c r="Q39" s="196" t="s">
        <v>75</v>
      </c>
      <c r="R39"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161">
        <f>(1 - ((1 - VLOOKUP(Table4[[#This Row],[Confidentiality]],'Reference - CVSSv3.0'!$B$15:$C$17,2,FALSE)) * (1 - VLOOKUP(Table4[[#This Row],[Integrity]],'Reference - CVSSv3.0'!$B$15:$C$17,2,FALSE)) *  (1 - VLOOKUP(Table4[[#This Row],[Availability]],'Reference - CVSSv3.0'!$B$15:$C$17,2,FALSE))))</f>
        <v>0.52544799999999992</v>
      </c>
      <c r="T39" s="161">
        <f>IF(Table4[[#This Row],[Scope]]="Unchanged",6.42*Table4[[#This Row],[ISC Base]],IF(Table4[[#This Row],[Scope]]="Changed",7.52*(Table4[[#This Row],[ISC Base]] - 0.029) - 3.25 * POWER(Table4[[#This Row],[ISC Base]] - 0.02,15),NA()))</f>
        <v>3.3733761599999994</v>
      </c>
      <c r="U39" s="16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182" t="s">
        <v>57</v>
      </c>
      <c r="W39" s="183">
        <f>VLOOKUP(Table4[[#This Row],[Threat Event Initiation]],NIST_Scale_LOAI[],2,FALSE)</f>
        <v>0.2</v>
      </c>
      <c r="X39"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49" t="s">
        <v>345</v>
      </c>
      <c r="AA39" s="49" t="s">
        <v>346</v>
      </c>
      <c r="AB39" s="88"/>
      <c r="AC39" s="87" t="s">
        <v>57</v>
      </c>
      <c r="AD39" s="87" t="s">
        <v>78</v>
      </c>
      <c r="AE39" s="87" t="s">
        <v>57</v>
      </c>
      <c r="AF39" s="157" t="s">
        <v>76</v>
      </c>
      <c r="AG39" s="157" t="s">
        <v>57</v>
      </c>
      <c r="AH39" s="157" t="s">
        <v>57</v>
      </c>
      <c r="AI39" s="157" t="s">
        <v>78</v>
      </c>
      <c r="AJ39" s="157" t="s">
        <v>75</v>
      </c>
      <c r="AK39"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0.66711876000000003</v>
      </c>
      <c r="AL39" s="161">
        <f>(1 - ((1 - VLOOKUP(Table4[[#This Row],[ConfidentialityP]],'Reference - CVSSv3.0'!$B$15:$C$17,2,FALSE)) * (1 - VLOOKUP(Table4[[#This Row],[IntegrityP]],'Reference - CVSSv3.0'!$B$15:$C$17,2,FALSE)) *  (1 - VLOOKUP(Table4[[#This Row],[AvailabilityP]],'Reference - CVSSv3.0'!$B$15:$C$17,2,FALSE))))</f>
        <v>0.39159999999999995</v>
      </c>
      <c r="AM39" s="161">
        <f>IF(Table4[[#This Row],[ScopeP]]="Unchanged",6.42*Table4[[#This Row],[ISC BaseP]],IF(Table4[[#This Row],[ScopeP]]="Changed",7.52*(Table4[[#This Row],[ISC BaseP]] - 0.029) - 3.25 * POWER(Table4[[#This Row],[ISC BaseP]] - 0.02,15),NA()))</f>
        <v>2.5140719999999996</v>
      </c>
      <c r="AN39" s="16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39"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39"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9" s="59"/>
    </row>
    <row r="40" spans="1:43" s="53" customFormat="1" ht="112" x14ac:dyDescent="0.35">
      <c r="A40" s="70">
        <v>36</v>
      </c>
      <c r="B40" s="182" t="s">
        <v>127</v>
      </c>
      <c r="C40" s="195" t="str">
        <f>IF(VLOOKUP(Table4[[#This Row],[T ID]],Table5[#All],5,FALSE)="No","Not in scope",VLOOKUP(Table4[[#This Row],[T ID]],Table5[#All],2,FALSE))</f>
        <v>Deliver directed malware
(CAPEC-185)</v>
      </c>
      <c r="D40" s="212" t="s">
        <v>245</v>
      </c>
      <c r="E40" s="195" t="str">
        <f>IF(VLOOKUP(Table4[[#This Row],[V ID]],Vulnerabilities[#All],3,FALSE)="No","Not in scope",VLOOKUP(Table4[[#This Row],[V ID]],Vulnerabilities[#All],2,FALSE))</f>
        <v>Unencrypted data at rest in all possible locations</v>
      </c>
      <c r="F40" s="213" t="s">
        <v>113</v>
      </c>
      <c r="G40" s="195" t="str">
        <f>VLOOKUP(Table4[[#This Row],[A ID]],Assets[#All],3,FALSE)</f>
        <v>Tablet OS/network details &amp; Tablet Application</v>
      </c>
      <c r="H40" s="49" t="s">
        <v>275</v>
      </c>
      <c r="I40" s="49"/>
      <c r="J40" s="87" t="s">
        <v>57</v>
      </c>
      <c r="K40" s="87" t="s">
        <v>57</v>
      </c>
      <c r="L40" s="87" t="s">
        <v>57</v>
      </c>
      <c r="M40" s="196" t="s">
        <v>80</v>
      </c>
      <c r="N40" s="157" t="s">
        <v>57</v>
      </c>
      <c r="O40" s="157" t="s">
        <v>57</v>
      </c>
      <c r="P40" s="196" t="s">
        <v>78</v>
      </c>
      <c r="Q40" s="196" t="s">
        <v>75</v>
      </c>
      <c r="R4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198">
        <f>(1 - ((1 - VLOOKUP(Table4[[#This Row],[Confidentiality]],'Reference - CVSSv3.0'!$B$15:$C$17,2,FALSE)) * (1 - VLOOKUP(Table4[[#This Row],[Integrity]],'Reference - CVSSv3.0'!$B$15:$C$17,2,FALSE)) *  (1 - VLOOKUP(Table4[[#This Row],[Availability]],'Reference - CVSSv3.0'!$B$15:$C$17,2,FALSE))))</f>
        <v>0.52544799999999992</v>
      </c>
      <c r="T40" s="198">
        <f>IF(Table4[[#This Row],[Scope]]="Unchanged",6.42*Table4[[#This Row],[ISC Base]],IF(Table4[[#This Row],[Scope]]="Changed",7.52*(Table4[[#This Row],[ISC Base]] - 0.029) - 3.25 * POWER(Table4[[#This Row],[ISC Base]] - 0.02,15),NA()))</f>
        <v>3.3733761599999994</v>
      </c>
      <c r="U40"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182" t="s">
        <v>57</v>
      </c>
      <c r="W40" s="198">
        <f>VLOOKUP(Table4[[#This Row],[Threat Event Initiation]],NIST_Scale_LOAI[],2,FALSE)</f>
        <v>0.2</v>
      </c>
      <c r="X4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49" t="s">
        <v>345</v>
      </c>
      <c r="AA40" s="49" t="s">
        <v>346</v>
      </c>
      <c r="AB40" s="200"/>
      <c r="AC40" s="187"/>
      <c r="AD40" s="187"/>
      <c r="AE40" s="187"/>
      <c r="AF40" s="196"/>
      <c r="AG40" s="196"/>
      <c r="AH40" s="196"/>
      <c r="AI40" s="196"/>
      <c r="AJ40" s="201"/>
      <c r="AK4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198" t="e">
        <f>(1 - ((1 - VLOOKUP(Table4[[#This Row],[ConfidentialityP]],'Reference - CVSSv3.0'!$B$15:$C$17,2,FALSE)) * (1 - VLOOKUP(Table4[[#This Row],[IntegrityP]],'Reference - CVSSv3.0'!$B$15:$C$17,2,FALSE)) *  (1 - VLOOKUP(Table4[[#This Row],[AvailabilityP]],'Reference - CVSSv3.0'!$B$15:$C$17,2,FALSE))))</f>
        <v>#N/A</v>
      </c>
      <c r="AM40" s="198" t="e">
        <f>IF(Table4[[#This Row],[ScopeP]]="Unchanged",6.42*Table4[[#This Row],[ISC BaseP]],IF(Table4[[#This Row],[ScopeP]]="Changed",7.52*(Table4[[#This Row],[ISC BaseP]] - 0.029) - 3.25 * POWER(Table4[[#This Row],[ISC BaseP]] - 0.02,15),NA()))</f>
        <v>#N/A</v>
      </c>
      <c r="AN4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187"/>
    </row>
    <row r="41" spans="1:43" s="53" customFormat="1" ht="154" x14ac:dyDescent="0.35">
      <c r="A41" s="70">
        <v>37</v>
      </c>
      <c r="B41" s="182" t="s">
        <v>127</v>
      </c>
      <c r="C41" s="195" t="str">
        <f>IF(VLOOKUP(Table4[[#This Row],[T ID]],Table5[#All],5,FALSE)="No","Not in scope",VLOOKUP(Table4[[#This Row],[T ID]],Table5[#All],2,FALSE))</f>
        <v>Deliver directed malware
(CAPEC-185)</v>
      </c>
      <c r="D41" s="212" t="s">
        <v>245</v>
      </c>
      <c r="E41" s="195" t="str">
        <f>IF(VLOOKUP(Table4[[#This Row],[V ID]],Vulnerabilities[#All],3,FALSE)="No","Not in scope",VLOOKUP(Table4[[#This Row],[V ID]],Vulnerabilities[#All],2,FALSE))</f>
        <v>Unencrypted data at rest in all possible locations</v>
      </c>
      <c r="F41" s="216" t="s">
        <v>108</v>
      </c>
      <c r="G41" s="195" t="str">
        <f>VLOOKUP(Table4[[#This Row],[A ID]],Assets[#All],3,FALSE)</f>
        <v>Smart medic app (Stryker Admin Web Application)</v>
      </c>
      <c r="H41" s="49" t="s">
        <v>275</v>
      </c>
      <c r="I41" s="49"/>
      <c r="J41" s="87" t="s">
        <v>57</v>
      </c>
      <c r="K41" s="87" t="s">
        <v>57</v>
      </c>
      <c r="L41" s="87" t="s">
        <v>57</v>
      </c>
      <c r="M41" s="196" t="s">
        <v>80</v>
      </c>
      <c r="N41" s="157" t="s">
        <v>57</v>
      </c>
      <c r="O41" s="157" t="s">
        <v>57</v>
      </c>
      <c r="P41" s="196" t="s">
        <v>78</v>
      </c>
      <c r="Q41" s="196" t="s">
        <v>75</v>
      </c>
      <c r="R4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198">
        <f>(1 - ((1 - VLOOKUP(Table4[[#This Row],[Confidentiality]],'Reference - CVSSv3.0'!$B$15:$C$17,2,FALSE)) * (1 - VLOOKUP(Table4[[#This Row],[Integrity]],'Reference - CVSSv3.0'!$B$15:$C$17,2,FALSE)) *  (1 - VLOOKUP(Table4[[#This Row],[Availability]],'Reference - CVSSv3.0'!$B$15:$C$17,2,FALSE))))</f>
        <v>0.52544799999999992</v>
      </c>
      <c r="T41" s="198">
        <f>IF(Table4[[#This Row],[Scope]]="Unchanged",6.42*Table4[[#This Row],[ISC Base]],IF(Table4[[#This Row],[Scope]]="Changed",7.52*(Table4[[#This Row],[ISC Base]] - 0.029) - 3.25 * POWER(Table4[[#This Row],[ISC Base]] - 0.02,15),NA()))</f>
        <v>3.3733761599999994</v>
      </c>
      <c r="U4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182" t="s">
        <v>57</v>
      </c>
      <c r="W41" s="198">
        <f>VLOOKUP(Table4[[#This Row],[Threat Event Initiation]],NIST_Scale_LOAI[],2,FALSE)</f>
        <v>0.2</v>
      </c>
      <c r="X4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49" t="s">
        <v>355</v>
      </c>
      <c r="AA41" s="49" t="s">
        <v>356</v>
      </c>
      <c r="AB41" s="200"/>
      <c r="AC41" s="187"/>
      <c r="AD41" s="187"/>
      <c r="AE41" s="187"/>
      <c r="AF41" s="196"/>
      <c r="AG41" s="196"/>
      <c r="AH41" s="196"/>
      <c r="AI41" s="196"/>
      <c r="AJ41" s="201"/>
      <c r="AK4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198" t="e">
        <f>(1 - ((1 - VLOOKUP(Table4[[#This Row],[ConfidentialityP]],'Reference - CVSSv3.0'!$B$15:$C$17,2,FALSE)) * (1 - VLOOKUP(Table4[[#This Row],[IntegrityP]],'Reference - CVSSv3.0'!$B$15:$C$17,2,FALSE)) *  (1 - VLOOKUP(Table4[[#This Row],[AvailabilityP]],'Reference - CVSSv3.0'!$B$15:$C$17,2,FALSE))))</f>
        <v>#N/A</v>
      </c>
      <c r="AM41" s="198" t="e">
        <f>IF(Table4[[#This Row],[ScopeP]]="Unchanged",6.42*Table4[[#This Row],[ISC BaseP]],IF(Table4[[#This Row],[ScopeP]]="Changed",7.52*(Table4[[#This Row],[ISC BaseP]] - 0.029) - 3.25 * POWER(Table4[[#This Row],[ISC BaseP]] - 0.02,15),NA()))</f>
        <v>#N/A</v>
      </c>
      <c r="AN4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187"/>
    </row>
    <row r="42" spans="1:43" s="53" customFormat="1" ht="112" x14ac:dyDescent="0.35">
      <c r="A42" s="70">
        <v>38</v>
      </c>
      <c r="B42" s="182" t="s">
        <v>128</v>
      </c>
      <c r="C42" s="195" t="str">
        <f>IF(VLOOKUP(Table4[[#This Row],[T ID]],Table5[#All],5,FALSE)="No","Not in scope",VLOOKUP(Table4[[#This Row],[T ID]],Table5[#All],2,FALSE))</f>
        <v>Gaining Access
([S]TRID[E])</v>
      </c>
      <c r="D42" s="212" t="s">
        <v>241</v>
      </c>
      <c r="E42" s="195" t="str">
        <f>IF(VLOOKUP(Table4[[#This Row],[V ID]],Vulnerabilities[#All],3,FALSE)="No","Not in scope",VLOOKUP(Table4[[#This Row],[V ID]],Vulnerabilities[#All],2,FALSE))</f>
        <v>Unprotected network port(s) on network devices and connection points</v>
      </c>
      <c r="F42" s="213" t="s">
        <v>113</v>
      </c>
      <c r="G42" s="195" t="str">
        <f>VLOOKUP(Table4[[#This Row],[A ID]],Assets[#All],3,FALSE)</f>
        <v>Tablet OS/network details &amp; Tablet Application</v>
      </c>
      <c r="H42" s="49" t="s">
        <v>276</v>
      </c>
      <c r="I42" s="49"/>
      <c r="J42" s="87" t="s">
        <v>78</v>
      </c>
      <c r="K42" s="87" t="s">
        <v>78</v>
      </c>
      <c r="L42" s="87" t="s">
        <v>57</v>
      </c>
      <c r="M42" s="196" t="s">
        <v>79</v>
      </c>
      <c r="N42" s="157" t="s">
        <v>57</v>
      </c>
      <c r="O42" s="157" t="s">
        <v>57</v>
      </c>
      <c r="P42" s="196" t="s">
        <v>78</v>
      </c>
      <c r="Q42" s="196" t="s">
        <v>75</v>
      </c>
      <c r="R4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198">
        <f>(1 - ((1 - VLOOKUP(Table4[[#This Row],[Confidentiality]],'Reference - CVSSv3.0'!$B$15:$C$17,2,FALSE)) * (1 - VLOOKUP(Table4[[#This Row],[Integrity]],'Reference - CVSSv3.0'!$B$15:$C$17,2,FALSE)) *  (1 - VLOOKUP(Table4[[#This Row],[Availability]],'Reference - CVSSv3.0'!$B$15:$C$17,2,FALSE))))</f>
        <v>0.21999999999999997</v>
      </c>
      <c r="T42" s="198">
        <f>IF(Table4[[#This Row],[Scope]]="Unchanged",6.42*Table4[[#This Row],[ISC Base]],IF(Table4[[#This Row],[Scope]]="Changed",7.52*(Table4[[#This Row],[ISC Base]] - 0.029) - 3.25 * POWER(Table4[[#This Row],[ISC Base]] - 0.02,15),NA()))</f>
        <v>1.4123999999999999</v>
      </c>
      <c r="U42" s="198">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182" t="s">
        <v>57</v>
      </c>
      <c r="W42" s="198">
        <f>VLOOKUP(Table4[[#This Row],[Threat Event Initiation]],NIST_Scale_LOAI[],2,FALSE)</f>
        <v>0.2</v>
      </c>
      <c r="X4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49" t="s">
        <v>345</v>
      </c>
      <c r="AA42" s="49" t="s">
        <v>346</v>
      </c>
      <c r="AB42" s="200"/>
      <c r="AC42" s="187"/>
      <c r="AD42" s="187"/>
      <c r="AE42" s="187"/>
      <c r="AF42" s="196"/>
      <c r="AG42" s="196"/>
      <c r="AH42" s="196"/>
      <c r="AI42" s="196"/>
      <c r="AJ42" s="201"/>
      <c r="AK4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198" t="e">
        <f>(1 - ((1 - VLOOKUP(Table4[[#This Row],[ConfidentialityP]],'Reference - CVSSv3.0'!$B$15:$C$17,2,FALSE)) * (1 - VLOOKUP(Table4[[#This Row],[IntegrityP]],'Reference - CVSSv3.0'!$B$15:$C$17,2,FALSE)) *  (1 - VLOOKUP(Table4[[#This Row],[AvailabilityP]],'Reference - CVSSv3.0'!$B$15:$C$17,2,FALSE))))</f>
        <v>#N/A</v>
      </c>
      <c r="AM42" s="198" t="e">
        <f>IF(Table4[[#This Row],[ScopeP]]="Unchanged",6.42*Table4[[#This Row],[ISC BaseP]],IF(Table4[[#This Row],[ScopeP]]="Changed",7.52*(Table4[[#This Row],[ISC BaseP]] - 0.029) - 3.25 * POWER(Table4[[#This Row],[ISC BaseP]] - 0.02,15),NA()))</f>
        <v>#N/A</v>
      </c>
      <c r="AN4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187"/>
    </row>
    <row r="43" spans="1:43" s="53" customFormat="1" ht="182" x14ac:dyDescent="0.35">
      <c r="A43" s="70">
        <v>39</v>
      </c>
      <c r="B43" s="182" t="s">
        <v>128</v>
      </c>
      <c r="C43" s="195" t="str">
        <f>IF(VLOOKUP(Table4[[#This Row],[T ID]],Table5[#All],5,FALSE)="No","Not in scope",VLOOKUP(Table4[[#This Row],[T ID]],Table5[#All],2,FALSE))</f>
        <v>Gaining Access
([S]TRID[E])</v>
      </c>
      <c r="D43" s="212" t="s">
        <v>241</v>
      </c>
      <c r="E43" s="195" t="str">
        <f>IF(VLOOKUP(Table4[[#This Row],[V ID]],Vulnerabilities[#All],3,FALSE)="No","Not in scope",VLOOKUP(Table4[[#This Row],[V ID]],Vulnerabilities[#All],2,FALSE))</f>
        <v>Unprotected network port(s) on network devices and connection points</v>
      </c>
      <c r="F43" s="216" t="s">
        <v>108</v>
      </c>
      <c r="G43" s="195" t="str">
        <f>VLOOKUP(Table4[[#This Row],[A ID]],Assets[#All],3,FALSE)</f>
        <v>Smart medic app (Stryker Admin Web Application)</v>
      </c>
      <c r="H43" s="49" t="s">
        <v>276</v>
      </c>
      <c r="I43" s="49"/>
      <c r="J43" s="87" t="s">
        <v>78</v>
      </c>
      <c r="K43" s="87" t="s">
        <v>57</v>
      </c>
      <c r="L43" s="87" t="s">
        <v>66</v>
      </c>
      <c r="M43" s="196" t="s">
        <v>79</v>
      </c>
      <c r="N43" s="157" t="s">
        <v>57</v>
      </c>
      <c r="O43" s="157" t="s">
        <v>66</v>
      </c>
      <c r="P43" s="196" t="s">
        <v>78</v>
      </c>
      <c r="Q43" s="196" t="s">
        <v>75</v>
      </c>
      <c r="R4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198">
        <f>(1 - ((1 - VLOOKUP(Table4[[#This Row],[Confidentiality]],'Reference - CVSSv3.0'!$B$15:$C$17,2,FALSE)) * (1 - VLOOKUP(Table4[[#This Row],[Integrity]],'Reference - CVSSv3.0'!$B$15:$C$17,2,FALSE)) *  (1 - VLOOKUP(Table4[[#This Row],[Availability]],'Reference - CVSSv3.0'!$B$15:$C$17,2,FALSE))))</f>
        <v>0.65680000000000005</v>
      </c>
      <c r="T43" s="198">
        <f>IF(Table4[[#This Row],[Scope]]="Unchanged",6.42*Table4[[#This Row],[ISC Base]],IF(Table4[[#This Row],[Scope]]="Changed",7.52*(Table4[[#This Row],[ISC Base]] - 0.029) - 3.25 * POWER(Table4[[#This Row],[ISC Base]] - 0.02,15),NA()))</f>
        <v>4.2166560000000004</v>
      </c>
      <c r="U43"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182" t="s">
        <v>57</v>
      </c>
      <c r="W43" s="198">
        <f>VLOOKUP(Table4[[#This Row],[Threat Event Initiation]],NIST_Scale_LOAI[],2,FALSE)</f>
        <v>0.2</v>
      </c>
      <c r="X4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49" t="s">
        <v>347</v>
      </c>
      <c r="AA43" s="49" t="s">
        <v>348</v>
      </c>
      <c r="AB43" s="200"/>
      <c r="AC43" s="187"/>
      <c r="AD43" s="187"/>
      <c r="AE43" s="187"/>
      <c r="AF43" s="196"/>
      <c r="AG43" s="196"/>
      <c r="AH43" s="196"/>
      <c r="AI43" s="196"/>
      <c r="AJ43" s="201"/>
      <c r="AK4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198" t="e">
        <f>(1 - ((1 - VLOOKUP(Table4[[#This Row],[ConfidentialityP]],'Reference - CVSSv3.0'!$B$15:$C$17,2,FALSE)) * (1 - VLOOKUP(Table4[[#This Row],[IntegrityP]],'Reference - CVSSv3.0'!$B$15:$C$17,2,FALSE)) *  (1 - VLOOKUP(Table4[[#This Row],[AvailabilityP]],'Reference - CVSSv3.0'!$B$15:$C$17,2,FALSE))))</f>
        <v>#N/A</v>
      </c>
      <c r="AM43" s="198" t="e">
        <f>IF(Table4[[#This Row],[ScopeP]]="Unchanged",6.42*Table4[[#This Row],[ISC BaseP]],IF(Table4[[#This Row],[ScopeP]]="Changed",7.52*(Table4[[#This Row],[ISC BaseP]] - 0.029) - 3.25 * POWER(Table4[[#This Row],[ISC BaseP]] - 0.02,15),NA()))</f>
        <v>#N/A</v>
      </c>
      <c r="AN4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187"/>
    </row>
    <row r="44" spans="1:43" s="53" customFormat="1" ht="112" x14ac:dyDescent="0.35">
      <c r="A44" s="70">
        <v>40</v>
      </c>
      <c r="B44" s="182" t="s">
        <v>128</v>
      </c>
      <c r="C44" s="85" t="str">
        <f>IF(VLOOKUP(Table4[[#This Row],[T ID]],Table5[#All],5,FALSE)="No","Not in scope",VLOOKUP(Table4[[#This Row],[T ID]],Table5[#All],2,FALSE))</f>
        <v>Gaining Access
([S]TRID[E])</v>
      </c>
      <c r="D44" s="212" t="s">
        <v>241</v>
      </c>
      <c r="E44" s="85" t="str">
        <f>IF(VLOOKUP(Table4[[#This Row],[V ID]],Vulnerabilities[#All],3,FALSE)="No","Not in scope",VLOOKUP(Table4[[#This Row],[V ID]],Vulnerabilities[#All],2,FALSE))</f>
        <v>Unprotected network port(s) on network devices and connection points</v>
      </c>
      <c r="F44" s="215" t="s">
        <v>112</v>
      </c>
      <c r="G44" s="86" t="str">
        <f>VLOOKUP(Table4[[#This Row],[A ID]],Assets[#All],3,FALSE)</f>
        <v>Tablet Resources - web cam, microphone, OTG devices, Removable USB, Tablet Application, Network interfaces (Bluetooth, Wifi)</v>
      </c>
      <c r="H44" s="49" t="s">
        <v>276</v>
      </c>
      <c r="I44" s="49"/>
      <c r="J44" s="87" t="s">
        <v>78</v>
      </c>
      <c r="K44" s="87" t="s">
        <v>57</v>
      </c>
      <c r="L44" s="87" t="s">
        <v>78</v>
      </c>
      <c r="M44" s="196" t="s">
        <v>79</v>
      </c>
      <c r="N44" s="157" t="s">
        <v>57</v>
      </c>
      <c r="O44" s="157" t="s">
        <v>57</v>
      </c>
      <c r="P44" s="196" t="s">
        <v>78</v>
      </c>
      <c r="Q44" s="196" t="s">
        <v>75</v>
      </c>
      <c r="R44"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161">
        <f>(1 - ((1 - VLOOKUP(Table4[[#This Row],[Confidentiality]],'Reference - CVSSv3.0'!$B$15:$C$17,2,FALSE)) * (1 - VLOOKUP(Table4[[#This Row],[Integrity]],'Reference - CVSSv3.0'!$B$15:$C$17,2,FALSE)) *  (1 - VLOOKUP(Table4[[#This Row],[Availability]],'Reference - CVSSv3.0'!$B$15:$C$17,2,FALSE))))</f>
        <v>0.21999999999999997</v>
      </c>
      <c r="T44" s="161">
        <f>IF(Table4[[#This Row],[Scope]]="Unchanged",6.42*Table4[[#This Row],[ISC Base]],IF(Table4[[#This Row],[Scope]]="Changed",7.52*(Table4[[#This Row],[ISC Base]] - 0.029) - 3.25 * POWER(Table4[[#This Row],[ISC Base]] - 0.02,15),NA()))</f>
        <v>1.4123999999999999</v>
      </c>
      <c r="U44" s="16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182" t="s">
        <v>57</v>
      </c>
      <c r="W44" s="183">
        <f>VLOOKUP(Table4[[#This Row],[Threat Event Initiation]],NIST_Scale_LOAI[],2,FALSE)</f>
        <v>0.2</v>
      </c>
      <c r="X44"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49" t="s">
        <v>345</v>
      </c>
      <c r="AA44" s="49" t="s">
        <v>346</v>
      </c>
      <c r="AB44" s="88"/>
      <c r="AC44" s="87" t="s">
        <v>57</v>
      </c>
      <c r="AD44" s="87" t="s">
        <v>78</v>
      </c>
      <c r="AE44" s="87" t="s">
        <v>78</v>
      </c>
      <c r="AF44" s="157" t="s">
        <v>79</v>
      </c>
      <c r="AG44" s="157" t="s">
        <v>66</v>
      </c>
      <c r="AH44" s="157" t="s">
        <v>78</v>
      </c>
      <c r="AI44" s="157" t="s">
        <v>78</v>
      </c>
      <c r="AJ44" s="157" t="s">
        <v>75</v>
      </c>
      <c r="AK44"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44" s="161">
        <f>(1 - ((1 - VLOOKUP(Table4[[#This Row],[ConfidentialityP]],'Reference - CVSSv3.0'!$B$15:$C$17,2,FALSE)) * (1 - VLOOKUP(Table4[[#This Row],[IntegrityP]],'Reference - CVSSv3.0'!$B$15:$C$17,2,FALSE)) *  (1 - VLOOKUP(Table4[[#This Row],[AvailabilityP]],'Reference - CVSSv3.0'!$B$15:$C$17,2,FALSE))))</f>
        <v>0.21999999999999997</v>
      </c>
      <c r="AM44" s="161">
        <f>IF(Table4[[#This Row],[ScopeP]]="Unchanged",6.42*Table4[[#This Row],[ISC BaseP]],IF(Table4[[#This Row],[ScopeP]]="Changed",7.52*(Table4[[#This Row],[ISC BaseP]] - 0.029) - 3.25 * POWER(Table4[[#This Row],[ISC BaseP]] - 0.02,15),NA()))</f>
        <v>1.4123999999999999</v>
      </c>
      <c r="AN44" s="161">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44"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44"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4" s="59"/>
    </row>
    <row r="45" spans="1:43" s="53" customFormat="1" ht="126" x14ac:dyDescent="0.35">
      <c r="A45" s="70">
        <v>41</v>
      </c>
      <c r="B45" s="182" t="s">
        <v>128</v>
      </c>
      <c r="C45" s="85" t="str">
        <f>IF(VLOOKUP(Table4[[#This Row],[T ID]],Table5[#All],5,FALSE)="No","Not in scope",VLOOKUP(Table4[[#This Row],[T ID]],Table5[#All],2,FALSE))</f>
        <v>Gaining Access
([S]TRID[E])</v>
      </c>
      <c r="D45" s="212" t="s">
        <v>121</v>
      </c>
      <c r="E45" s="85" t="str">
        <f>IF(VLOOKUP(Table4[[#This Row],[V ID]],Vulnerabilities[#All],3,FALSE)="No","Not in scope",VLOOKUP(Table4[[#This Row],[V ID]],Vulnerabilities[#All],2,FALSE))</f>
        <v>Devices with default passwords needs to be checked for bruteforce attacks</v>
      </c>
      <c r="F45" s="213" t="s">
        <v>115</v>
      </c>
      <c r="G45" s="86" t="str">
        <f>VLOOKUP(Table4[[#This Row],[A ID]],Assets[#All],3,FALSE)</f>
        <v>Authentication/Authorisation method of all device(s)/app</v>
      </c>
      <c r="H45" s="49" t="s">
        <v>276</v>
      </c>
      <c r="I45" s="49"/>
      <c r="J45" s="87" t="s">
        <v>57</v>
      </c>
      <c r="K45" s="87" t="s">
        <v>78</v>
      </c>
      <c r="L45" s="87" t="s">
        <v>66</v>
      </c>
      <c r="M45" s="196" t="s">
        <v>76</v>
      </c>
      <c r="N45" s="157" t="s">
        <v>57</v>
      </c>
      <c r="O45" s="157" t="s">
        <v>57</v>
      </c>
      <c r="P45" s="196" t="s">
        <v>78</v>
      </c>
      <c r="Q45" s="196" t="s">
        <v>75</v>
      </c>
      <c r="R45"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161">
        <f>(1 - ((1 - VLOOKUP(Table4[[#This Row],[Confidentiality]],'Reference - CVSSv3.0'!$B$15:$C$17,2,FALSE)) * (1 - VLOOKUP(Table4[[#This Row],[Integrity]],'Reference - CVSSv3.0'!$B$15:$C$17,2,FALSE)) *  (1 - VLOOKUP(Table4[[#This Row],[Availability]],'Reference - CVSSv3.0'!$B$15:$C$17,2,FALSE))))</f>
        <v>0.65680000000000005</v>
      </c>
      <c r="T45" s="161">
        <f>IF(Table4[[#This Row],[Scope]]="Unchanged",6.42*Table4[[#This Row],[ISC Base]],IF(Table4[[#This Row],[Scope]]="Changed",7.52*(Table4[[#This Row],[ISC Base]] - 0.029) - 3.25 * POWER(Table4[[#This Row],[ISC Base]] - 0.02,15),NA()))</f>
        <v>4.2166560000000004</v>
      </c>
      <c r="U45" s="16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182" t="s">
        <v>56</v>
      </c>
      <c r="W45" s="183">
        <f>VLOOKUP(Table4[[#This Row],[Threat Event Initiation]],NIST_Scale_LOAI[],2,FALSE)</f>
        <v>0.5</v>
      </c>
      <c r="X4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49" t="s">
        <v>386</v>
      </c>
      <c r="AA45" s="49" t="s">
        <v>351</v>
      </c>
      <c r="AB45" s="89"/>
      <c r="AC45" s="87"/>
      <c r="AD45" s="87"/>
      <c r="AE45" s="87"/>
      <c r="AF45" s="157"/>
      <c r="AG45" s="157"/>
      <c r="AH45" s="157"/>
      <c r="AI45" s="157"/>
      <c r="AJ45" s="157"/>
      <c r="AK45" s="1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161" t="e">
        <f>(1 - ((1 - VLOOKUP(Table4[[#This Row],[ConfidentialityP]],'Reference - CVSSv3.0'!$B$15:$C$17,2,FALSE)) * (1 - VLOOKUP(Table4[[#This Row],[IntegrityP]],'Reference - CVSSv3.0'!$B$15:$C$17,2,FALSE)) *  (1 - VLOOKUP(Table4[[#This Row],[AvailabilityP]],'Reference - CVSSv3.0'!$B$15:$C$17,2,FALSE))))</f>
        <v>#N/A</v>
      </c>
      <c r="AM45" s="161" t="e">
        <f>IF(Table4[[#This Row],[ScopeP]]="Unchanged",6.42*Table4[[#This Row],[ISC BaseP]],IF(Table4[[#This Row],[ScopeP]]="Changed",7.52*(Table4[[#This Row],[ISC BaseP]] - 0.029) - 3.25 * POWER(Table4[[#This Row],[ISC BaseP]] - 0.02,15),NA()))</f>
        <v>#N/A</v>
      </c>
      <c r="AN45" s="1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1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59"/>
    </row>
    <row r="46" spans="1:43" s="53" customFormat="1" ht="154" customHeight="1" x14ac:dyDescent="0.35">
      <c r="A46" s="70">
        <v>42</v>
      </c>
      <c r="B46" s="182" t="s">
        <v>128</v>
      </c>
      <c r="C46" s="195" t="str">
        <f>IF(VLOOKUP(Table4[[#This Row],[T ID]],Table5[#All],5,FALSE)="No","Not in scope",VLOOKUP(Table4[[#This Row],[T ID]],Table5[#All],2,FALSE))</f>
        <v>Gaining Access
([S]TRID[E])</v>
      </c>
      <c r="D46" s="212" t="s">
        <v>121</v>
      </c>
      <c r="E46" s="195" t="str">
        <f>IF(VLOOKUP(Table4[[#This Row],[V ID]],Vulnerabilities[#All],3,FALSE)="No","Not in scope",VLOOKUP(Table4[[#This Row],[V ID]],Vulnerabilities[#All],2,FALSE))</f>
        <v>Devices with default passwords needs to be checked for bruteforce attacks</v>
      </c>
      <c r="F46" s="216" t="s">
        <v>118</v>
      </c>
      <c r="G46" s="195" t="str">
        <f>VLOOKUP(Table4[[#This Row],[A ID]],Assets[#All],3,FALSE)</f>
        <v>Interface/API Communication</v>
      </c>
      <c r="H46" s="49" t="s">
        <v>276</v>
      </c>
      <c r="I46" s="49"/>
      <c r="J46" s="87" t="s">
        <v>57</v>
      </c>
      <c r="K46" s="87" t="s">
        <v>78</v>
      </c>
      <c r="L46" s="87" t="s">
        <v>57</v>
      </c>
      <c r="M46" s="196" t="s">
        <v>76</v>
      </c>
      <c r="N46" s="157" t="s">
        <v>57</v>
      </c>
      <c r="O46" s="157" t="s">
        <v>57</v>
      </c>
      <c r="P46" s="196" t="s">
        <v>78</v>
      </c>
      <c r="Q46" s="196" t="s">
        <v>75</v>
      </c>
      <c r="R4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198">
        <f>(1 - ((1 - VLOOKUP(Table4[[#This Row],[Confidentiality]],'Reference - CVSSv3.0'!$B$15:$C$17,2,FALSE)) * (1 - VLOOKUP(Table4[[#This Row],[Integrity]],'Reference - CVSSv3.0'!$B$15:$C$17,2,FALSE)) *  (1 - VLOOKUP(Table4[[#This Row],[Availability]],'Reference - CVSSv3.0'!$B$15:$C$17,2,FALSE))))</f>
        <v>0.39159999999999995</v>
      </c>
      <c r="T46" s="198">
        <f>IF(Table4[[#This Row],[Scope]]="Unchanged",6.42*Table4[[#This Row],[ISC Base]],IF(Table4[[#This Row],[Scope]]="Changed",7.52*(Table4[[#This Row],[ISC Base]] - 0.029) - 3.25 * POWER(Table4[[#This Row],[ISC Base]] - 0.02,15),NA()))</f>
        <v>2.5140719999999996</v>
      </c>
      <c r="U46" s="198">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182" t="s">
        <v>57</v>
      </c>
      <c r="W46" s="198">
        <f>VLOOKUP(Table4[[#This Row],[Threat Event Initiation]],NIST_Scale_LOAI[],2,FALSE)</f>
        <v>0.2</v>
      </c>
      <c r="X4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49" t="s">
        <v>387</v>
      </c>
      <c r="AA46" s="49" t="s">
        <v>383</v>
      </c>
      <c r="AB46" s="206"/>
      <c r="AC46" s="187"/>
      <c r="AD46" s="187"/>
      <c r="AE46" s="187"/>
      <c r="AF46" s="196"/>
      <c r="AG46" s="196"/>
      <c r="AH46" s="196"/>
      <c r="AI46" s="196"/>
      <c r="AJ46" s="201"/>
      <c r="AK4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198" t="e">
        <f>(1 - ((1 - VLOOKUP(Table4[[#This Row],[ConfidentialityP]],'Reference - CVSSv3.0'!$B$15:$C$17,2,FALSE)) * (1 - VLOOKUP(Table4[[#This Row],[IntegrityP]],'Reference - CVSSv3.0'!$B$15:$C$17,2,FALSE)) *  (1 - VLOOKUP(Table4[[#This Row],[AvailabilityP]],'Reference - CVSSv3.0'!$B$15:$C$17,2,FALSE))))</f>
        <v>#N/A</v>
      </c>
      <c r="AM46" s="198" t="e">
        <f>IF(Table4[[#This Row],[ScopeP]]="Unchanged",6.42*Table4[[#This Row],[ISC BaseP]],IF(Table4[[#This Row],[ScopeP]]="Changed",7.52*(Table4[[#This Row],[ISC BaseP]] - 0.029) - 3.25 * POWER(Table4[[#This Row],[ISC BaseP]] - 0.02,15),NA()))</f>
        <v>#N/A</v>
      </c>
      <c r="AN4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187"/>
    </row>
    <row r="47" spans="1:43" ht="166.5" customHeight="1" x14ac:dyDescent="0.35">
      <c r="A47" s="70">
        <v>43</v>
      </c>
      <c r="B47" s="182" t="s">
        <v>128</v>
      </c>
      <c r="C47" s="195" t="str">
        <f>IF(VLOOKUP(Table4[[#This Row],[T ID]],Table5[#All],5,FALSE)="No","Not in scope",VLOOKUP(Table4[[#This Row],[T ID]],Table5[#All],2,FALSE))</f>
        <v>Gaining Access
([S]TRID[E])</v>
      </c>
      <c r="D47" s="212" t="s">
        <v>220</v>
      </c>
      <c r="E47" s="195" t="str">
        <f>IF(VLOOKUP(Table4[[#This Row],[V ID]],Vulnerabilities[#All],3,FALSE)="No","Not in scope",VLOOKUP(Table4[[#This Row],[V ID]],Vulnerabilities[#All],2,FALSE))</f>
        <v>The password complexity or location vulnerability. Like weak passwords and hardcoded passwords.</v>
      </c>
      <c r="F47" s="213" t="s">
        <v>115</v>
      </c>
      <c r="G47" s="195" t="str">
        <f>VLOOKUP(Table4[[#This Row],[A ID]],Assets[#All],3,FALSE)</f>
        <v>Authentication/Authorisation method of all device(s)/app</v>
      </c>
      <c r="H47" s="49" t="s">
        <v>276</v>
      </c>
      <c r="I47" s="49"/>
      <c r="J47" s="87" t="s">
        <v>57</v>
      </c>
      <c r="K47" s="87" t="s">
        <v>78</v>
      </c>
      <c r="L47" s="87" t="s">
        <v>66</v>
      </c>
      <c r="M47" s="196" t="s">
        <v>80</v>
      </c>
      <c r="N47" s="157" t="s">
        <v>57</v>
      </c>
      <c r="O47" s="157" t="s">
        <v>57</v>
      </c>
      <c r="P47" s="196" t="s">
        <v>77</v>
      </c>
      <c r="Q47" s="196" t="s">
        <v>75</v>
      </c>
      <c r="R4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198">
        <f>(1 - ((1 - VLOOKUP(Table4[[#This Row],[Confidentiality]],'Reference - CVSSv3.0'!$B$15:$C$17,2,FALSE)) * (1 - VLOOKUP(Table4[[#This Row],[Integrity]],'Reference - CVSSv3.0'!$B$15:$C$17,2,FALSE)) *  (1 - VLOOKUP(Table4[[#This Row],[Availability]],'Reference - CVSSv3.0'!$B$15:$C$17,2,FALSE))))</f>
        <v>0.65680000000000005</v>
      </c>
      <c r="T47" s="198">
        <f>IF(Table4[[#This Row],[Scope]]="Unchanged",6.42*Table4[[#This Row],[ISC Base]],IF(Table4[[#This Row],[Scope]]="Changed",7.52*(Table4[[#This Row],[ISC Base]] - 0.029) - 3.25 * POWER(Table4[[#This Row],[ISC Base]] - 0.02,15),NA()))</f>
        <v>4.2166560000000004</v>
      </c>
      <c r="U47" s="198">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182" t="s">
        <v>57</v>
      </c>
      <c r="W47" s="198">
        <f>VLOOKUP(Table4[[#This Row],[Threat Event Initiation]],NIST_Scale_LOAI[],2,FALSE)</f>
        <v>0.2</v>
      </c>
      <c r="X4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49" t="s">
        <v>372</v>
      </c>
      <c r="AA47" s="49" t="s">
        <v>371</v>
      </c>
      <c r="AB47" s="206"/>
      <c r="AC47" s="187"/>
      <c r="AD47" s="187"/>
      <c r="AE47" s="187"/>
      <c r="AF47" s="196"/>
      <c r="AG47" s="196"/>
      <c r="AH47" s="196"/>
      <c r="AI47" s="196"/>
      <c r="AJ47" s="201"/>
      <c r="AK4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198" t="e">
        <f>(1 - ((1 - VLOOKUP(Table4[[#This Row],[ConfidentialityP]],'Reference - CVSSv3.0'!$B$15:$C$17,2,FALSE)) * (1 - VLOOKUP(Table4[[#This Row],[IntegrityP]],'Reference - CVSSv3.0'!$B$15:$C$17,2,FALSE)) *  (1 - VLOOKUP(Table4[[#This Row],[AvailabilityP]],'Reference - CVSSv3.0'!$B$15:$C$17,2,FALSE))))</f>
        <v>#N/A</v>
      </c>
      <c r="AM47" s="198" t="e">
        <f>IF(Table4[[#This Row],[ScopeP]]="Unchanged",6.42*Table4[[#This Row],[ISC BaseP]],IF(Table4[[#This Row],[ScopeP]]="Changed",7.52*(Table4[[#This Row],[ISC BaseP]] - 0.029) - 3.25 * POWER(Table4[[#This Row],[ISC BaseP]] - 0.02,15),NA()))</f>
        <v>#N/A</v>
      </c>
      <c r="AN4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187"/>
    </row>
    <row r="48" spans="1:43" ht="214" customHeight="1" x14ac:dyDescent="0.35">
      <c r="A48" s="70">
        <v>44</v>
      </c>
      <c r="B48" s="182" t="s">
        <v>128</v>
      </c>
      <c r="C48" s="195" t="str">
        <f>IF(VLOOKUP(Table4[[#This Row],[T ID]],Table5[#All],5,FALSE)="No","Not in scope",VLOOKUP(Table4[[#This Row],[T ID]],Table5[#All],2,FALSE))</f>
        <v>Gaining Access
([S]TRID[E])</v>
      </c>
      <c r="D48" s="212" t="s">
        <v>221</v>
      </c>
      <c r="E48" s="195" t="str">
        <f>IF(VLOOKUP(Table4[[#This Row],[V ID]],Vulnerabilities[#All],3,FALSE)="No","Not in scope",VLOOKUP(Table4[[#This Row],[V ID]],Vulnerabilities[#All],2,FALSE))</f>
        <v>Checking authentication modes for possible hacks and bypasses</v>
      </c>
      <c r="F48" s="213" t="s">
        <v>115</v>
      </c>
      <c r="G48" s="195" t="str">
        <f>VLOOKUP(Table4[[#This Row],[A ID]],Assets[#All],3,FALSE)</f>
        <v>Authentication/Authorisation method of all device(s)/app</v>
      </c>
      <c r="H48" s="49" t="s">
        <v>276</v>
      </c>
      <c r="I48" s="49"/>
      <c r="J48" s="87" t="s">
        <v>57</v>
      </c>
      <c r="K48" s="87" t="s">
        <v>57</v>
      </c>
      <c r="L48" s="87" t="s">
        <v>57</v>
      </c>
      <c r="M48" s="196" t="s">
        <v>76</v>
      </c>
      <c r="N48" s="157" t="s">
        <v>57</v>
      </c>
      <c r="O48" s="157" t="s">
        <v>57</v>
      </c>
      <c r="P48" s="196" t="s">
        <v>78</v>
      </c>
      <c r="Q48" s="196" t="s">
        <v>75</v>
      </c>
      <c r="R4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198">
        <f>(1 - ((1 - VLOOKUP(Table4[[#This Row],[Confidentiality]],'Reference - CVSSv3.0'!$B$15:$C$17,2,FALSE)) * (1 - VLOOKUP(Table4[[#This Row],[Integrity]],'Reference - CVSSv3.0'!$B$15:$C$17,2,FALSE)) *  (1 - VLOOKUP(Table4[[#This Row],[Availability]],'Reference - CVSSv3.0'!$B$15:$C$17,2,FALSE))))</f>
        <v>0.52544799999999992</v>
      </c>
      <c r="T48" s="198">
        <f>IF(Table4[[#This Row],[Scope]]="Unchanged",6.42*Table4[[#This Row],[ISC Base]],IF(Table4[[#This Row],[Scope]]="Changed",7.52*(Table4[[#This Row],[ISC Base]] - 0.029) - 3.25 * POWER(Table4[[#This Row],[ISC Base]] - 0.02,15),NA()))</f>
        <v>3.3733761599999994</v>
      </c>
      <c r="U48"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182" t="s">
        <v>57</v>
      </c>
      <c r="W48" s="198">
        <f>VLOOKUP(Table4[[#This Row],[Threat Event Initiation]],NIST_Scale_LOAI[],2,FALSE)</f>
        <v>0.2</v>
      </c>
      <c r="X4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49" t="s">
        <v>354</v>
      </c>
      <c r="AA48" s="49" t="s">
        <v>351</v>
      </c>
      <c r="AB48" s="206"/>
      <c r="AC48" s="187"/>
      <c r="AD48" s="187"/>
      <c r="AE48" s="187"/>
      <c r="AF48" s="196"/>
      <c r="AG48" s="196"/>
      <c r="AH48" s="196"/>
      <c r="AI48" s="196"/>
      <c r="AJ48" s="201"/>
      <c r="AK4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198" t="e">
        <f>(1 - ((1 - VLOOKUP(Table4[[#This Row],[ConfidentialityP]],'Reference - CVSSv3.0'!$B$15:$C$17,2,FALSE)) * (1 - VLOOKUP(Table4[[#This Row],[IntegrityP]],'Reference - CVSSv3.0'!$B$15:$C$17,2,FALSE)) *  (1 - VLOOKUP(Table4[[#This Row],[AvailabilityP]],'Reference - CVSSv3.0'!$B$15:$C$17,2,FALSE))))</f>
        <v>#N/A</v>
      </c>
      <c r="AM48" s="198" t="e">
        <f>IF(Table4[[#This Row],[ScopeP]]="Unchanged",6.42*Table4[[#This Row],[ISC BaseP]],IF(Table4[[#This Row],[ScopeP]]="Changed",7.52*(Table4[[#This Row],[ISC BaseP]] - 0.029) - 3.25 * POWER(Table4[[#This Row],[ISC BaseP]] - 0.02,15),NA()))</f>
        <v>#N/A</v>
      </c>
      <c r="AN4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187"/>
    </row>
    <row r="49" spans="1:43" ht="196" customHeight="1" x14ac:dyDescent="0.35">
      <c r="A49" s="70">
        <v>45</v>
      </c>
      <c r="B49" s="182" t="s">
        <v>128</v>
      </c>
      <c r="C49" s="195" t="str">
        <f>IF(VLOOKUP(Table4[[#This Row],[T ID]],Table5[#All],5,FALSE)="No","Not in scope",VLOOKUP(Table4[[#This Row],[T ID]],Table5[#All],2,FALSE))</f>
        <v>Gaining Access
([S]TRID[E])</v>
      </c>
      <c r="D49" s="212" t="s">
        <v>221</v>
      </c>
      <c r="E49" s="195" t="str">
        <f>IF(VLOOKUP(Table4[[#This Row],[V ID]],Vulnerabilities[#All],3,FALSE)="No","Not in scope",VLOOKUP(Table4[[#This Row],[V ID]],Vulnerabilities[#All],2,FALSE))</f>
        <v>Checking authentication modes for possible hacks and bypasses</v>
      </c>
      <c r="F49" s="216" t="s">
        <v>108</v>
      </c>
      <c r="G49" s="195" t="str">
        <f>VLOOKUP(Table4[[#This Row],[A ID]],Assets[#All],3,FALSE)</f>
        <v>Smart medic app (Stryker Admin Web Application)</v>
      </c>
      <c r="H49" s="49" t="s">
        <v>276</v>
      </c>
      <c r="I49" s="49"/>
      <c r="J49" s="87" t="s">
        <v>57</v>
      </c>
      <c r="K49" s="87" t="s">
        <v>57</v>
      </c>
      <c r="L49" s="87" t="s">
        <v>57</v>
      </c>
      <c r="M49" s="196" t="s">
        <v>76</v>
      </c>
      <c r="N49" s="157" t="s">
        <v>57</v>
      </c>
      <c r="O49" s="157" t="s">
        <v>57</v>
      </c>
      <c r="P49" s="196" t="s">
        <v>78</v>
      </c>
      <c r="Q49" s="196" t="s">
        <v>75</v>
      </c>
      <c r="R4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198">
        <f>(1 - ((1 - VLOOKUP(Table4[[#This Row],[Confidentiality]],'Reference - CVSSv3.0'!$B$15:$C$17,2,FALSE)) * (1 - VLOOKUP(Table4[[#This Row],[Integrity]],'Reference - CVSSv3.0'!$B$15:$C$17,2,FALSE)) *  (1 - VLOOKUP(Table4[[#This Row],[Availability]],'Reference - CVSSv3.0'!$B$15:$C$17,2,FALSE))))</f>
        <v>0.52544799999999992</v>
      </c>
      <c r="T49" s="198">
        <f>IF(Table4[[#This Row],[Scope]]="Unchanged",6.42*Table4[[#This Row],[ISC Base]],IF(Table4[[#This Row],[Scope]]="Changed",7.52*(Table4[[#This Row],[ISC Base]] - 0.029) - 3.25 * POWER(Table4[[#This Row],[ISC Base]] - 0.02,15),NA()))</f>
        <v>3.3733761599999994</v>
      </c>
      <c r="U49"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182" t="s">
        <v>57</v>
      </c>
      <c r="W49" s="198">
        <f>VLOOKUP(Table4[[#This Row],[Threat Event Initiation]],NIST_Scale_LOAI[],2,FALSE)</f>
        <v>0.2</v>
      </c>
      <c r="X4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49" t="s">
        <v>354</v>
      </c>
      <c r="AA49" s="49" t="s">
        <v>351</v>
      </c>
      <c r="AB49" s="206"/>
      <c r="AC49" s="187"/>
      <c r="AD49" s="187"/>
      <c r="AE49" s="187"/>
      <c r="AF49" s="196"/>
      <c r="AG49" s="196"/>
      <c r="AH49" s="196"/>
      <c r="AI49" s="196"/>
      <c r="AJ49" s="201"/>
      <c r="AK4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198" t="e">
        <f>(1 - ((1 - VLOOKUP(Table4[[#This Row],[ConfidentialityP]],'Reference - CVSSv3.0'!$B$15:$C$17,2,FALSE)) * (1 - VLOOKUP(Table4[[#This Row],[IntegrityP]],'Reference - CVSSv3.0'!$B$15:$C$17,2,FALSE)) *  (1 - VLOOKUP(Table4[[#This Row],[AvailabilityP]],'Reference - CVSSv3.0'!$B$15:$C$17,2,FALSE))))</f>
        <v>#N/A</v>
      </c>
      <c r="AM49" s="198" t="e">
        <f>IF(Table4[[#This Row],[ScopeP]]="Unchanged",6.42*Table4[[#This Row],[ISC BaseP]],IF(Table4[[#This Row],[ScopeP]]="Changed",7.52*(Table4[[#This Row],[ISC BaseP]] - 0.029) - 3.25 * POWER(Table4[[#This Row],[ISC BaseP]] - 0.02,15),NA()))</f>
        <v>#N/A</v>
      </c>
      <c r="AN4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187"/>
    </row>
    <row r="50" spans="1:43" ht="196" x14ac:dyDescent="0.35">
      <c r="A50" s="70">
        <v>46</v>
      </c>
      <c r="B50" s="182" t="s">
        <v>128</v>
      </c>
      <c r="C50" s="195" t="str">
        <f>IF(VLOOKUP(Table4[[#This Row],[T ID]],Table5[#All],5,FALSE)="No","Not in scope",VLOOKUP(Table4[[#This Row],[T ID]],Table5[#All],2,FALSE))</f>
        <v>Gaining Access
([S]TRID[E])</v>
      </c>
      <c r="D50" s="212" t="s">
        <v>221</v>
      </c>
      <c r="E50" s="195" t="str">
        <f>IF(VLOOKUP(Table4[[#This Row],[V ID]],Vulnerabilities[#All],3,FALSE)="No","Not in scope",VLOOKUP(Table4[[#This Row],[V ID]],Vulnerabilities[#All],2,FALSE))</f>
        <v>Checking authentication modes for possible hacks and bypasses</v>
      </c>
      <c r="F50" s="216" t="s">
        <v>109</v>
      </c>
      <c r="G50" s="195" t="str">
        <f>VLOOKUP(Table4[[#This Row],[A ID]],Assets[#All],3,FALSE)</f>
        <v>Smart medic app (Azure Portal Administrator)</v>
      </c>
      <c r="H50" s="49" t="s">
        <v>276</v>
      </c>
      <c r="I50" s="49"/>
      <c r="J50" s="87" t="s">
        <v>57</v>
      </c>
      <c r="K50" s="87" t="s">
        <v>57</v>
      </c>
      <c r="L50" s="87" t="s">
        <v>57</v>
      </c>
      <c r="M50" s="196" t="s">
        <v>76</v>
      </c>
      <c r="N50" s="157" t="s">
        <v>57</v>
      </c>
      <c r="O50" s="157" t="s">
        <v>57</v>
      </c>
      <c r="P50" s="196" t="s">
        <v>78</v>
      </c>
      <c r="Q50" s="196" t="s">
        <v>75</v>
      </c>
      <c r="R5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198">
        <f>(1 - ((1 - VLOOKUP(Table4[[#This Row],[Confidentiality]],'Reference - CVSSv3.0'!$B$15:$C$17,2,FALSE)) * (1 - VLOOKUP(Table4[[#This Row],[Integrity]],'Reference - CVSSv3.0'!$B$15:$C$17,2,FALSE)) *  (1 - VLOOKUP(Table4[[#This Row],[Availability]],'Reference - CVSSv3.0'!$B$15:$C$17,2,FALSE))))</f>
        <v>0.52544799999999992</v>
      </c>
      <c r="T50" s="198">
        <f>IF(Table4[[#This Row],[Scope]]="Unchanged",6.42*Table4[[#This Row],[ISC Base]],IF(Table4[[#This Row],[Scope]]="Changed",7.52*(Table4[[#This Row],[ISC Base]] - 0.029) - 3.25 * POWER(Table4[[#This Row],[ISC Base]] - 0.02,15),NA()))</f>
        <v>3.3733761599999994</v>
      </c>
      <c r="U5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182" t="s">
        <v>57</v>
      </c>
      <c r="W50" s="198">
        <f>VLOOKUP(Table4[[#This Row],[Threat Event Initiation]],NIST_Scale_LOAI[],2,FALSE)</f>
        <v>0.2</v>
      </c>
      <c r="X5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49" t="s">
        <v>354</v>
      </c>
      <c r="AA50" s="49" t="s">
        <v>351</v>
      </c>
      <c r="AB50" s="206"/>
      <c r="AC50" s="187"/>
      <c r="AD50" s="187"/>
      <c r="AE50" s="187"/>
      <c r="AF50" s="196"/>
      <c r="AG50" s="196"/>
      <c r="AH50" s="196"/>
      <c r="AI50" s="196"/>
      <c r="AJ50" s="201"/>
      <c r="AK5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198" t="e">
        <f>(1 - ((1 - VLOOKUP(Table4[[#This Row],[ConfidentialityP]],'Reference - CVSSv3.0'!$B$15:$C$17,2,FALSE)) * (1 - VLOOKUP(Table4[[#This Row],[IntegrityP]],'Reference - CVSSv3.0'!$B$15:$C$17,2,FALSE)) *  (1 - VLOOKUP(Table4[[#This Row],[AvailabilityP]],'Reference - CVSSv3.0'!$B$15:$C$17,2,FALSE))))</f>
        <v>#N/A</v>
      </c>
      <c r="AM50" s="198" t="e">
        <f>IF(Table4[[#This Row],[ScopeP]]="Unchanged",6.42*Table4[[#This Row],[ISC BaseP]],IF(Table4[[#This Row],[ScopeP]]="Changed",7.52*(Table4[[#This Row],[ISC BaseP]] - 0.029) - 3.25 * POWER(Table4[[#This Row],[ISC BaseP]] - 0.02,15),NA()))</f>
        <v>#N/A</v>
      </c>
      <c r="AN5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187"/>
    </row>
    <row r="51" spans="1:43" ht="112" x14ac:dyDescent="0.35">
      <c r="A51" s="70">
        <v>47</v>
      </c>
      <c r="B51" s="182" t="s">
        <v>128</v>
      </c>
      <c r="C51" s="195" t="str">
        <f>IF(VLOOKUP(Table4[[#This Row],[T ID]],Table5[#All],5,FALSE)="No","Not in scope",VLOOKUP(Table4[[#This Row],[T ID]],Table5[#All],2,FALSE))</f>
        <v>Gaining Access
([S]TRID[E])</v>
      </c>
      <c r="D51" s="212" t="s">
        <v>242</v>
      </c>
      <c r="E51" s="195" t="str">
        <f>IF(VLOOKUP(Table4[[#This Row],[V ID]],Vulnerabilities[#All],3,FALSE)="No","Not in scope",VLOOKUP(Table4[[#This Row],[V ID]],Vulnerabilities[#All],2,FALSE))</f>
        <v>Unprotected external USB Port on the tablet/devices.</v>
      </c>
      <c r="F51" s="216" t="s">
        <v>112</v>
      </c>
      <c r="G51" s="195" t="str">
        <f>VLOOKUP(Table4[[#This Row],[A ID]],Assets[#All],3,FALSE)</f>
        <v>Tablet Resources - web cam, microphone, OTG devices, Removable USB, Tablet Application, Network interfaces (Bluetooth, Wifi)</v>
      </c>
      <c r="H51" s="49" t="s">
        <v>276</v>
      </c>
      <c r="I51" s="49"/>
      <c r="J51" s="87" t="s">
        <v>57</v>
      </c>
      <c r="K51" s="87" t="s">
        <v>57</v>
      </c>
      <c r="L51" s="87" t="s">
        <v>57</v>
      </c>
      <c r="M51" s="157" t="s">
        <v>76</v>
      </c>
      <c r="N51" s="157" t="s">
        <v>57</v>
      </c>
      <c r="O51" s="157" t="s">
        <v>57</v>
      </c>
      <c r="P51" s="196" t="s">
        <v>77</v>
      </c>
      <c r="Q51" s="196" t="s">
        <v>75</v>
      </c>
      <c r="R5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198">
        <f>(1 - ((1 - VLOOKUP(Table4[[#This Row],[Confidentiality]],'Reference - CVSSv3.0'!$B$15:$C$17,2,FALSE)) * (1 - VLOOKUP(Table4[[#This Row],[Integrity]],'Reference - CVSSv3.0'!$B$15:$C$17,2,FALSE)) *  (1 - VLOOKUP(Table4[[#This Row],[Availability]],'Reference - CVSSv3.0'!$B$15:$C$17,2,FALSE))))</f>
        <v>0.52544799999999992</v>
      </c>
      <c r="T51" s="198">
        <f>IF(Table4[[#This Row],[Scope]]="Unchanged",6.42*Table4[[#This Row],[ISC Base]],IF(Table4[[#This Row],[Scope]]="Changed",7.52*(Table4[[#This Row],[ISC Base]] - 0.029) - 3.25 * POWER(Table4[[#This Row],[ISC Base]] - 0.02,15),NA()))</f>
        <v>3.3733761599999994</v>
      </c>
      <c r="U51"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182" t="s">
        <v>57</v>
      </c>
      <c r="W51" s="198">
        <f>VLOOKUP(Table4[[#This Row],[Threat Event Initiation]],NIST_Scale_LOAI[],2,FALSE)</f>
        <v>0.2</v>
      </c>
      <c r="X5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49" t="s">
        <v>345</v>
      </c>
      <c r="AA51" s="49" t="s">
        <v>346</v>
      </c>
      <c r="AB51" s="206"/>
      <c r="AC51" s="187"/>
      <c r="AD51" s="187"/>
      <c r="AE51" s="187"/>
      <c r="AF51" s="196"/>
      <c r="AG51" s="196"/>
      <c r="AH51" s="196"/>
      <c r="AI51" s="196"/>
      <c r="AJ51" s="201"/>
      <c r="AK5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198" t="e">
        <f>(1 - ((1 - VLOOKUP(Table4[[#This Row],[ConfidentialityP]],'Reference - CVSSv3.0'!$B$15:$C$17,2,FALSE)) * (1 - VLOOKUP(Table4[[#This Row],[IntegrityP]],'Reference - CVSSv3.0'!$B$15:$C$17,2,FALSE)) *  (1 - VLOOKUP(Table4[[#This Row],[AvailabilityP]],'Reference - CVSSv3.0'!$B$15:$C$17,2,FALSE))))</f>
        <v>#N/A</v>
      </c>
      <c r="AM51" s="198" t="e">
        <f>IF(Table4[[#This Row],[ScopeP]]="Unchanged",6.42*Table4[[#This Row],[ISC BaseP]],IF(Table4[[#This Row],[ScopeP]]="Changed",7.52*(Table4[[#This Row],[ISC BaseP]] - 0.029) - 3.25 * POWER(Table4[[#This Row],[ISC BaseP]] - 0.02,15),NA()))</f>
        <v>#N/A</v>
      </c>
      <c r="AN5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187"/>
    </row>
    <row r="52" spans="1:43" ht="152.5" customHeight="1" x14ac:dyDescent="0.35">
      <c r="A52" s="70">
        <v>48</v>
      </c>
      <c r="B52" s="182" t="s">
        <v>129</v>
      </c>
      <c r="C52" s="195" t="str">
        <f>IF(VLOOKUP(Table4[[#This Row],[T ID]],Table5[#All],5,FALSE)="No","Not in scope",VLOOKUP(Table4[[#This Row],[T ID]],Table5[#All],2,FALSE))</f>
        <v>Maintaining Access
(TTP)</v>
      </c>
      <c r="D52" s="212" t="s">
        <v>121</v>
      </c>
      <c r="E52" s="195" t="str">
        <f>IF(VLOOKUP(Table4[[#This Row],[V ID]],Vulnerabilities[#All],3,FALSE)="No","Not in scope",VLOOKUP(Table4[[#This Row],[V ID]],Vulnerabilities[#All],2,FALSE))</f>
        <v>Devices with default passwords needs to be checked for bruteforce attacks</v>
      </c>
      <c r="F52" s="213" t="s">
        <v>115</v>
      </c>
      <c r="G52" s="195" t="str">
        <f>VLOOKUP(Table4[[#This Row],[A ID]],Assets[#All],3,FALSE)</f>
        <v>Authentication/Authorisation method of all device(s)/app</v>
      </c>
      <c r="H52" s="49" t="s">
        <v>276</v>
      </c>
      <c r="I52" s="49"/>
      <c r="J52" s="87" t="s">
        <v>57</v>
      </c>
      <c r="K52" s="87" t="s">
        <v>57</v>
      </c>
      <c r="L52" s="87" t="s">
        <v>57</v>
      </c>
      <c r="M52" s="196" t="s">
        <v>76</v>
      </c>
      <c r="N52" s="157" t="s">
        <v>57</v>
      </c>
      <c r="O52" s="157" t="s">
        <v>57</v>
      </c>
      <c r="P52" s="196" t="s">
        <v>78</v>
      </c>
      <c r="Q52" s="196" t="s">
        <v>75</v>
      </c>
      <c r="R5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198">
        <f>(1 - ((1 - VLOOKUP(Table4[[#This Row],[Confidentiality]],'Reference - CVSSv3.0'!$B$15:$C$17,2,FALSE)) * (1 - VLOOKUP(Table4[[#This Row],[Integrity]],'Reference - CVSSv3.0'!$B$15:$C$17,2,FALSE)) *  (1 - VLOOKUP(Table4[[#This Row],[Availability]],'Reference - CVSSv3.0'!$B$15:$C$17,2,FALSE))))</f>
        <v>0.52544799999999992</v>
      </c>
      <c r="T52" s="198">
        <f>IF(Table4[[#This Row],[Scope]]="Unchanged",6.42*Table4[[#This Row],[ISC Base]],IF(Table4[[#This Row],[Scope]]="Changed",7.52*(Table4[[#This Row],[ISC Base]] - 0.029) - 3.25 * POWER(Table4[[#This Row],[ISC Base]] - 0.02,15),NA()))</f>
        <v>3.3733761599999994</v>
      </c>
      <c r="U5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182" t="s">
        <v>56</v>
      </c>
      <c r="W52" s="198">
        <f>VLOOKUP(Table4[[#This Row],[Threat Event Initiation]],NIST_Scale_LOAI[],2,FALSE)</f>
        <v>0.5</v>
      </c>
      <c r="X5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49" t="s">
        <v>387</v>
      </c>
      <c r="AA52" s="49" t="s">
        <v>383</v>
      </c>
      <c r="AB52" s="206"/>
      <c r="AC52" s="187"/>
      <c r="AD52" s="187"/>
      <c r="AE52" s="187"/>
      <c r="AF52" s="196"/>
      <c r="AG52" s="196"/>
      <c r="AH52" s="196"/>
      <c r="AI52" s="196"/>
      <c r="AJ52" s="201"/>
      <c r="AK5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198" t="e">
        <f>(1 - ((1 - VLOOKUP(Table4[[#This Row],[ConfidentialityP]],'Reference - CVSSv3.0'!$B$15:$C$17,2,FALSE)) * (1 - VLOOKUP(Table4[[#This Row],[IntegrityP]],'Reference - CVSSv3.0'!$B$15:$C$17,2,FALSE)) *  (1 - VLOOKUP(Table4[[#This Row],[AvailabilityP]],'Reference - CVSSv3.0'!$B$15:$C$17,2,FALSE))))</f>
        <v>#N/A</v>
      </c>
      <c r="AM52" s="198" t="e">
        <f>IF(Table4[[#This Row],[ScopeP]]="Unchanged",6.42*Table4[[#This Row],[ISC BaseP]],IF(Table4[[#This Row],[ScopeP]]="Changed",7.52*(Table4[[#This Row],[ISC BaseP]] - 0.029) - 3.25 * POWER(Table4[[#This Row],[ISC BaseP]] - 0.02,15),NA()))</f>
        <v>#N/A</v>
      </c>
      <c r="AN5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187"/>
    </row>
    <row r="53" spans="1:43" ht="157" customHeight="1" x14ac:dyDescent="0.35">
      <c r="A53" s="70">
        <v>49</v>
      </c>
      <c r="B53" s="182" t="s">
        <v>129</v>
      </c>
      <c r="C53" s="195" t="str">
        <f>IF(VLOOKUP(Table4[[#This Row],[T ID]],Table5[#All],5,FALSE)="No","Not in scope",VLOOKUP(Table4[[#This Row],[T ID]],Table5[#All],2,FALSE))</f>
        <v>Maintaining Access
(TTP)</v>
      </c>
      <c r="D53" s="212" t="s">
        <v>220</v>
      </c>
      <c r="E53" s="195" t="str">
        <f>IF(VLOOKUP(Table4[[#This Row],[V ID]],Vulnerabilities[#All],3,FALSE)="No","Not in scope",VLOOKUP(Table4[[#This Row],[V ID]],Vulnerabilities[#All],2,FALSE))</f>
        <v>The password complexity or location vulnerability. Like weak passwords and hardcoded passwords.</v>
      </c>
      <c r="F53" s="213" t="s">
        <v>115</v>
      </c>
      <c r="G53" s="195" t="str">
        <f>VLOOKUP(Table4[[#This Row],[A ID]],Assets[#All],3,FALSE)</f>
        <v>Authentication/Authorisation method of all device(s)/app</v>
      </c>
      <c r="H53" s="49" t="s">
        <v>276</v>
      </c>
      <c r="I53" s="49"/>
      <c r="J53" s="87" t="s">
        <v>57</v>
      </c>
      <c r="K53" s="87" t="s">
        <v>57</v>
      </c>
      <c r="L53" s="87" t="s">
        <v>57</v>
      </c>
      <c r="M53" s="196" t="s">
        <v>80</v>
      </c>
      <c r="N53" s="157" t="s">
        <v>57</v>
      </c>
      <c r="O53" s="157" t="s">
        <v>57</v>
      </c>
      <c r="P53" s="196" t="s">
        <v>77</v>
      </c>
      <c r="Q53" s="196" t="s">
        <v>75</v>
      </c>
      <c r="R5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198">
        <f>(1 - ((1 - VLOOKUP(Table4[[#This Row],[Confidentiality]],'Reference - CVSSv3.0'!$B$15:$C$17,2,FALSE)) * (1 - VLOOKUP(Table4[[#This Row],[Integrity]],'Reference - CVSSv3.0'!$B$15:$C$17,2,FALSE)) *  (1 - VLOOKUP(Table4[[#This Row],[Availability]],'Reference - CVSSv3.0'!$B$15:$C$17,2,FALSE))))</f>
        <v>0.52544799999999992</v>
      </c>
      <c r="T53" s="198">
        <f>IF(Table4[[#This Row],[Scope]]="Unchanged",6.42*Table4[[#This Row],[ISC Base]],IF(Table4[[#This Row],[Scope]]="Changed",7.52*(Table4[[#This Row],[ISC Base]] - 0.029) - 3.25 * POWER(Table4[[#This Row],[ISC Base]] - 0.02,15),NA()))</f>
        <v>3.3733761599999994</v>
      </c>
      <c r="U53"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182" t="s">
        <v>57</v>
      </c>
      <c r="W53" s="198">
        <f>VLOOKUP(Table4[[#This Row],[Threat Event Initiation]],NIST_Scale_LOAI[],2,FALSE)</f>
        <v>0.2</v>
      </c>
      <c r="X5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49" t="s">
        <v>370</v>
      </c>
      <c r="AA53" s="49" t="s">
        <v>371</v>
      </c>
      <c r="AB53" s="206"/>
      <c r="AC53" s="187"/>
      <c r="AD53" s="187"/>
      <c r="AE53" s="187"/>
      <c r="AF53" s="196"/>
      <c r="AG53" s="196"/>
      <c r="AH53" s="196"/>
      <c r="AI53" s="196"/>
      <c r="AJ53" s="201"/>
      <c r="AK5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198" t="e">
        <f>(1 - ((1 - VLOOKUP(Table4[[#This Row],[ConfidentialityP]],'Reference - CVSSv3.0'!$B$15:$C$17,2,FALSE)) * (1 - VLOOKUP(Table4[[#This Row],[IntegrityP]],'Reference - CVSSv3.0'!$B$15:$C$17,2,FALSE)) *  (1 - VLOOKUP(Table4[[#This Row],[AvailabilityP]],'Reference - CVSSv3.0'!$B$15:$C$17,2,FALSE))))</f>
        <v>#N/A</v>
      </c>
      <c r="AM53" s="198" t="e">
        <f>IF(Table4[[#This Row],[ScopeP]]="Unchanged",6.42*Table4[[#This Row],[ISC BaseP]],IF(Table4[[#This Row],[ScopeP]]="Changed",7.52*(Table4[[#This Row],[ISC BaseP]] - 0.029) - 3.25 * POWER(Table4[[#This Row],[ISC BaseP]] - 0.02,15),NA()))</f>
        <v>#N/A</v>
      </c>
      <c r="AN5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187"/>
    </row>
    <row r="54" spans="1:43" ht="112" x14ac:dyDescent="0.35">
      <c r="A54" s="70">
        <v>50</v>
      </c>
      <c r="B54" s="182" t="s">
        <v>130</v>
      </c>
      <c r="C54" s="195" t="str">
        <f>IF(VLOOKUP(Table4[[#This Row],[T ID]],Table5[#All],5,FALSE)="No","Not in scope",VLOOKUP(Table4[[#This Row],[T ID]],Table5[#All],2,FALSE))</f>
        <v>Clearing Track
(TTP)</v>
      </c>
      <c r="D54" s="212" t="s">
        <v>143</v>
      </c>
      <c r="E54" s="195" t="str">
        <f>IF(VLOOKUP(Table4[[#This Row],[V ID]],Vulnerabilities[#All],3,FALSE)="No","Not in scope",VLOOKUP(Table4[[#This Row],[V ID]],Vulnerabilities[#All],2,FALSE))</f>
        <v>InSecure Configuration for Software/OS on Mobile Devices, Laptops, Workstations, and Servers</v>
      </c>
      <c r="F54" s="216" t="s">
        <v>112</v>
      </c>
      <c r="G54" s="195" t="str">
        <f>VLOOKUP(Table4[[#This Row],[A ID]],Assets[#All],3,FALSE)</f>
        <v>Tablet Resources - web cam, microphone, OTG devices, Removable USB, Tablet Application, Network interfaces (Bluetooth, Wifi)</v>
      </c>
      <c r="H54" s="49" t="s">
        <v>277</v>
      </c>
      <c r="I54" s="49"/>
      <c r="J54" s="87" t="s">
        <v>57</v>
      </c>
      <c r="K54" s="87" t="s">
        <v>57</v>
      </c>
      <c r="L54" s="87" t="s">
        <v>57</v>
      </c>
      <c r="M54" s="196" t="s">
        <v>80</v>
      </c>
      <c r="N54" s="157" t="s">
        <v>57</v>
      </c>
      <c r="O54" s="157" t="s">
        <v>57</v>
      </c>
      <c r="P54" s="196" t="s">
        <v>77</v>
      </c>
      <c r="Q54" s="196" t="s">
        <v>75</v>
      </c>
      <c r="R5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198">
        <f>(1 - ((1 - VLOOKUP(Table4[[#This Row],[Confidentiality]],'Reference - CVSSv3.0'!$B$15:$C$17,2,FALSE)) * (1 - VLOOKUP(Table4[[#This Row],[Integrity]],'Reference - CVSSv3.0'!$B$15:$C$17,2,FALSE)) *  (1 - VLOOKUP(Table4[[#This Row],[Availability]],'Reference - CVSSv3.0'!$B$15:$C$17,2,FALSE))))</f>
        <v>0.52544799999999992</v>
      </c>
      <c r="T54" s="198">
        <f>IF(Table4[[#This Row],[Scope]]="Unchanged",6.42*Table4[[#This Row],[ISC Base]],IF(Table4[[#This Row],[Scope]]="Changed",7.52*(Table4[[#This Row],[ISC Base]] - 0.029) - 3.25 * POWER(Table4[[#This Row],[ISC Base]] - 0.02,15),NA()))</f>
        <v>3.3733761599999994</v>
      </c>
      <c r="U54"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182" t="s">
        <v>57</v>
      </c>
      <c r="W54" s="198">
        <f>VLOOKUP(Table4[[#This Row],[Threat Event Initiation]],NIST_Scale_LOAI[],2,FALSE)</f>
        <v>0.2</v>
      </c>
      <c r="X5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49" t="s">
        <v>345</v>
      </c>
      <c r="AA54" s="49" t="s">
        <v>346</v>
      </c>
      <c r="AB54" s="206"/>
      <c r="AC54" s="187"/>
      <c r="AD54" s="187"/>
      <c r="AE54" s="187"/>
      <c r="AF54" s="196"/>
      <c r="AG54" s="196"/>
      <c r="AH54" s="196"/>
      <c r="AI54" s="196"/>
      <c r="AJ54" s="201"/>
      <c r="AK5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198" t="e">
        <f>(1 - ((1 - VLOOKUP(Table4[[#This Row],[ConfidentialityP]],'Reference - CVSSv3.0'!$B$15:$C$17,2,FALSE)) * (1 - VLOOKUP(Table4[[#This Row],[IntegrityP]],'Reference - CVSSv3.0'!$B$15:$C$17,2,FALSE)) *  (1 - VLOOKUP(Table4[[#This Row],[AvailabilityP]],'Reference - CVSSv3.0'!$B$15:$C$17,2,FALSE))))</f>
        <v>#N/A</v>
      </c>
      <c r="AM54" s="198" t="e">
        <f>IF(Table4[[#This Row],[ScopeP]]="Unchanged",6.42*Table4[[#This Row],[ISC BaseP]],IF(Table4[[#This Row],[ScopeP]]="Changed",7.52*(Table4[[#This Row],[ISC BaseP]] - 0.029) - 3.25 * POWER(Table4[[#This Row],[ISC BaseP]] - 0.02,15),NA()))</f>
        <v>#N/A</v>
      </c>
      <c r="AN5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187"/>
    </row>
    <row r="55" spans="1:43" ht="112" x14ac:dyDescent="0.35">
      <c r="A55" s="70">
        <v>51</v>
      </c>
      <c r="B55" s="182" t="s">
        <v>130</v>
      </c>
      <c r="C55" s="195" t="str">
        <f>IF(VLOOKUP(Table4[[#This Row],[T ID]],Table5[#All],5,FALSE)="No","Not in scope",VLOOKUP(Table4[[#This Row],[T ID]],Table5[#All],2,FALSE))</f>
        <v>Clearing Track
(TTP)</v>
      </c>
      <c r="D55" s="212" t="s">
        <v>145</v>
      </c>
      <c r="E55" s="195" t="str">
        <f>IF(VLOOKUP(Table4[[#This Row],[V ID]],Vulnerabilities[#All],3,FALSE)="No","Not in scope",VLOOKUP(Table4[[#This Row],[V ID]],Vulnerabilities[#All],2,FALSE))</f>
        <v>Outdated  - Software/Hardware</v>
      </c>
      <c r="F55" s="216" t="s">
        <v>112</v>
      </c>
      <c r="G55" s="195" t="str">
        <f>VLOOKUP(Table4[[#This Row],[A ID]],Assets[#All],3,FALSE)</f>
        <v>Tablet Resources - web cam, microphone, OTG devices, Removable USB, Tablet Application, Network interfaces (Bluetooth, Wifi)</v>
      </c>
      <c r="H55" s="49" t="s">
        <v>277</v>
      </c>
      <c r="I55" s="49"/>
      <c r="J55" s="87" t="s">
        <v>57</v>
      </c>
      <c r="K55" s="87" t="s">
        <v>57</v>
      </c>
      <c r="L55" s="87" t="s">
        <v>57</v>
      </c>
      <c r="M55" s="196" t="s">
        <v>76</v>
      </c>
      <c r="N55" s="157" t="s">
        <v>57</v>
      </c>
      <c r="O55" s="157" t="s">
        <v>57</v>
      </c>
      <c r="P55" s="196" t="s">
        <v>78</v>
      </c>
      <c r="Q55" s="196" t="s">
        <v>75</v>
      </c>
      <c r="R5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198">
        <f>(1 - ((1 - VLOOKUP(Table4[[#This Row],[Confidentiality]],'Reference - CVSSv3.0'!$B$15:$C$17,2,FALSE)) * (1 - VLOOKUP(Table4[[#This Row],[Integrity]],'Reference - CVSSv3.0'!$B$15:$C$17,2,FALSE)) *  (1 - VLOOKUP(Table4[[#This Row],[Availability]],'Reference - CVSSv3.0'!$B$15:$C$17,2,FALSE))))</f>
        <v>0.52544799999999992</v>
      </c>
      <c r="T55" s="198">
        <f>IF(Table4[[#This Row],[Scope]]="Unchanged",6.42*Table4[[#This Row],[ISC Base]],IF(Table4[[#This Row],[Scope]]="Changed",7.52*(Table4[[#This Row],[ISC Base]] - 0.029) - 3.25 * POWER(Table4[[#This Row],[ISC Base]] - 0.02,15),NA()))</f>
        <v>3.3733761599999994</v>
      </c>
      <c r="U55"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182" t="s">
        <v>56</v>
      </c>
      <c r="W55" s="198">
        <f>VLOOKUP(Table4[[#This Row],[Threat Event Initiation]],NIST_Scale_LOAI[],2,FALSE)</f>
        <v>0.5</v>
      </c>
      <c r="X5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49" t="s">
        <v>345</v>
      </c>
      <c r="AA55" s="49" t="s">
        <v>346</v>
      </c>
      <c r="AB55" s="206"/>
      <c r="AC55" s="187"/>
      <c r="AD55" s="187"/>
      <c r="AE55" s="187"/>
      <c r="AF55" s="196"/>
      <c r="AG55" s="196"/>
      <c r="AH55" s="196"/>
      <c r="AI55" s="196"/>
      <c r="AJ55" s="201"/>
      <c r="AK5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198" t="e">
        <f>(1 - ((1 - VLOOKUP(Table4[[#This Row],[ConfidentialityP]],'Reference - CVSSv3.0'!$B$15:$C$17,2,FALSE)) * (1 - VLOOKUP(Table4[[#This Row],[IntegrityP]],'Reference - CVSSv3.0'!$B$15:$C$17,2,FALSE)) *  (1 - VLOOKUP(Table4[[#This Row],[AvailabilityP]],'Reference - CVSSv3.0'!$B$15:$C$17,2,FALSE))))</f>
        <v>#N/A</v>
      </c>
      <c r="AM55" s="198" t="e">
        <f>IF(Table4[[#This Row],[ScopeP]]="Unchanged",6.42*Table4[[#This Row],[ISC BaseP]],IF(Table4[[#This Row],[ScopeP]]="Changed",7.52*(Table4[[#This Row],[ISC BaseP]] - 0.029) - 3.25 * POWER(Table4[[#This Row],[ISC BaseP]] - 0.02,15),NA()))</f>
        <v>#N/A</v>
      </c>
      <c r="AN5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187"/>
    </row>
    <row r="56" spans="1:43" ht="112" x14ac:dyDescent="0.35">
      <c r="A56" s="70">
        <v>52</v>
      </c>
      <c r="B56" s="182" t="s">
        <v>130</v>
      </c>
      <c r="C56" s="195" t="str">
        <f>IF(VLOOKUP(Table4[[#This Row],[T ID]],Table5[#All],5,FALSE)="No","Not in scope",VLOOKUP(Table4[[#This Row],[T ID]],Table5[#All],2,FALSE))</f>
        <v>Clearing Track
(TTP)</v>
      </c>
      <c r="D56" s="212" t="s">
        <v>228</v>
      </c>
      <c r="E56" s="195" t="str">
        <f>IF(VLOOKUP(Table4[[#This Row],[V ID]],Vulnerabilities[#All],3,FALSE)="No","Not in scope",VLOOKUP(Table4[[#This Row],[V ID]],Vulnerabilities[#All],2,FALSE))</f>
        <v>Lack of configuration controls for IT assets in the informaion system plan</v>
      </c>
      <c r="F56" s="216" t="s">
        <v>112</v>
      </c>
      <c r="G56" s="195" t="str">
        <f>VLOOKUP(Table4[[#This Row],[A ID]],Assets[#All],3,FALSE)</f>
        <v>Tablet Resources - web cam, microphone, OTG devices, Removable USB, Tablet Application, Network interfaces (Bluetooth, Wifi)</v>
      </c>
      <c r="H56" s="49" t="s">
        <v>277</v>
      </c>
      <c r="I56" s="49"/>
      <c r="J56" s="87" t="s">
        <v>57</v>
      </c>
      <c r="K56" s="87" t="s">
        <v>57</v>
      </c>
      <c r="L56" s="87" t="s">
        <v>57</v>
      </c>
      <c r="M56" s="196" t="s">
        <v>80</v>
      </c>
      <c r="N56" s="157" t="s">
        <v>57</v>
      </c>
      <c r="O56" s="157" t="s">
        <v>57</v>
      </c>
      <c r="P56" s="196" t="s">
        <v>77</v>
      </c>
      <c r="Q56" s="196" t="s">
        <v>75</v>
      </c>
      <c r="R5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198">
        <f>(1 - ((1 - VLOOKUP(Table4[[#This Row],[Confidentiality]],'Reference - CVSSv3.0'!$B$15:$C$17,2,FALSE)) * (1 - VLOOKUP(Table4[[#This Row],[Integrity]],'Reference - CVSSv3.0'!$B$15:$C$17,2,FALSE)) *  (1 - VLOOKUP(Table4[[#This Row],[Availability]],'Reference - CVSSv3.0'!$B$15:$C$17,2,FALSE))))</f>
        <v>0.52544799999999992</v>
      </c>
      <c r="T56" s="198">
        <f>IF(Table4[[#This Row],[Scope]]="Unchanged",6.42*Table4[[#This Row],[ISC Base]],IF(Table4[[#This Row],[Scope]]="Changed",7.52*(Table4[[#This Row],[ISC Base]] - 0.029) - 3.25 * POWER(Table4[[#This Row],[ISC Base]] - 0.02,15),NA()))</f>
        <v>3.3733761599999994</v>
      </c>
      <c r="U56"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182" t="s">
        <v>57</v>
      </c>
      <c r="W56" s="198">
        <f>VLOOKUP(Table4[[#This Row],[Threat Event Initiation]],NIST_Scale_LOAI[],2,FALSE)</f>
        <v>0.2</v>
      </c>
      <c r="X5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49" t="s">
        <v>345</v>
      </c>
      <c r="AA56" s="49" t="s">
        <v>346</v>
      </c>
      <c r="AB56" s="206"/>
      <c r="AC56" s="187"/>
      <c r="AD56" s="187"/>
      <c r="AE56" s="187"/>
      <c r="AF56" s="196"/>
      <c r="AG56" s="196"/>
      <c r="AH56" s="196"/>
      <c r="AI56" s="196"/>
      <c r="AJ56" s="201"/>
      <c r="AK5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198" t="e">
        <f>(1 - ((1 - VLOOKUP(Table4[[#This Row],[ConfidentialityP]],'Reference - CVSSv3.0'!$B$15:$C$17,2,FALSE)) * (1 - VLOOKUP(Table4[[#This Row],[IntegrityP]],'Reference - CVSSv3.0'!$B$15:$C$17,2,FALSE)) *  (1 - VLOOKUP(Table4[[#This Row],[AvailabilityP]],'Reference - CVSSv3.0'!$B$15:$C$17,2,FALSE))))</f>
        <v>#N/A</v>
      </c>
      <c r="AM56" s="198" t="e">
        <f>IF(Table4[[#This Row],[ScopeP]]="Unchanged",6.42*Table4[[#This Row],[ISC BaseP]],IF(Table4[[#This Row],[ScopeP]]="Changed",7.52*(Table4[[#This Row],[ISC BaseP]] - 0.029) - 3.25 * POWER(Table4[[#This Row],[ISC BaseP]] - 0.02,15),NA()))</f>
        <v>#N/A</v>
      </c>
      <c r="AN5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187"/>
    </row>
    <row r="57" spans="1:43" ht="112" x14ac:dyDescent="0.35">
      <c r="A57" s="70">
        <v>53</v>
      </c>
      <c r="B57" s="182" t="s">
        <v>130</v>
      </c>
      <c r="C57" s="195" t="str">
        <f>IF(VLOOKUP(Table4[[#This Row],[T ID]],Table5[#All],5,FALSE)="No","Not in scope",VLOOKUP(Table4[[#This Row],[T ID]],Table5[#All],2,FALSE))</f>
        <v>Clearing Track
(TTP)</v>
      </c>
      <c r="D57" s="210" t="s">
        <v>228</v>
      </c>
      <c r="E57" s="195" t="str">
        <f>IF(VLOOKUP(Table4[[#This Row],[V ID]],Vulnerabilities[#All],3,FALSE)="No","Not in scope",VLOOKUP(Table4[[#This Row],[V ID]],Vulnerabilities[#All],2,FALSE))</f>
        <v>Lack of configuration controls for IT assets in the informaion system plan</v>
      </c>
      <c r="F57" s="216" t="s">
        <v>116</v>
      </c>
      <c r="G57" s="195" t="str">
        <f>VLOOKUP(Table4[[#This Row],[A ID]],Assets[#All],3,FALSE)</f>
        <v>Device Maintainence tool (Hardware/Software)</v>
      </c>
      <c r="H57" s="49" t="s">
        <v>277</v>
      </c>
      <c r="I57" s="49"/>
      <c r="J57" s="87" t="s">
        <v>57</v>
      </c>
      <c r="K57" s="87" t="s">
        <v>57</v>
      </c>
      <c r="L57" s="87" t="s">
        <v>57</v>
      </c>
      <c r="M57" s="196" t="s">
        <v>80</v>
      </c>
      <c r="N57" s="157" t="s">
        <v>57</v>
      </c>
      <c r="O57" s="157" t="s">
        <v>57</v>
      </c>
      <c r="P57" s="196" t="s">
        <v>77</v>
      </c>
      <c r="Q57" s="196" t="s">
        <v>75</v>
      </c>
      <c r="R5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198">
        <f>(1 - ((1 - VLOOKUP(Table4[[#This Row],[Confidentiality]],'Reference - CVSSv3.0'!$B$15:$C$17,2,FALSE)) * (1 - VLOOKUP(Table4[[#This Row],[Integrity]],'Reference - CVSSv3.0'!$B$15:$C$17,2,FALSE)) *  (1 - VLOOKUP(Table4[[#This Row],[Availability]],'Reference - CVSSv3.0'!$B$15:$C$17,2,FALSE))))</f>
        <v>0.52544799999999992</v>
      </c>
      <c r="T57" s="198">
        <f>IF(Table4[[#This Row],[Scope]]="Unchanged",6.42*Table4[[#This Row],[ISC Base]],IF(Table4[[#This Row],[Scope]]="Changed",7.52*(Table4[[#This Row],[ISC Base]] - 0.029) - 3.25 * POWER(Table4[[#This Row],[ISC Base]] - 0.02,15),NA()))</f>
        <v>3.3733761599999994</v>
      </c>
      <c r="U57"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182" t="s">
        <v>57</v>
      </c>
      <c r="W57" s="198">
        <f>VLOOKUP(Table4[[#This Row],[Threat Event Initiation]],NIST_Scale_LOAI[],2,FALSE)</f>
        <v>0.2</v>
      </c>
      <c r="X5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49" t="s">
        <v>345</v>
      </c>
      <c r="AA57" s="49" t="s">
        <v>346</v>
      </c>
      <c r="AB57" s="206"/>
      <c r="AC57" s="187"/>
      <c r="AD57" s="187"/>
      <c r="AE57" s="187"/>
      <c r="AF57" s="196"/>
      <c r="AG57" s="196"/>
      <c r="AH57" s="196"/>
      <c r="AI57" s="196"/>
      <c r="AJ57" s="201"/>
      <c r="AK5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198" t="e">
        <f>(1 - ((1 - VLOOKUP(Table4[[#This Row],[ConfidentialityP]],'Reference - CVSSv3.0'!$B$15:$C$17,2,FALSE)) * (1 - VLOOKUP(Table4[[#This Row],[IntegrityP]],'Reference - CVSSv3.0'!$B$15:$C$17,2,FALSE)) *  (1 - VLOOKUP(Table4[[#This Row],[AvailabilityP]],'Reference - CVSSv3.0'!$B$15:$C$17,2,FALSE))))</f>
        <v>#N/A</v>
      </c>
      <c r="AM57" s="198" t="e">
        <f>IF(Table4[[#This Row],[ScopeP]]="Unchanged",6.42*Table4[[#This Row],[ISC BaseP]],IF(Table4[[#This Row],[ScopeP]]="Changed",7.52*(Table4[[#This Row],[ISC BaseP]] - 0.029) - 3.25 * POWER(Table4[[#This Row],[ISC BaseP]] - 0.02,15),NA()))</f>
        <v>#N/A</v>
      </c>
      <c r="AN5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187"/>
    </row>
    <row r="58" spans="1:43" ht="99.75" customHeight="1" x14ac:dyDescent="0.35">
      <c r="A58" s="70">
        <v>54</v>
      </c>
      <c r="B58" s="182" t="s">
        <v>130</v>
      </c>
      <c r="C58" s="195" t="str">
        <f>IF(VLOOKUP(Table4[[#This Row],[T ID]],Table5[#All],5,FALSE)="No","Not in scope",VLOOKUP(Table4[[#This Row],[T ID]],Table5[#All],2,FALSE))</f>
        <v>Clearing Track
(TTP)</v>
      </c>
      <c r="D58" s="212" t="s">
        <v>229</v>
      </c>
      <c r="E58" s="195" t="str">
        <f>IF(VLOOKUP(Table4[[#This Row],[V ID]],Vulnerabilities[#All],3,FALSE)="No","Not in scope",VLOOKUP(Table4[[#This Row],[V ID]],Vulnerabilities[#All],2,FALSE))</f>
        <v>Ineffective patch management of firware, OS and applications thoughout the information system plan</v>
      </c>
      <c r="F58" s="216" t="s">
        <v>112</v>
      </c>
      <c r="G58" s="195" t="str">
        <f>VLOOKUP(Table4[[#This Row],[A ID]],Assets[#All],3,FALSE)</f>
        <v>Tablet Resources - web cam, microphone, OTG devices, Removable USB, Tablet Application, Network interfaces (Bluetooth, Wifi)</v>
      </c>
      <c r="H58" s="49" t="s">
        <v>277</v>
      </c>
      <c r="I58" s="49"/>
      <c r="J58" s="87" t="s">
        <v>78</v>
      </c>
      <c r="K58" s="87" t="s">
        <v>57</v>
      </c>
      <c r="L58" s="87" t="s">
        <v>57</v>
      </c>
      <c r="M58" s="196" t="s">
        <v>80</v>
      </c>
      <c r="N58" s="157" t="s">
        <v>57</v>
      </c>
      <c r="O58" s="157" t="s">
        <v>66</v>
      </c>
      <c r="P58" s="196" t="s">
        <v>78</v>
      </c>
      <c r="Q58" s="196" t="s">
        <v>75</v>
      </c>
      <c r="R5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198">
        <f>(1 - ((1 - VLOOKUP(Table4[[#This Row],[Confidentiality]],'Reference - CVSSv3.0'!$B$15:$C$17,2,FALSE)) * (1 - VLOOKUP(Table4[[#This Row],[Integrity]],'Reference - CVSSv3.0'!$B$15:$C$17,2,FALSE)) *  (1 - VLOOKUP(Table4[[#This Row],[Availability]],'Reference - CVSSv3.0'!$B$15:$C$17,2,FALSE))))</f>
        <v>0.39159999999999995</v>
      </c>
      <c r="T58" s="198">
        <f>IF(Table4[[#This Row],[Scope]]="Unchanged",6.42*Table4[[#This Row],[ISC Base]],IF(Table4[[#This Row],[Scope]]="Changed",7.52*(Table4[[#This Row],[ISC Base]] - 0.029) - 3.25 * POWER(Table4[[#This Row],[ISC Base]] - 0.02,15),NA()))</f>
        <v>2.5140719999999996</v>
      </c>
      <c r="U58" s="198">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182" t="s">
        <v>56</v>
      </c>
      <c r="W58" s="198">
        <f>VLOOKUP(Table4[[#This Row],[Threat Event Initiation]],NIST_Scale_LOAI[],2,FALSE)</f>
        <v>0.5</v>
      </c>
      <c r="X5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49" t="s">
        <v>345</v>
      </c>
      <c r="AA58" s="49" t="s">
        <v>346</v>
      </c>
      <c r="AB58" s="206"/>
      <c r="AC58" s="187"/>
      <c r="AD58" s="187"/>
      <c r="AE58" s="187"/>
      <c r="AF58" s="196"/>
      <c r="AG58" s="196"/>
      <c r="AH58" s="196"/>
      <c r="AI58" s="196"/>
      <c r="AJ58" s="201"/>
      <c r="AK5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198" t="e">
        <f>(1 - ((1 - VLOOKUP(Table4[[#This Row],[ConfidentialityP]],'Reference - CVSSv3.0'!$B$15:$C$17,2,FALSE)) * (1 - VLOOKUP(Table4[[#This Row],[IntegrityP]],'Reference - CVSSv3.0'!$B$15:$C$17,2,FALSE)) *  (1 - VLOOKUP(Table4[[#This Row],[AvailabilityP]],'Reference - CVSSv3.0'!$B$15:$C$17,2,FALSE))))</f>
        <v>#N/A</v>
      </c>
      <c r="AM58" s="198" t="e">
        <f>IF(Table4[[#This Row],[ScopeP]]="Unchanged",6.42*Table4[[#This Row],[ISC BaseP]],IF(Table4[[#This Row],[ScopeP]]="Changed",7.52*(Table4[[#This Row],[ISC BaseP]] - 0.029) - 3.25 * POWER(Table4[[#This Row],[ISC BaseP]] - 0.02,15),NA()))</f>
        <v>#N/A</v>
      </c>
      <c r="AN5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187"/>
    </row>
    <row r="59" spans="1:43" ht="112" x14ac:dyDescent="0.35">
      <c r="A59" s="70">
        <v>55</v>
      </c>
      <c r="B59" s="182" t="s">
        <v>130</v>
      </c>
      <c r="C59" s="195" t="str">
        <f>IF(VLOOKUP(Table4[[#This Row],[T ID]],Table5[#All],5,FALSE)="No","Not in scope",VLOOKUP(Table4[[#This Row],[T ID]],Table5[#All],2,FALSE))</f>
        <v>Clearing Track
(TTP)</v>
      </c>
      <c r="D59" s="212" t="s">
        <v>229</v>
      </c>
      <c r="E59" s="195" t="str">
        <f>IF(VLOOKUP(Table4[[#This Row],[V ID]],Vulnerabilities[#All],3,FALSE)="No","Not in scope",VLOOKUP(Table4[[#This Row],[V ID]],Vulnerabilities[#All],2,FALSE))</f>
        <v>Ineffective patch management of firware, OS and applications thoughout the information system plan</v>
      </c>
      <c r="F59" s="216" t="s">
        <v>116</v>
      </c>
      <c r="G59" s="195" t="str">
        <f>VLOOKUP(Table4[[#This Row],[A ID]],Assets[#All],3,FALSE)</f>
        <v>Device Maintainence tool (Hardware/Software)</v>
      </c>
      <c r="H59" s="49" t="s">
        <v>277</v>
      </c>
      <c r="I59" s="49"/>
      <c r="J59" s="87" t="s">
        <v>57</v>
      </c>
      <c r="K59" s="87" t="s">
        <v>57</v>
      </c>
      <c r="L59" s="87" t="s">
        <v>57</v>
      </c>
      <c r="M59" s="196" t="s">
        <v>80</v>
      </c>
      <c r="N59" s="157" t="s">
        <v>57</v>
      </c>
      <c r="O59" s="157" t="s">
        <v>57</v>
      </c>
      <c r="P59" s="196" t="s">
        <v>78</v>
      </c>
      <c r="Q59" s="196" t="s">
        <v>75</v>
      </c>
      <c r="R5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198">
        <f>(1 - ((1 - VLOOKUP(Table4[[#This Row],[Confidentiality]],'Reference - CVSSv3.0'!$B$15:$C$17,2,FALSE)) * (1 - VLOOKUP(Table4[[#This Row],[Integrity]],'Reference - CVSSv3.0'!$B$15:$C$17,2,FALSE)) *  (1 - VLOOKUP(Table4[[#This Row],[Availability]],'Reference - CVSSv3.0'!$B$15:$C$17,2,FALSE))))</f>
        <v>0.52544799999999992</v>
      </c>
      <c r="T59" s="198">
        <f>IF(Table4[[#This Row],[Scope]]="Unchanged",6.42*Table4[[#This Row],[ISC Base]],IF(Table4[[#This Row],[Scope]]="Changed",7.52*(Table4[[#This Row],[ISC Base]] - 0.029) - 3.25 * POWER(Table4[[#This Row],[ISC Base]] - 0.02,15),NA()))</f>
        <v>3.3733761599999994</v>
      </c>
      <c r="U59"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182" t="s">
        <v>57</v>
      </c>
      <c r="W59" s="198">
        <f>VLOOKUP(Table4[[#This Row],[Threat Event Initiation]],NIST_Scale_LOAI[],2,FALSE)</f>
        <v>0.2</v>
      </c>
      <c r="X5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49" t="s">
        <v>345</v>
      </c>
      <c r="AA59" s="49" t="s">
        <v>346</v>
      </c>
      <c r="AB59" s="206"/>
      <c r="AC59" s="187"/>
      <c r="AD59" s="187"/>
      <c r="AE59" s="187"/>
      <c r="AF59" s="196"/>
      <c r="AG59" s="196"/>
      <c r="AH59" s="196"/>
      <c r="AI59" s="196"/>
      <c r="AJ59" s="201"/>
      <c r="AK5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198" t="e">
        <f>(1 - ((1 - VLOOKUP(Table4[[#This Row],[ConfidentialityP]],'Reference - CVSSv3.0'!$B$15:$C$17,2,FALSE)) * (1 - VLOOKUP(Table4[[#This Row],[IntegrityP]],'Reference - CVSSv3.0'!$B$15:$C$17,2,FALSE)) *  (1 - VLOOKUP(Table4[[#This Row],[AvailabilityP]],'Reference - CVSSv3.0'!$B$15:$C$17,2,FALSE))))</f>
        <v>#N/A</v>
      </c>
      <c r="AM59" s="198" t="e">
        <f>IF(Table4[[#This Row],[ScopeP]]="Unchanged",6.42*Table4[[#This Row],[ISC BaseP]],IF(Table4[[#This Row],[ScopeP]]="Changed",7.52*(Table4[[#This Row],[ISC BaseP]] - 0.029) - 3.25 * POWER(Table4[[#This Row],[ISC BaseP]] - 0.02,15),NA()))</f>
        <v>#N/A</v>
      </c>
      <c r="AN5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187"/>
    </row>
    <row r="60" spans="1:43" ht="112" x14ac:dyDescent="0.35">
      <c r="A60" s="70">
        <v>56</v>
      </c>
      <c r="B60" s="182" t="s">
        <v>130</v>
      </c>
      <c r="C60" s="195" t="str">
        <f>IF(VLOOKUP(Table4[[#This Row],[T ID]],Table5[#All],5,FALSE)="No","Not in scope",VLOOKUP(Table4[[#This Row],[T ID]],Table5[#All],2,FALSE))</f>
        <v>Clearing Track
(TTP)</v>
      </c>
      <c r="D60" s="212" t="s">
        <v>229</v>
      </c>
      <c r="E60" s="195" t="str">
        <f>IF(VLOOKUP(Table4[[#This Row],[V ID]],Vulnerabilities[#All],3,FALSE)="No","Not in scope",VLOOKUP(Table4[[#This Row],[V ID]],Vulnerabilities[#All],2,FALSE))</f>
        <v>Ineffective patch management of firware, OS and applications thoughout the information system plan</v>
      </c>
      <c r="F60" s="216" t="s">
        <v>113</v>
      </c>
      <c r="G60" s="195" t="str">
        <f>VLOOKUP(Table4[[#This Row],[A ID]],Assets[#All],3,FALSE)</f>
        <v>Tablet OS/network details &amp; Tablet Application</v>
      </c>
      <c r="H60" s="49" t="s">
        <v>277</v>
      </c>
      <c r="I60" s="49"/>
      <c r="J60" s="87" t="s">
        <v>57</v>
      </c>
      <c r="K60" s="87" t="s">
        <v>57</v>
      </c>
      <c r="L60" s="87" t="s">
        <v>57</v>
      </c>
      <c r="M60" s="196" t="s">
        <v>80</v>
      </c>
      <c r="N60" s="157" t="s">
        <v>57</v>
      </c>
      <c r="O60" s="157" t="s">
        <v>57</v>
      </c>
      <c r="P60" s="196" t="s">
        <v>78</v>
      </c>
      <c r="Q60" s="196" t="s">
        <v>75</v>
      </c>
      <c r="R6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198">
        <f>(1 - ((1 - VLOOKUP(Table4[[#This Row],[Confidentiality]],'Reference - CVSSv3.0'!$B$15:$C$17,2,FALSE)) * (1 - VLOOKUP(Table4[[#This Row],[Integrity]],'Reference - CVSSv3.0'!$B$15:$C$17,2,FALSE)) *  (1 - VLOOKUP(Table4[[#This Row],[Availability]],'Reference - CVSSv3.0'!$B$15:$C$17,2,FALSE))))</f>
        <v>0.52544799999999992</v>
      </c>
      <c r="T60" s="198">
        <f>IF(Table4[[#This Row],[Scope]]="Unchanged",6.42*Table4[[#This Row],[ISC Base]],IF(Table4[[#This Row],[Scope]]="Changed",7.52*(Table4[[#This Row],[ISC Base]] - 0.029) - 3.25 * POWER(Table4[[#This Row],[ISC Base]] - 0.02,15),NA()))</f>
        <v>3.3733761599999994</v>
      </c>
      <c r="U60"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182" t="s">
        <v>57</v>
      </c>
      <c r="W60" s="198">
        <f>VLOOKUP(Table4[[#This Row],[Threat Event Initiation]],NIST_Scale_LOAI[],2,FALSE)</f>
        <v>0.2</v>
      </c>
      <c r="X6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49" t="s">
        <v>345</v>
      </c>
      <c r="AA60" s="49" t="s">
        <v>346</v>
      </c>
      <c r="AB60" s="206"/>
      <c r="AC60" s="187"/>
      <c r="AD60" s="187"/>
      <c r="AE60" s="187"/>
      <c r="AF60" s="196"/>
      <c r="AG60" s="196"/>
      <c r="AH60" s="196"/>
      <c r="AI60" s="196"/>
      <c r="AJ60" s="201"/>
      <c r="AK6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198" t="e">
        <f>(1 - ((1 - VLOOKUP(Table4[[#This Row],[ConfidentialityP]],'Reference - CVSSv3.0'!$B$15:$C$17,2,FALSE)) * (1 - VLOOKUP(Table4[[#This Row],[IntegrityP]],'Reference - CVSSv3.0'!$B$15:$C$17,2,FALSE)) *  (1 - VLOOKUP(Table4[[#This Row],[AvailabilityP]],'Reference - CVSSv3.0'!$B$15:$C$17,2,FALSE))))</f>
        <v>#N/A</v>
      </c>
      <c r="AM60" s="198" t="e">
        <f>IF(Table4[[#This Row],[ScopeP]]="Unchanged",6.42*Table4[[#This Row],[ISC BaseP]],IF(Table4[[#This Row],[ScopeP]]="Changed",7.52*(Table4[[#This Row],[ISC BaseP]] - 0.029) - 3.25 * POWER(Table4[[#This Row],[ISC BaseP]] - 0.02,15),NA()))</f>
        <v>#N/A</v>
      </c>
      <c r="AN6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187"/>
    </row>
    <row r="61" spans="1:43" ht="112" x14ac:dyDescent="0.35">
      <c r="A61" s="70">
        <v>57</v>
      </c>
      <c r="B61" s="182" t="s">
        <v>130</v>
      </c>
      <c r="C61" s="195" t="str">
        <f>IF(VLOOKUP(Table4[[#This Row],[T ID]],Table5[#All],5,FALSE)="No","Not in scope",VLOOKUP(Table4[[#This Row],[T ID]],Table5[#All],2,FALSE))</f>
        <v>Clearing Track
(TTP)</v>
      </c>
      <c r="D61" s="212" t="s">
        <v>231</v>
      </c>
      <c r="E61" s="195" t="str">
        <f>IF(VLOOKUP(Table4[[#This Row],[V ID]],Vulnerabilities[#All],3,FALSE)="No","Not in scope",VLOOKUP(Table4[[#This Row],[V ID]],Vulnerabilities[#All],2,FALSE))</f>
        <v>The  static connection digaram between devices and applications with provision for periodic updation as per changes</v>
      </c>
      <c r="F61" s="216" t="s">
        <v>116</v>
      </c>
      <c r="G61" s="195" t="str">
        <f>VLOOKUP(Table4[[#This Row],[A ID]],Assets[#All],3,FALSE)</f>
        <v>Device Maintainence tool (Hardware/Software)</v>
      </c>
      <c r="H61" s="49" t="s">
        <v>277</v>
      </c>
      <c r="I61" s="49"/>
      <c r="J61" s="87" t="s">
        <v>57</v>
      </c>
      <c r="K61" s="87" t="s">
        <v>57</v>
      </c>
      <c r="L61" s="87" t="s">
        <v>57</v>
      </c>
      <c r="M61" s="196" t="s">
        <v>80</v>
      </c>
      <c r="N61" s="157" t="s">
        <v>57</v>
      </c>
      <c r="O61" s="157" t="s">
        <v>57</v>
      </c>
      <c r="P61" s="196" t="s">
        <v>78</v>
      </c>
      <c r="Q61" s="196" t="s">
        <v>75</v>
      </c>
      <c r="R6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198">
        <f>(1 - ((1 - VLOOKUP(Table4[[#This Row],[Confidentiality]],'Reference - CVSSv3.0'!$B$15:$C$17,2,FALSE)) * (1 - VLOOKUP(Table4[[#This Row],[Integrity]],'Reference - CVSSv3.0'!$B$15:$C$17,2,FALSE)) *  (1 - VLOOKUP(Table4[[#This Row],[Availability]],'Reference - CVSSv3.0'!$B$15:$C$17,2,FALSE))))</f>
        <v>0.52544799999999992</v>
      </c>
      <c r="T61" s="198">
        <f>IF(Table4[[#This Row],[Scope]]="Unchanged",6.42*Table4[[#This Row],[ISC Base]],IF(Table4[[#This Row],[Scope]]="Changed",7.52*(Table4[[#This Row],[ISC Base]] - 0.029) - 3.25 * POWER(Table4[[#This Row],[ISC Base]] - 0.02,15),NA()))</f>
        <v>3.3733761599999994</v>
      </c>
      <c r="U6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182" t="s">
        <v>57</v>
      </c>
      <c r="W61" s="198">
        <f>VLOOKUP(Table4[[#This Row],[Threat Event Initiation]],NIST_Scale_LOAI[],2,FALSE)</f>
        <v>0.2</v>
      </c>
      <c r="X6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49" t="s">
        <v>345</v>
      </c>
      <c r="AA61" s="49" t="s">
        <v>346</v>
      </c>
      <c r="AB61" s="206"/>
      <c r="AC61" s="187"/>
      <c r="AD61" s="187"/>
      <c r="AE61" s="187"/>
      <c r="AF61" s="196"/>
      <c r="AG61" s="196"/>
      <c r="AH61" s="196"/>
      <c r="AI61" s="196"/>
      <c r="AJ61" s="201"/>
      <c r="AK6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198" t="e">
        <f>(1 - ((1 - VLOOKUP(Table4[[#This Row],[ConfidentialityP]],'Reference - CVSSv3.0'!$B$15:$C$17,2,FALSE)) * (1 - VLOOKUP(Table4[[#This Row],[IntegrityP]],'Reference - CVSSv3.0'!$B$15:$C$17,2,FALSE)) *  (1 - VLOOKUP(Table4[[#This Row],[AvailabilityP]],'Reference - CVSSv3.0'!$B$15:$C$17,2,FALSE))))</f>
        <v>#N/A</v>
      </c>
      <c r="AM61" s="198" t="e">
        <f>IF(Table4[[#This Row],[ScopeP]]="Unchanged",6.42*Table4[[#This Row],[ISC BaseP]],IF(Table4[[#This Row],[ScopeP]]="Changed",7.52*(Table4[[#This Row],[ISC BaseP]] - 0.029) - 3.25 * POWER(Table4[[#This Row],[ISC BaseP]] - 0.02,15),NA()))</f>
        <v>#N/A</v>
      </c>
      <c r="AN6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187"/>
    </row>
    <row r="62" spans="1:43" ht="112" x14ac:dyDescent="0.35">
      <c r="A62" s="70">
        <v>58</v>
      </c>
      <c r="B62" s="182" t="s">
        <v>130</v>
      </c>
      <c r="C62" s="195" t="str">
        <f>IF(VLOOKUP(Table4[[#This Row],[T ID]],Table5[#All],5,FALSE)="No","Not in scope",VLOOKUP(Table4[[#This Row],[T ID]],Table5[#All],2,FALSE))</f>
        <v>Clearing Track
(TTP)</v>
      </c>
      <c r="D62" s="212" t="s">
        <v>231</v>
      </c>
      <c r="E62" s="195" t="str">
        <f>IF(VLOOKUP(Table4[[#This Row],[V ID]],Vulnerabilities[#All],3,FALSE)="No","Not in scope",VLOOKUP(Table4[[#This Row],[V ID]],Vulnerabilities[#All],2,FALSE))</f>
        <v>The  static connection digaram between devices and applications with provision for periodic updation as per changes</v>
      </c>
      <c r="F62" s="216" t="s">
        <v>112</v>
      </c>
      <c r="G62" s="195" t="str">
        <f>VLOOKUP(Table4[[#This Row],[A ID]],Assets[#All],3,FALSE)</f>
        <v>Tablet Resources - web cam, microphone, OTG devices, Removable USB, Tablet Application, Network interfaces (Bluetooth, Wifi)</v>
      </c>
      <c r="H62" s="49" t="s">
        <v>277</v>
      </c>
      <c r="I62" s="49"/>
      <c r="J62" s="87" t="s">
        <v>57</v>
      </c>
      <c r="K62" s="87" t="s">
        <v>57</v>
      </c>
      <c r="L62" s="87" t="s">
        <v>57</v>
      </c>
      <c r="M62" s="196" t="s">
        <v>80</v>
      </c>
      <c r="N62" s="157" t="s">
        <v>57</v>
      </c>
      <c r="O62" s="157" t="s">
        <v>57</v>
      </c>
      <c r="P62" s="196" t="s">
        <v>78</v>
      </c>
      <c r="Q62" s="196" t="s">
        <v>75</v>
      </c>
      <c r="R6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198">
        <f>(1 - ((1 - VLOOKUP(Table4[[#This Row],[Confidentiality]],'Reference - CVSSv3.0'!$B$15:$C$17,2,FALSE)) * (1 - VLOOKUP(Table4[[#This Row],[Integrity]],'Reference - CVSSv3.0'!$B$15:$C$17,2,FALSE)) *  (1 - VLOOKUP(Table4[[#This Row],[Availability]],'Reference - CVSSv3.0'!$B$15:$C$17,2,FALSE))))</f>
        <v>0.52544799999999992</v>
      </c>
      <c r="T62" s="198">
        <f>IF(Table4[[#This Row],[Scope]]="Unchanged",6.42*Table4[[#This Row],[ISC Base]],IF(Table4[[#This Row],[Scope]]="Changed",7.52*(Table4[[#This Row],[ISC Base]] - 0.029) - 3.25 * POWER(Table4[[#This Row],[ISC Base]] - 0.02,15),NA()))</f>
        <v>3.3733761599999994</v>
      </c>
      <c r="U6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182" t="s">
        <v>57</v>
      </c>
      <c r="W62" s="198">
        <f>VLOOKUP(Table4[[#This Row],[Threat Event Initiation]],NIST_Scale_LOAI[],2,FALSE)</f>
        <v>0.2</v>
      </c>
      <c r="X6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49" t="s">
        <v>345</v>
      </c>
      <c r="AA62" s="49" t="s">
        <v>346</v>
      </c>
      <c r="AB62" s="206"/>
      <c r="AC62" s="187"/>
      <c r="AD62" s="187"/>
      <c r="AE62" s="187"/>
      <c r="AF62" s="196"/>
      <c r="AG62" s="196"/>
      <c r="AH62" s="196"/>
      <c r="AI62" s="196"/>
      <c r="AJ62" s="201"/>
      <c r="AK6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198" t="e">
        <f>(1 - ((1 - VLOOKUP(Table4[[#This Row],[ConfidentialityP]],'Reference - CVSSv3.0'!$B$15:$C$17,2,FALSE)) * (1 - VLOOKUP(Table4[[#This Row],[IntegrityP]],'Reference - CVSSv3.0'!$B$15:$C$17,2,FALSE)) *  (1 - VLOOKUP(Table4[[#This Row],[AvailabilityP]],'Reference - CVSSv3.0'!$B$15:$C$17,2,FALSE))))</f>
        <v>#N/A</v>
      </c>
      <c r="AM62" s="198" t="e">
        <f>IF(Table4[[#This Row],[ScopeP]]="Unchanged",6.42*Table4[[#This Row],[ISC BaseP]],IF(Table4[[#This Row],[ScopeP]]="Changed",7.52*(Table4[[#This Row],[ISC BaseP]] - 0.029) - 3.25 * POWER(Table4[[#This Row],[ISC BaseP]] - 0.02,15),NA()))</f>
        <v>#N/A</v>
      </c>
      <c r="AN6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187"/>
    </row>
    <row r="63" spans="1:43" ht="163.5" customHeight="1" x14ac:dyDescent="0.35">
      <c r="A63" s="70">
        <v>59</v>
      </c>
      <c r="B63" s="182" t="s">
        <v>257</v>
      </c>
      <c r="C63" s="195" t="str">
        <f>IF(VLOOKUP(Table4[[#This Row],[T ID]],Table5[#All],5,FALSE)="No","Not in scope",VLOOKUP(Table4[[#This Row],[T ID]],Table5[#All],2,FALSE))</f>
        <v>Elevation of privilege
(STRID[E])</v>
      </c>
      <c r="D63" s="210" t="s">
        <v>244</v>
      </c>
      <c r="E63" s="195" t="str">
        <f>IF(VLOOKUP(Table4[[#This Row],[V ID]],Vulnerabilities[#All],3,FALSE)="No","Not in scope",VLOOKUP(Table4[[#This Row],[V ID]],Vulnerabilities[#All],2,FALSE))</f>
        <v>Controlled Use of Administrative Privileges over the network</v>
      </c>
      <c r="F63" s="213" t="s">
        <v>115</v>
      </c>
      <c r="G63" s="195" t="str">
        <f>VLOOKUP(Table4[[#This Row],[A ID]],Assets[#All],3,FALSE)</f>
        <v>Authentication/Authorisation method of all device(s)/app</v>
      </c>
      <c r="H63" s="49" t="s">
        <v>278</v>
      </c>
      <c r="I63" s="49"/>
      <c r="J63" s="87" t="s">
        <v>57</v>
      </c>
      <c r="K63" s="87" t="s">
        <v>57</v>
      </c>
      <c r="L63" s="87" t="s">
        <v>57</v>
      </c>
      <c r="M63" s="196" t="s">
        <v>79</v>
      </c>
      <c r="N63" s="157" t="s">
        <v>57</v>
      </c>
      <c r="O63" s="157" t="s">
        <v>57</v>
      </c>
      <c r="P63" s="196" t="s">
        <v>77</v>
      </c>
      <c r="Q63" s="196" t="s">
        <v>75</v>
      </c>
      <c r="R6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198">
        <f>(1 - ((1 - VLOOKUP(Table4[[#This Row],[Confidentiality]],'Reference - CVSSv3.0'!$B$15:$C$17,2,FALSE)) * (1 - VLOOKUP(Table4[[#This Row],[Integrity]],'Reference - CVSSv3.0'!$B$15:$C$17,2,FALSE)) *  (1 - VLOOKUP(Table4[[#This Row],[Availability]],'Reference - CVSSv3.0'!$B$15:$C$17,2,FALSE))))</f>
        <v>0.52544799999999992</v>
      </c>
      <c r="T63" s="198">
        <f>IF(Table4[[#This Row],[Scope]]="Unchanged",6.42*Table4[[#This Row],[ISC Base]],IF(Table4[[#This Row],[Scope]]="Changed",7.52*(Table4[[#This Row],[ISC Base]] - 0.029) - 3.25 * POWER(Table4[[#This Row],[ISC Base]] - 0.02,15),NA()))</f>
        <v>3.3733761599999994</v>
      </c>
      <c r="U63"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182" t="s">
        <v>57</v>
      </c>
      <c r="W63" s="198">
        <f>VLOOKUP(Table4[[#This Row],[Threat Event Initiation]],NIST_Scale_LOAI[],2,FALSE)</f>
        <v>0.2</v>
      </c>
      <c r="X6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49" t="s">
        <v>378</v>
      </c>
      <c r="AA63" s="49" t="s">
        <v>380</v>
      </c>
      <c r="AB63" s="206"/>
      <c r="AC63" s="187"/>
      <c r="AD63" s="187"/>
      <c r="AE63" s="187"/>
      <c r="AF63" s="196"/>
      <c r="AG63" s="196"/>
      <c r="AH63" s="196"/>
      <c r="AI63" s="196"/>
      <c r="AJ63" s="201"/>
      <c r="AK6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198" t="e">
        <f>(1 - ((1 - VLOOKUP(Table4[[#This Row],[ConfidentialityP]],'Reference - CVSSv3.0'!$B$15:$C$17,2,FALSE)) * (1 - VLOOKUP(Table4[[#This Row],[IntegrityP]],'Reference - CVSSv3.0'!$B$15:$C$17,2,FALSE)) *  (1 - VLOOKUP(Table4[[#This Row],[AvailabilityP]],'Reference - CVSSv3.0'!$B$15:$C$17,2,FALSE))))</f>
        <v>#N/A</v>
      </c>
      <c r="AM63" s="198" t="e">
        <f>IF(Table4[[#This Row],[ScopeP]]="Unchanged",6.42*Table4[[#This Row],[ISC BaseP]],IF(Table4[[#This Row],[ScopeP]]="Changed",7.52*(Table4[[#This Row],[ISC BaseP]] - 0.029) - 3.25 * POWER(Table4[[#This Row],[ISC BaseP]] - 0.02,15),NA()))</f>
        <v>#N/A</v>
      </c>
      <c r="AN6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187"/>
    </row>
    <row r="64" spans="1:43" ht="169.5" customHeight="1" x14ac:dyDescent="0.35">
      <c r="A64" s="70">
        <v>60</v>
      </c>
      <c r="B64" s="182" t="s">
        <v>257</v>
      </c>
      <c r="C64" s="195" t="str">
        <f>IF(VLOOKUP(Table4[[#This Row],[T ID]],Table5[#All],5,FALSE)="No","Not in scope",VLOOKUP(Table4[[#This Row],[T ID]],Table5[#All],2,FALSE))</f>
        <v>Elevation of privilege
(STRID[E])</v>
      </c>
      <c r="D64" s="210" t="s">
        <v>244</v>
      </c>
      <c r="E64" s="195" t="str">
        <f>IF(VLOOKUP(Table4[[#This Row],[V ID]],Vulnerabilities[#All],3,FALSE)="No","Not in scope",VLOOKUP(Table4[[#This Row],[V ID]],Vulnerabilities[#All],2,FALSE))</f>
        <v>Controlled Use of Administrative Privileges over the network</v>
      </c>
      <c r="F64" s="221" t="s">
        <v>109</v>
      </c>
      <c r="G64" s="195" t="str">
        <f>VLOOKUP(Table4[[#This Row],[A ID]],Assets[#All],3,FALSE)</f>
        <v>Smart medic app (Azure Portal Administrator)</v>
      </c>
      <c r="H64" s="49" t="s">
        <v>278</v>
      </c>
      <c r="I64" s="49"/>
      <c r="J64" s="87" t="s">
        <v>78</v>
      </c>
      <c r="K64" s="87" t="s">
        <v>57</v>
      </c>
      <c r="L64" s="87" t="s">
        <v>66</v>
      </c>
      <c r="M64" s="196" t="s">
        <v>79</v>
      </c>
      <c r="N64" s="157" t="s">
        <v>57</v>
      </c>
      <c r="O64" s="157" t="s">
        <v>66</v>
      </c>
      <c r="P64" s="196" t="s">
        <v>77</v>
      </c>
      <c r="Q64" s="196" t="s">
        <v>75</v>
      </c>
      <c r="R6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198">
        <f>(1 - ((1 - VLOOKUP(Table4[[#This Row],[Confidentiality]],'Reference - CVSSv3.0'!$B$15:$C$17,2,FALSE)) * (1 - VLOOKUP(Table4[[#This Row],[Integrity]],'Reference - CVSSv3.0'!$B$15:$C$17,2,FALSE)) *  (1 - VLOOKUP(Table4[[#This Row],[Availability]],'Reference - CVSSv3.0'!$B$15:$C$17,2,FALSE))))</f>
        <v>0.65680000000000005</v>
      </c>
      <c r="T64" s="198">
        <f>IF(Table4[[#This Row],[Scope]]="Unchanged",6.42*Table4[[#This Row],[ISC Base]],IF(Table4[[#This Row],[Scope]]="Changed",7.52*(Table4[[#This Row],[ISC Base]] - 0.029) - 3.25 * POWER(Table4[[#This Row],[ISC Base]] - 0.02,15),NA()))</f>
        <v>4.2166560000000004</v>
      </c>
      <c r="U64" s="198">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182" t="s">
        <v>56</v>
      </c>
      <c r="W64" s="198">
        <f>VLOOKUP(Table4[[#This Row],[Threat Event Initiation]],NIST_Scale_LOAI[],2,FALSE)</f>
        <v>0.5</v>
      </c>
      <c r="X6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49" t="s">
        <v>378</v>
      </c>
      <c r="AA64" s="49" t="s">
        <v>379</v>
      </c>
      <c r="AB64" s="206"/>
      <c r="AC64" s="187"/>
      <c r="AD64" s="187"/>
      <c r="AE64" s="187"/>
      <c r="AF64" s="196"/>
      <c r="AG64" s="196"/>
      <c r="AH64" s="196"/>
      <c r="AI64" s="196"/>
      <c r="AJ64" s="201"/>
      <c r="AK6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198" t="e">
        <f>(1 - ((1 - VLOOKUP(Table4[[#This Row],[ConfidentialityP]],'Reference - CVSSv3.0'!$B$15:$C$17,2,FALSE)) * (1 - VLOOKUP(Table4[[#This Row],[IntegrityP]],'Reference - CVSSv3.0'!$B$15:$C$17,2,FALSE)) *  (1 - VLOOKUP(Table4[[#This Row],[AvailabilityP]],'Reference - CVSSv3.0'!$B$15:$C$17,2,FALSE))))</f>
        <v>#N/A</v>
      </c>
      <c r="AM64" s="198" t="e">
        <f>IF(Table4[[#This Row],[ScopeP]]="Unchanged",6.42*Table4[[#This Row],[ISC BaseP]],IF(Table4[[#This Row],[ScopeP]]="Changed",7.52*(Table4[[#This Row],[ISC BaseP]] - 0.029) - 3.25 * POWER(Table4[[#This Row],[ISC BaseP]] - 0.02,15),NA()))</f>
        <v>#N/A</v>
      </c>
      <c r="AN6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187"/>
    </row>
    <row r="65" spans="1:43" ht="112" x14ac:dyDescent="0.35">
      <c r="A65" s="70">
        <v>61</v>
      </c>
      <c r="B65" s="182" t="s">
        <v>258</v>
      </c>
      <c r="C65" s="195" t="str">
        <f>IF(VLOOKUP(Table4[[#This Row],[T ID]],Table5[#All],5,FALSE)="No","Not in scope",VLOOKUP(Table4[[#This Row],[T ID]],Table5[#All],2,FALSE))</f>
        <v>Denial of service
(STRI(D)E)</v>
      </c>
      <c r="D65" s="210" t="s">
        <v>241</v>
      </c>
      <c r="E65" s="195" t="str">
        <f>IF(VLOOKUP(Table4[[#This Row],[V ID]],Vulnerabilities[#All],3,FALSE)="No","Not in scope",VLOOKUP(Table4[[#This Row],[V ID]],Vulnerabilities[#All],2,FALSE))</f>
        <v>Unprotected network port(s) on network devices and connection points</v>
      </c>
      <c r="F65" s="216" t="s">
        <v>113</v>
      </c>
      <c r="G65" s="195" t="str">
        <f>VLOOKUP(Table4[[#This Row],[A ID]],Assets[#All],3,FALSE)</f>
        <v>Tablet OS/network details &amp; Tablet Application</v>
      </c>
      <c r="H65" s="49" t="s">
        <v>279</v>
      </c>
      <c r="I65" s="49"/>
      <c r="J65" s="87" t="s">
        <v>78</v>
      </c>
      <c r="K65" s="87" t="s">
        <v>78</v>
      </c>
      <c r="L65" s="87" t="s">
        <v>66</v>
      </c>
      <c r="M65" s="196" t="s">
        <v>79</v>
      </c>
      <c r="N65" s="157" t="s">
        <v>57</v>
      </c>
      <c r="O65" s="157" t="s">
        <v>57</v>
      </c>
      <c r="P65" s="196" t="s">
        <v>78</v>
      </c>
      <c r="Q65" s="196" t="s">
        <v>75</v>
      </c>
      <c r="R6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198">
        <f>(1 - ((1 - VLOOKUP(Table4[[#This Row],[Confidentiality]],'Reference - CVSSv3.0'!$B$15:$C$17,2,FALSE)) * (1 - VLOOKUP(Table4[[#This Row],[Integrity]],'Reference - CVSSv3.0'!$B$15:$C$17,2,FALSE)) *  (1 - VLOOKUP(Table4[[#This Row],[Availability]],'Reference - CVSSv3.0'!$B$15:$C$17,2,FALSE))))</f>
        <v>0.56000000000000005</v>
      </c>
      <c r="T65" s="198">
        <f>IF(Table4[[#This Row],[Scope]]="Unchanged",6.42*Table4[[#This Row],[ISC Base]],IF(Table4[[#This Row],[Scope]]="Changed",7.52*(Table4[[#This Row],[ISC Base]] - 0.029) - 3.25 * POWER(Table4[[#This Row],[ISC Base]] - 0.02,15),NA()))</f>
        <v>3.5952000000000002</v>
      </c>
      <c r="U65"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182" t="s">
        <v>57</v>
      </c>
      <c r="W65" s="198">
        <f>VLOOKUP(Table4[[#This Row],[Threat Event Initiation]],NIST_Scale_LOAI[],2,FALSE)</f>
        <v>0.2</v>
      </c>
      <c r="X6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49" t="s">
        <v>345</v>
      </c>
      <c r="AA65" s="49" t="s">
        <v>346</v>
      </c>
      <c r="AB65" s="206"/>
      <c r="AC65" s="187"/>
      <c r="AD65" s="187"/>
      <c r="AE65" s="187"/>
      <c r="AF65" s="196"/>
      <c r="AG65" s="196"/>
      <c r="AH65" s="196"/>
      <c r="AI65" s="196"/>
      <c r="AJ65" s="201"/>
      <c r="AK6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198" t="e">
        <f>(1 - ((1 - VLOOKUP(Table4[[#This Row],[ConfidentialityP]],'Reference - CVSSv3.0'!$B$15:$C$17,2,FALSE)) * (1 - VLOOKUP(Table4[[#This Row],[IntegrityP]],'Reference - CVSSv3.0'!$B$15:$C$17,2,FALSE)) *  (1 - VLOOKUP(Table4[[#This Row],[AvailabilityP]],'Reference - CVSSv3.0'!$B$15:$C$17,2,FALSE))))</f>
        <v>#N/A</v>
      </c>
      <c r="AM65" s="198" t="e">
        <f>IF(Table4[[#This Row],[ScopeP]]="Unchanged",6.42*Table4[[#This Row],[ISC BaseP]],IF(Table4[[#This Row],[ScopeP]]="Changed",7.52*(Table4[[#This Row],[ISC BaseP]] - 0.029) - 3.25 * POWER(Table4[[#This Row],[ISC BaseP]] - 0.02,15),NA()))</f>
        <v>#N/A</v>
      </c>
      <c r="AN6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187"/>
    </row>
    <row r="66" spans="1:43" ht="154" x14ac:dyDescent="0.35">
      <c r="A66" s="70">
        <v>62</v>
      </c>
      <c r="B66" s="182" t="s">
        <v>259</v>
      </c>
      <c r="C66" s="195" t="str">
        <f>IF(VLOOKUP(Table4[[#This Row],[T ID]],Table5[#All],5,FALSE)="No","Not in scope",VLOOKUP(Table4[[#This Row],[T ID]],Table5[#All],2,FALSE))</f>
        <v>Information disclosure
(STR(I)DE)</v>
      </c>
      <c r="D66" s="210" t="s">
        <v>245</v>
      </c>
      <c r="E66" s="195" t="str">
        <f>IF(VLOOKUP(Table4[[#This Row],[V ID]],Vulnerabilities[#All],3,FALSE)="No","Not in scope",VLOOKUP(Table4[[#This Row],[V ID]],Vulnerabilities[#All],2,FALSE))</f>
        <v>Unencrypted data at rest in all possible locations</v>
      </c>
      <c r="F66" s="42" t="s">
        <v>120</v>
      </c>
      <c r="G66" s="195" t="str">
        <f>VLOOKUP(Table4[[#This Row],[A ID]],Assets[#All],3,FALSE)</f>
        <v>Data at Rest</v>
      </c>
      <c r="H66" s="49" t="s">
        <v>286</v>
      </c>
      <c r="I66" s="49"/>
      <c r="J66" s="87" t="s">
        <v>57</v>
      </c>
      <c r="K66" s="87" t="s">
        <v>57</v>
      </c>
      <c r="L66" s="87" t="s">
        <v>57</v>
      </c>
      <c r="M66" s="196" t="s">
        <v>80</v>
      </c>
      <c r="N66" s="157" t="s">
        <v>66</v>
      </c>
      <c r="O66" s="157" t="s">
        <v>66</v>
      </c>
      <c r="P66" s="196" t="s">
        <v>78</v>
      </c>
      <c r="Q66" s="196" t="s">
        <v>75</v>
      </c>
      <c r="R6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198">
        <f>(1 - ((1 - VLOOKUP(Table4[[#This Row],[Confidentiality]],'Reference - CVSSv3.0'!$B$15:$C$17,2,FALSE)) * (1 - VLOOKUP(Table4[[#This Row],[Integrity]],'Reference - CVSSv3.0'!$B$15:$C$17,2,FALSE)) *  (1 - VLOOKUP(Table4[[#This Row],[Availability]],'Reference - CVSSv3.0'!$B$15:$C$17,2,FALSE))))</f>
        <v>0.52544799999999992</v>
      </c>
      <c r="T66" s="198">
        <f>IF(Table4[[#This Row],[Scope]]="Unchanged",6.42*Table4[[#This Row],[ISC Base]],IF(Table4[[#This Row],[Scope]]="Changed",7.52*(Table4[[#This Row],[ISC Base]] - 0.029) - 3.25 * POWER(Table4[[#This Row],[ISC Base]] - 0.02,15),NA()))</f>
        <v>3.3733761599999994</v>
      </c>
      <c r="U66"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182" t="s">
        <v>56</v>
      </c>
      <c r="W66" s="198">
        <f>VLOOKUP(Table4[[#This Row],[Threat Event Initiation]],NIST_Scale_LOAI[],2,FALSE)</f>
        <v>0.5</v>
      </c>
      <c r="X6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49" t="s">
        <v>355</v>
      </c>
      <c r="AA66" s="49" t="s">
        <v>356</v>
      </c>
      <c r="AB66" s="206"/>
      <c r="AC66" s="187"/>
      <c r="AD66" s="187"/>
      <c r="AE66" s="187"/>
      <c r="AF66" s="196"/>
      <c r="AG66" s="196"/>
      <c r="AH66" s="196"/>
      <c r="AI66" s="196"/>
      <c r="AJ66" s="201"/>
      <c r="AK6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198" t="e">
        <f>(1 - ((1 - VLOOKUP(Table4[[#This Row],[ConfidentialityP]],'Reference - CVSSv3.0'!$B$15:$C$17,2,FALSE)) * (1 - VLOOKUP(Table4[[#This Row],[IntegrityP]],'Reference - CVSSv3.0'!$B$15:$C$17,2,FALSE)) *  (1 - VLOOKUP(Table4[[#This Row],[AvailabilityP]],'Reference - CVSSv3.0'!$B$15:$C$17,2,FALSE))))</f>
        <v>#N/A</v>
      </c>
      <c r="AM66" s="198" t="e">
        <f>IF(Table4[[#This Row],[ScopeP]]="Unchanged",6.42*Table4[[#This Row],[ISC BaseP]],IF(Table4[[#This Row],[ScopeP]]="Changed",7.52*(Table4[[#This Row],[ISC BaseP]] - 0.029) - 3.25 * POWER(Table4[[#This Row],[ISC BaseP]] - 0.02,15),NA()))</f>
        <v>#N/A</v>
      </c>
      <c r="AN6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187"/>
    </row>
    <row r="67" spans="1:43" ht="182" x14ac:dyDescent="0.35">
      <c r="A67" s="70">
        <v>63</v>
      </c>
      <c r="B67" s="182" t="s">
        <v>259</v>
      </c>
      <c r="C67" s="195" t="str">
        <f>IF(VLOOKUP(Table4[[#This Row],[T ID]],Table5[#All],5,FALSE)="No","Not in scope",VLOOKUP(Table4[[#This Row],[T ID]],Table5[#All],2,FALSE))</f>
        <v>Information disclosure
(STR(I)DE)</v>
      </c>
      <c r="D67" s="210" t="s">
        <v>249</v>
      </c>
      <c r="E67" s="195" t="str">
        <f>IF(VLOOKUP(Table4[[#This Row],[V ID]],Vulnerabilities[#All],3,FALSE)="No","Not in scope",VLOOKUP(Table4[[#This Row],[V ID]],Vulnerabilities[#All],2,FALSE))</f>
        <v>Unencrypted data in transit in all flowchannels</v>
      </c>
      <c r="F67" s="42" t="s">
        <v>107</v>
      </c>
      <c r="G67" s="195" t="str">
        <f>VLOOKUP(Table4[[#This Row],[A ID]],Assets[#All],3,FALSE)</f>
        <v>Data in Transit</v>
      </c>
      <c r="H67" s="49" t="s">
        <v>286</v>
      </c>
      <c r="I67" s="49"/>
      <c r="J67" s="87" t="s">
        <v>57</v>
      </c>
      <c r="K67" s="87" t="s">
        <v>78</v>
      </c>
      <c r="L67" s="87" t="s">
        <v>57</v>
      </c>
      <c r="M67" s="196" t="s">
        <v>79</v>
      </c>
      <c r="N67" s="157" t="s">
        <v>66</v>
      </c>
      <c r="O67" s="157" t="s">
        <v>57</v>
      </c>
      <c r="P67" s="196" t="s">
        <v>78</v>
      </c>
      <c r="Q67" s="196" t="s">
        <v>75</v>
      </c>
      <c r="R6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198">
        <f>(1 - ((1 - VLOOKUP(Table4[[#This Row],[Confidentiality]],'Reference - CVSSv3.0'!$B$15:$C$17,2,FALSE)) * (1 - VLOOKUP(Table4[[#This Row],[Integrity]],'Reference - CVSSv3.0'!$B$15:$C$17,2,FALSE)) *  (1 - VLOOKUP(Table4[[#This Row],[Availability]],'Reference - CVSSv3.0'!$B$15:$C$17,2,FALSE))))</f>
        <v>0.39159999999999995</v>
      </c>
      <c r="T67" s="198">
        <f>IF(Table4[[#This Row],[Scope]]="Unchanged",6.42*Table4[[#This Row],[ISC Base]],IF(Table4[[#This Row],[Scope]]="Changed",7.52*(Table4[[#This Row],[ISC Base]] - 0.029) - 3.25 * POWER(Table4[[#This Row],[ISC Base]] - 0.02,15),NA()))</f>
        <v>2.5140719999999996</v>
      </c>
      <c r="U67"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182" t="s">
        <v>56</v>
      </c>
      <c r="W67" s="198">
        <f>VLOOKUP(Table4[[#This Row],[Threat Event Initiation]],NIST_Scale_LOAI[],2,FALSE)</f>
        <v>0.5</v>
      </c>
      <c r="X6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49" t="s">
        <v>359</v>
      </c>
      <c r="AA67" s="49" t="s">
        <v>360</v>
      </c>
      <c r="AB67" s="206"/>
      <c r="AC67" s="187"/>
      <c r="AD67" s="187"/>
      <c r="AE67" s="187"/>
      <c r="AF67" s="196"/>
      <c r="AG67" s="196"/>
      <c r="AH67" s="196"/>
      <c r="AI67" s="196"/>
      <c r="AJ67" s="201"/>
      <c r="AK6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198" t="e">
        <f>(1 - ((1 - VLOOKUP(Table4[[#This Row],[ConfidentialityP]],'Reference - CVSSv3.0'!$B$15:$C$17,2,FALSE)) * (1 - VLOOKUP(Table4[[#This Row],[IntegrityP]],'Reference - CVSSv3.0'!$B$15:$C$17,2,FALSE)) *  (1 - VLOOKUP(Table4[[#This Row],[AvailabilityP]],'Reference - CVSSv3.0'!$B$15:$C$17,2,FALSE))))</f>
        <v>#N/A</v>
      </c>
      <c r="AM67" s="198" t="e">
        <f>IF(Table4[[#This Row],[ScopeP]]="Unchanged",6.42*Table4[[#This Row],[ISC BaseP]],IF(Table4[[#This Row],[ScopeP]]="Changed",7.52*(Table4[[#This Row],[ISC BaseP]] - 0.029) - 3.25 * POWER(Table4[[#This Row],[ISC BaseP]] - 0.02,15),NA()))</f>
        <v>#N/A</v>
      </c>
      <c r="AN6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187"/>
    </row>
    <row r="68" spans="1:43" ht="140" x14ac:dyDescent="0.35">
      <c r="A68" s="70">
        <v>64</v>
      </c>
      <c r="B68" s="182" t="s">
        <v>259</v>
      </c>
      <c r="C68" s="195" t="str">
        <f>IF(VLOOKUP(Table4[[#This Row],[T ID]],Table5[#All],5,FALSE)="No","Not in scope",VLOOKUP(Table4[[#This Row],[T ID]],Table5[#All],2,FALSE))</f>
        <v>Information disclosure
(STR(I)DE)</v>
      </c>
      <c r="D68" s="210" t="s">
        <v>250</v>
      </c>
      <c r="E68" s="195" t="str">
        <f>IF(VLOOKUP(Table4[[#This Row],[V ID]],Vulnerabilities[#All],3,FALSE)="No","Not in scope",VLOOKUP(Table4[[#This Row],[V ID]],Vulnerabilities[#All],2,FALSE))</f>
        <v>Weak Encryption Implementaion in data at rest and in transit tactical and design wise</v>
      </c>
      <c r="F68" s="42" t="s">
        <v>120</v>
      </c>
      <c r="G68" s="195" t="str">
        <f>VLOOKUP(Table4[[#This Row],[A ID]],Assets[#All],3,FALSE)</f>
        <v>Data at Rest</v>
      </c>
      <c r="H68" s="49" t="s">
        <v>286</v>
      </c>
      <c r="I68" s="49"/>
      <c r="J68" s="87" t="s">
        <v>57</v>
      </c>
      <c r="K68" s="87" t="s">
        <v>57</v>
      </c>
      <c r="L68" s="87" t="s">
        <v>57</v>
      </c>
      <c r="M68" s="196" t="s">
        <v>80</v>
      </c>
      <c r="N68" s="157" t="s">
        <v>66</v>
      </c>
      <c r="O68" s="157" t="s">
        <v>66</v>
      </c>
      <c r="P68" s="196" t="s">
        <v>78</v>
      </c>
      <c r="Q68" s="196" t="s">
        <v>75</v>
      </c>
      <c r="R6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198">
        <f>(1 - ((1 - VLOOKUP(Table4[[#This Row],[Confidentiality]],'Reference - CVSSv3.0'!$B$15:$C$17,2,FALSE)) * (1 - VLOOKUP(Table4[[#This Row],[Integrity]],'Reference - CVSSv3.0'!$B$15:$C$17,2,FALSE)) *  (1 - VLOOKUP(Table4[[#This Row],[Availability]],'Reference - CVSSv3.0'!$B$15:$C$17,2,FALSE))))</f>
        <v>0.52544799999999992</v>
      </c>
      <c r="T68" s="198">
        <f>IF(Table4[[#This Row],[Scope]]="Unchanged",6.42*Table4[[#This Row],[ISC Base]],IF(Table4[[#This Row],[Scope]]="Changed",7.52*(Table4[[#This Row],[ISC Base]] - 0.029) - 3.25 * POWER(Table4[[#This Row],[ISC Base]] - 0.02,15),NA()))</f>
        <v>3.3733761599999994</v>
      </c>
      <c r="U68"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182" t="s">
        <v>56</v>
      </c>
      <c r="W68" s="198">
        <f>VLOOKUP(Table4[[#This Row],[Threat Event Initiation]],NIST_Scale_LOAI[],2,FALSE)</f>
        <v>0.5</v>
      </c>
      <c r="X6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25" t="s">
        <v>365</v>
      </c>
      <c r="AA68" s="225" t="s">
        <v>362</v>
      </c>
      <c r="AB68" s="206"/>
      <c r="AC68" s="187"/>
      <c r="AD68" s="187"/>
      <c r="AE68" s="187"/>
      <c r="AF68" s="196"/>
      <c r="AG68" s="196"/>
      <c r="AH68" s="196"/>
      <c r="AI68" s="196"/>
      <c r="AJ68" s="201"/>
      <c r="AK6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198" t="e">
        <f>(1 - ((1 - VLOOKUP(Table4[[#This Row],[ConfidentialityP]],'Reference - CVSSv3.0'!$B$15:$C$17,2,FALSE)) * (1 - VLOOKUP(Table4[[#This Row],[IntegrityP]],'Reference - CVSSv3.0'!$B$15:$C$17,2,FALSE)) *  (1 - VLOOKUP(Table4[[#This Row],[AvailabilityP]],'Reference - CVSSv3.0'!$B$15:$C$17,2,FALSE))))</f>
        <v>#N/A</v>
      </c>
      <c r="AM68" s="198" t="e">
        <f>IF(Table4[[#This Row],[ScopeP]]="Unchanged",6.42*Table4[[#This Row],[ISC BaseP]],IF(Table4[[#This Row],[ScopeP]]="Changed",7.52*(Table4[[#This Row],[ISC BaseP]] - 0.029) - 3.25 * POWER(Table4[[#This Row],[ISC BaseP]] - 0.02,15),NA()))</f>
        <v>#N/A</v>
      </c>
      <c r="AN6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187"/>
    </row>
    <row r="69" spans="1:43" ht="154" x14ac:dyDescent="0.35">
      <c r="A69" s="70">
        <v>65</v>
      </c>
      <c r="B69" s="182" t="s">
        <v>259</v>
      </c>
      <c r="C69" s="195" t="str">
        <f>IF(VLOOKUP(Table4[[#This Row],[T ID]],Table5[#All],5,FALSE)="No","Not in scope",VLOOKUP(Table4[[#This Row],[T ID]],Table5[#All],2,FALSE))</f>
        <v>Information disclosure
(STR(I)DE)</v>
      </c>
      <c r="D69" s="210" t="s">
        <v>250</v>
      </c>
      <c r="E69" s="195" t="str">
        <f>IF(VLOOKUP(Table4[[#This Row],[V ID]],Vulnerabilities[#All],3,FALSE)="No","Not in scope",VLOOKUP(Table4[[#This Row],[V ID]],Vulnerabilities[#All],2,FALSE))</f>
        <v>Weak Encryption Implementaion in data at rest and in transit tactical and design wise</v>
      </c>
      <c r="F69" s="42" t="s">
        <v>107</v>
      </c>
      <c r="G69" s="195" t="str">
        <f>VLOOKUP(Table4[[#This Row],[A ID]],Assets[#All],3,FALSE)</f>
        <v>Data in Transit</v>
      </c>
      <c r="H69" s="49" t="s">
        <v>286</v>
      </c>
      <c r="I69" s="49"/>
      <c r="J69" s="87" t="s">
        <v>57</v>
      </c>
      <c r="K69" s="87" t="s">
        <v>78</v>
      </c>
      <c r="L69" s="87" t="s">
        <v>57</v>
      </c>
      <c r="M69" s="196" t="s">
        <v>79</v>
      </c>
      <c r="N69" s="157" t="s">
        <v>66</v>
      </c>
      <c r="O69" s="157" t="s">
        <v>57</v>
      </c>
      <c r="P69" s="196" t="s">
        <v>78</v>
      </c>
      <c r="Q69" s="196" t="s">
        <v>75</v>
      </c>
      <c r="R6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198">
        <f>(1 - ((1 - VLOOKUP(Table4[[#This Row],[Confidentiality]],'Reference - CVSSv3.0'!$B$15:$C$17,2,FALSE)) * (1 - VLOOKUP(Table4[[#This Row],[Integrity]],'Reference - CVSSv3.0'!$B$15:$C$17,2,FALSE)) *  (1 - VLOOKUP(Table4[[#This Row],[Availability]],'Reference - CVSSv3.0'!$B$15:$C$17,2,FALSE))))</f>
        <v>0.39159999999999995</v>
      </c>
      <c r="T69" s="198">
        <f>IF(Table4[[#This Row],[Scope]]="Unchanged",6.42*Table4[[#This Row],[ISC Base]],IF(Table4[[#This Row],[Scope]]="Changed",7.52*(Table4[[#This Row],[ISC Base]] - 0.029) - 3.25 * POWER(Table4[[#This Row],[ISC Base]] - 0.02,15),NA()))</f>
        <v>2.5140719999999996</v>
      </c>
      <c r="U69"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182" t="s">
        <v>56</v>
      </c>
      <c r="W69" s="198">
        <f>VLOOKUP(Table4[[#This Row],[Threat Event Initiation]],NIST_Scale_LOAI[],2,FALSE)</f>
        <v>0.5</v>
      </c>
      <c r="X6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225" t="s">
        <v>361</v>
      </c>
      <c r="AA69" s="49" t="s">
        <v>364</v>
      </c>
      <c r="AB69" s="206"/>
      <c r="AC69" s="187"/>
      <c r="AD69" s="187"/>
      <c r="AE69" s="187"/>
      <c r="AF69" s="196"/>
      <c r="AG69" s="196"/>
      <c r="AH69" s="196"/>
      <c r="AI69" s="196"/>
      <c r="AJ69" s="201"/>
      <c r="AK6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198" t="e">
        <f>(1 - ((1 - VLOOKUP(Table4[[#This Row],[ConfidentialityP]],'Reference - CVSSv3.0'!$B$15:$C$17,2,FALSE)) * (1 - VLOOKUP(Table4[[#This Row],[IntegrityP]],'Reference - CVSSv3.0'!$B$15:$C$17,2,FALSE)) *  (1 - VLOOKUP(Table4[[#This Row],[AvailabilityP]],'Reference - CVSSv3.0'!$B$15:$C$17,2,FALSE))))</f>
        <v>#N/A</v>
      </c>
      <c r="AM69" s="198" t="e">
        <f>IF(Table4[[#This Row],[ScopeP]]="Unchanged",6.42*Table4[[#This Row],[ISC BaseP]],IF(Table4[[#This Row],[ScopeP]]="Changed",7.52*(Table4[[#This Row],[ISC BaseP]] - 0.029) - 3.25 * POWER(Table4[[#This Row],[ISC BaseP]] - 0.02,15),NA()))</f>
        <v>#N/A</v>
      </c>
      <c r="AN6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187"/>
    </row>
    <row r="70" spans="1:43" ht="112" x14ac:dyDescent="0.35">
      <c r="A70" s="70">
        <v>66</v>
      </c>
      <c r="B70" s="182" t="s">
        <v>259</v>
      </c>
      <c r="C70" s="195" t="str">
        <f>IF(VLOOKUP(Table4[[#This Row],[T ID]],Table5[#All],5,FALSE)="No","Not in scope",VLOOKUP(Table4[[#This Row],[T ID]],Table5[#All],2,FALSE))</f>
        <v>Information disclosure
(STR(I)DE)</v>
      </c>
      <c r="D70" s="210" t="s">
        <v>251</v>
      </c>
      <c r="E70" s="195" t="str">
        <f>IF(VLOOKUP(Table4[[#This Row],[V ID]],Vulnerabilities[#All],3,FALSE)="No","Not in scope",VLOOKUP(Table4[[#This Row],[V ID]],Vulnerabilities[#All],2,FALSE))</f>
        <v>Weak Algorthim implementation with respect cipher key size</v>
      </c>
      <c r="F70" s="42" t="s">
        <v>120</v>
      </c>
      <c r="G70" s="195" t="str">
        <f>VLOOKUP(Table4[[#This Row],[A ID]],Assets[#All],3,FALSE)</f>
        <v>Data at Rest</v>
      </c>
      <c r="H70" s="49" t="s">
        <v>286</v>
      </c>
      <c r="I70" s="49"/>
      <c r="J70" s="87" t="s">
        <v>57</v>
      </c>
      <c r="K70" s="87" t="s">
        <v>57</v>
      </c>
      <c r="L70" s="87" t="s">
        <v>57</v>
      </c>
      <c r="M70" s="196" t="s">
        <v>80</v>
      </c>
      <c r="N70" s="157" t="s">
        <v>66</v>
      </c>
      <c r="O70" s="157" t="s">
        <v>66</v>
      </c>
      <c r="P70" s="196" t="s">
        <v>78</v>
      </c>
      <c r="Q70" s="196" t="s">
        <v>75</v>
      </c>
      <c r="R7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198">
        <f>(1 - ((1 - VLOOKUP(Table4[[#This Row],[Confidentiality]],'Reference - CVSSv3.0'!$B$15:$C$17,2,FALSE)) * (1 - VLOOKUP(Table4[[#This Row],[Integrity]],'Reference - CVSSv3.0'!$B$15:$C$17,2,FALSE)) *  (1 - VLOOKUP(Table4[[#This Row],[Availability]],'Reference - CVSSv3.0'!$B$15:$C$17,2,FALSE))))</f>
        <v>0.52544799999999992</v>
      </c>
      <c r="T70" s="198">
        <f>IF(Table4[[#This Row],[Scope]]="Unchanged",6.42*Table4[[#This Row],[ISC Base]],IF(Table4[[#This Row],[Scope]]="Changed",7.52*(Table4[[#This Row],[ISC Base]] - 0.029) - 3.25 * POWER(Table4[[#This Row],[ISC Base]] - 0.02,15),NA()))</f>
        <v>3.3733761599999994</v>
      </c>
      <c r="U70"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182" t="s">
        <v>56</v>
      </c>
      <c r="W70" s="198">
        <f>VLOOKUP(Table4[[#This Row],[Threat Event Initiation]],NIST_Scale_LOAI[],2,FALSE)</f>
        <v>0.5</v>
      </c>
      <c r="X7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49" t="s">
        <v>374</v>
      </c>
      <c r="AA70" s="49" t="s">
        <v>373</v>
      </c>
      <c r="AB70" s="206"/>
      <c r="AC70" s="187"/>
      <c r="AD70" s="187"/>
      <c r="AE70" s="187"/>
      <c r="AF70" s="196"/>
      <c r="AG70" s="196"/>
      <c r="AH70" s="196"/>
      <c r="AI70" s="196"/>
      <c r="AJ70" s="201"/>
      <c r="AK7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198" t="e">
        <f>(1 - ((1 - VLOOKUP(Table4[[#This Row],[ConfidentialityP]],'Reference - CVSSv3.0'!$B$15:$C$17,2,FALSE)) * (1 - VLOOKUP(Table4[[#This Row],[IntegrityP]],'Reference - CVSSv3.0'!$B$15:$C$17,2,FALSE)) *  (1 - VLOOKUP(Table4[[#This Row],[AvailabilityP]],'Reference - CVSSv3.0'!$B$15:$C$17,2,FALSE))))</f>
        <v>#N/A</v>
      </c>
      <c r="AM70" s="198" t="e">
        <f>IF(Table4[[#This Row],[ScopeP]]="Unchanged",6.42*Table4[[#This Row],[ISC BaseP]],IF(Table4[[#This Row],[ScopeP]]="Changed",7.52*(Table4[[#This Row],[ISC BaseP]] - 0.029) - 3.25 * POWER(Table4[[#This Row],[ISC BaseP]] - 0.02,15),NA()))</f>
        <v>#N/A</v>
      </c>
      <c r="AN7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187"/>
    </row>
    <row r="71" spans="1:43" ht="112" x14ac:dyDescent="0.35">
      <c r="A71" s="70">
        <v>67</v>
      </c>
      <c r="B71" s="182" t="s">
        <v>259</v>
      </c>
      <c r="C71" s="195" t="str">
        <f>IF(VLOOKUP(Table4[[#This Row],[T ID]],Table5[#All],5,FALSE)="No","Not in scope",VLOOKUP(Table4[[#This Row],[T ID]],Table5[#All],2,FALSE))</f>
        <v>Information disclosure
(STR(I)DE)</v>
      </c>
      <c r="D71" s="210" t="s">
        <v>251</v>
      </c>
      <c r="E71" s="195" t="str">
        <f>IF(VLOOKUP(Table4[[#This Row],[V ID]],Vulnerabilities[#All],3,FALSE)="No","Not in scope",VLOOKUP(Table4[[#This Row],[V ID]],Vulnerabilities[#All],2,FALSE))</f>
        <v>Weak Algorthim implementation with respect cipher key size</v>
      </c>
      <c r="F71" s="42" t="s">
        <v>107</v>
      </c>
      <c r="G71" s="195" t="str">
        <f>VLOOKUP(Table4[[#This Row],[A ID]],Assets[#All],3,FALSE)</f>
        <v>Data in Transit</v>
      </c>
      <c r="H71" s="49" t="s">
        <v>286</v>
      </c>
      <c r="I71" s="49"/>
      <c r="J71" s="87" t="s">
        <v>57</v>
      </c>
      <c r="K71" s="87" t="s">
        <v>78</v>
      </c>
      <c r="L71" s="87" t="s">
        <v>57</v>
      </c>
      <c r="M71" s="196" t="s">
        <v>79</v>
      </c>
      <c r="N71" s="157" t="s">
        <v>66</v>
      </c>
      <c r="O71" s="157" t="s">
        <v>57</v>
      </c>
      <c r="P71" s="196" t="s">
        <v>78</v>
      </c>
      <c r="Q71" s="196" t="s">
        <v>75</v>
      </c>
      <c r="R7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198">
        <f>(1 - ((1 - VLOOKUP(Table4[[#This Row],[Confidentiality]],'Reference - CVSSv3.0'!$B$15:$C$17,2,FALSE)) * (1 - VLOOKUP(Table4[[#This Row],[Integrity]],'Reference - CVSSv3.0'!$B$15:$C$17,2,FALSE)) *  (1 - VLOOKUP(Table4[[#This Row],[Availability]],'Reference - CVSSv3.0'!$B$15:$C$17,2,FALSE))))</f>
        <v>0.39159999999999995</v>
      </c>
      <c r="T71" s="198">
        <f>IF(Table4[[#This Row],[Scope]]="Unchanged",6.42*Table4[[#This Row],[ISC Base]],IF(Table4[[#This Row],[Scope]]="Changed",7.52*(Table4[[#This Row],[ISC Base]] - 0.029) - 3.25 * POWER(Table4[[#This Row],[ISC Base]] - 0.02,15),NA()))</f>
        <v>2.5140719999999996</v>
      </c>
      <c r="U71"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182" t="s">
        <v>56</v>
      </c>
      <c r="W71" s="198">
        <f>VLOOKUP(Table4[[#This Row],[Threat Event Initiation]],NIST_Scale_LOAI[],2,FALSE)</f>
        <v>0.5</v>
      </c>
      <c r="X7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49" t="s">
        <v>374</v>
      </c>
      <c r="AA71" s="49" t="s">
        <v>373</v>
      </c>
      <c r="AB71" s="206"/>
      <c r="AC71" s="187"/>
      <c r="AD71" s="187"/>
      <c r="AE71" s="187"/>
      <c r="AF71" s="196"/>
      <c r="AG71" s="196"/>
      <c r="AH71" s="196"/>
      <c r="AI71" s="196"/>
      <c r="AJ71" s="201"/>
      <c r="AK7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198" t="e">
        <f>(1 - ((1 - VLOOKUP(Table4[[#This Row],[ConfidentialityP]],'Reference - CVSSv3.0'!$B$15:$C$17,2,FALSE)) * (1 - VLOOKUP(Table4[[#This Row],[IntegrityP]],'Reference - CVSSv3.0'!$B$15:$C$17,2,FALSE)) *  (1 - VLOOKUP(Table4[[#This Row],[AvailabilityP]],'Reference - CVSSv3.0'!$B$15:$C$17,2,FALSE))))</f>
        <v>#N/A</v>
      </c>
      <c r="AM71" s="198" t="e">
        <f>IF(Table4[[#This Row],[ScopeP]]="Unchanged",6.42*Table4[[#This Row],[ISC BaseP]],IF(Table4[[#This Row],[ScopeP]]="Changed",7.52*(Table4[[#This Row],[ISC BaseP]] - 0.029) - 3.25 * POWER(Table4[[#This Row],[ISC BaseP]] - 0.02,15),NA()))</f>
        <v>#N/A</v>
      </c>
      <c r="AN7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187"/>
    </row>
    <row r="72" spans="1:43" ht="112" x14ac:dyDescent="0.35">
      <c r="A72" s="70">
        <v>68</v>
      </c>
      <c r="B72" s="182" t="s">
        <v>259</v>
      </c>
      <c r="C72" s="195" t="str">
        <f>IF(VLOOKUP(Table4[[#This Row],[T ID]],Table5[#All],5,FALSE)="No","Not in scope",VLOOKUP(Table4[[#This Row],[T ID]],Table5[#All],2,FALSE))</f>
        <v>Information disclosure
(STR(I)DE)</v>
      </c>
      <c r="D72" s="210" t="s">
        <v>143</v>
      </c>
      <c r="E72" s="195" t="str">
        <f>IF(VLOOKUP(Table4[[#This Row],[V ID]],Vulnerabilities[#All],3,FALSE)="No","Not in scope",VLOOKUP(Table4[[#This Row],[V ID]],Vulnerabilities[#All],2,FALSE))</f>
        <v>InSecure Configuration for Software/OS on Mobile Devices, Laptops, Workstations, and Servers</v>
      </c>
      <c r="F72" s="216" t="s">
        <v>112</v>
      </c>
      <c r="G72" s="195" t="str">
        <f>VLOOKUP(Table4[[#This Row],[A ID]],Assets[#All],3,FALSE)</f>
        <v>Tablet Resources - web cam, microphone, OTG devices, Removable USB, Tablet Application, Network interfaces (Bluetooth, Wifi)</v>
      </c>
      <c r="H72" s="49" t="s">
        <v>286</v>
      </c>
      <c r="I72" s="49"/>
      <c r="J72" s="87" t="s">
        <v>57</v>
      </c>
      <c r="K72" s="87" t="s">
        <v>57</v>
      </c>
      <c r="L72" s="87" t="s">
        <v>57</v>
      </c>
      <c r="M72" s="196" t="s">
        <v>79</v>
      </c>
      <c r="N72" s="157" t="s">
        <v>66</v>
      </c>
      <c r="O72" s="157" t="s">
        <v>66</v>
      </c>
      <c r="P72" s="196" t="s">
        <v>78</v>
      </c>
      <c r="Q72" s="196" t="s">
        <v>75</v>
      </c>
      <c r="R7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198">
        <f>(1 - ((1 - VLOOKUP(Table4[[#This Row],[Confidentiality]],'Reference - CVSSv3.0'!$B$15:$C$17,2,FALSE)) * (1 - VLOOKUP(Table4[[#This Row],[Integrity]],'Reference - CVSSv3.0'!$B$15:$C$17,2,FALSE)) *  (1 - VLOOKUP(Table4[[#This Row],[Availability]],'Reference - CVSSv3.0'!$B$15:$C$17,2,FALSE))))</f>
        <v>0.52544799999999992</v>
      </c>
      <c r="T72" s="198">
        <f>IF(Table4[[#This Row],[Scope]]="Unchanged",6.42*Table4[[#This Row],[ISC Base]],IF(Table4[[#This Row],[Scope]]="Changed",7.52*(Table4[[#This Row],[ISC Base]] - 0.029) - 3.25 * POWER(Table4[[#This Row],[ISC Base]] - 0.02,15),NA()))</f>
        <v>3.3733761599999994</v>
      </c>
      <c r="U7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182" t="s">
        <v>56</v>
      </c>
      <c r="W72" s="198">
        <f>VLOOKUP(Table4[[#This Row],[Threat Event Initiation]],NIST_Scale_LOAI[],2,FALSE)</f>
        <v>0.5</v>
      </c>
      <c r="X7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49" t="s">
        <v>345</v>
      </c>
      <c r="AA72" s="49" t="s">
        <v>346</v>
      </c>
      <c r="AB72" s="206"/>
      <c r="AC72" s="187"/>
      <c r="AD72" s="187"/>
      <c r="AE72" s="187"/>
      <c r="AF72" s="196"/>
      <c r="AG72" s="196"/>
      <c r="AH72" s="196"/>
      <c r="AI72" s="196"/>
      <c r="AJ72" s="201"/>
      <c r="AK7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198" t="e">
        <f>(1 - ((1 - VLOOKUP(Table4[[#This Row],[ConfidentialityP]],'Reference - CVSSv3.0'!$B$15:$C$17,2,FALSE)) * (1 - VLOOKUP(Table4[[#This Row],[IntegrityP]],'Reference - CVSSv3.0'!$B$15:$C$17,2,FALSE)) *  (1 - VLOOKUP(Table4[[#This Row],[AvailabilityP]],'Reference - CVSSv3.0'!$B$15:$C$17,2,FALSE))))</f>
        <v>#N/A</v>
      </c>
      <c r="AM72" s="198" t="e">
        <f>IF(Table4[[#This Row],[ScopeP]]="Unchanged",6.42*Table4[[#This Row],[ISC BaseP]],IF(Table4[[#This Row],[ScopeP]]="Changed",7.52*(Table4[[#This Row],[ISC BaseP]] - 0.029) - 3.25 * POWER(Table4[[#This Row],[ISC BaseP]] - 0.02,15),NA()))</f>
        <v>#N/A</v>
      </c>
      <c r="AN7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187"/>
    </row>
    <row r="73" spans="1:43" ht="98" x14ac:dyDescent="0.35">
      <c r="A73" s="70">
        <v>69</v>
      </c>
      <c r="B73" s="182" t="s">
        <v>259</v>
      </c>
      <c r="C73" s="195" t="str">
        <f>IF(VLOOKUP(Table4[[#This Row],[T ID]],Table5[#All],5,FALSE)="No","Not in scope",VLOOKUP(Table4[[#This Row],[T ID]],Table5[#All],2,FALSE))</f>
        <v>Information disclosure
(STR(I)DE)</v>
      </c>
      <c r="D73" s="210" t="s">
        <v>243</v>
      </c>
      <c r="E73" s="195" t="str">
        <f>IF(VLOOKUP(Table4[[#This Row],[V ID]],Vulnerabilities[#All],3,FALSE)="No","Not in scope",VLOOKUP(Table4[[#This Row],[V ID]],Vulnerabilities[#All],2,FALSE))</f>
        <v>Unencrypted Network segment through out the information flow</v>
      </c>
      <c r="F73" s="216" t="s">
        <v>107</v>
      </c>
      <c r="G73" s="195" t="str">
        <f>VLOOKUP(Table4[[#This Row],[A ID]],Assets[#All],3,FALSE)</f>
        <v>Data in Transit</v>
      </c>
      <c r="H73" s="49" t="s">
        <v>286</v>
      </c>
      <c r="I73" s="49"/>
      <c r="J73" s="87" t="s">
        <v>57</v>
      </c>
      <c r="K73" s="87" t="s">
        <v>78</v>
      </c>
      <c r="L73" s="87" t="s">
        <v>57</v>
      </c>
      <c r="M73" s="196" t="s">
        <v>79</v>
      </c>
      <c r="N73" s="157" t="s">
        <v>66</v>
      </c>
      <c r="O73" s="157" t="s">
        <v>57</v>
      </c>
      <c r="P73" s="196" t="s">
        <v>78</v>
      </c>
      <c r="Q73" s="196" t="s">
        <v>75</v>
      </c>
      <c r="R7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198">
        <f>(1 - ((1 - VLOOKUP(Table4[[#This Row],[Confidentiality]],'Reference - CVSSv3.0'!$B$15:$C$17,2,FALSE)) * (1 - VLOOKUP(Table4[[#This Row],[Integrity]],'Reference - CVSSv3.0'!$B$15:$C$17,2,FALSE)) *  (1 - VLOOKUP(Table4[[#This Row],[Availability]],'Reference - CVSSv3.0'!$B$15:$C$17,2,FALSE))))</f>
        <v>0.39159999999999995</v>
      </c>
      <c r="T73" s="198">
        <f>IF(Table4[[#This Row],[Scope]]="Unchanged",6.42*Table4[[#This Row],[ISC Base]],IF(Table4[[#This Row],[Scope]]="Changed",7.52*(Table4[[#This Row],[ISC Base]] - 0.029) - 3.25 * POWER(Table4[[#This Row],[ISC Base]] - 0.02,15),NA()))</f>
        <v>2.5140719999999996</v>
      </c>
      <c r="U73"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182" t="s">
        <v>56</v>
      </c>
      <c r="W73" s="198">
        <f>VLOOKUP(Table4[[#This Row],[Threat Event Initiation]],NIST_Scale_LOAI[],2,FALSE)</f>
        <v>0.5</v>
      </c>
      <c r="X7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49" t="s">
        <v>352</v>
      </c>
      <c r="AA73" s="49" t="s">
        <v>351</v>
      </c>
      <c r="AB73" s="206"/>
      <c r="AC73" s="187"/>
      <c r="AD73" s="187"/>
      <c r="AE73" s="187"/>
      <c r="AF73" s="196"/>
      <c r="AG73" s="196"/>
      <c r="AH73" s="196"/>
      <c r="AI73" s="196"/>
      <c r="AJ73" s="201"/>
      <c r="AK7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198" t="e">
        <f>(1 - ((1 - VLOOKUP(Table4[[#This Row],[ConfidentialityP]],'Reference - CVSSv3.0'!$B$15:$C$17,2,FALSE)) * (1 - VLOOKUP(Table4[[#This Row],[IntegrityP]],'Reference - CVSSv3.0'!$B$15:$C$17,2,FALSE)) *  (1 - VLOOKUP(Table4[[#This Row],[AvailabilityP]],'Reference - CVSSv3.0'!$B$15:$C$17,2,FALSE))))</f>
        <v>#N/A</v>
      </c>
      <c r="AM73" s="198" t="e">
        <f>IF(Table4[[#This Row],[ScopeP]]="Unchanged",6.42*Table4[[#This Row],[ISC BaseP]],IF(Table4[[#This Row],[ScopeP]]="Changed",7.52*(Table4[[#This Row],[ISC BaseP]] - 0.029) - 3.25 * POWER(Table4[[#This Row],[ISC BaseP]] - 0.02,15),NA()))</f>
        <v>#N/A</v>
      </c>
      <c r="AN7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187"/>
    </row>
    <row r="74" spans="1:43" ht="131.5" customHeight="1" x14ac:dyDescent="0.35">
      <c r="A74" s="70">
        <v>70</v>
      </c>
      <c r="B74" s="182" t="s">
        <v>259</v>
      </c>
      <c r="C74" s="195" t="str">
        <f>IF(VLOOKUP(Table4[[#This Row],[T ID]],Table5[#All],5,FALSE)="No","Not in scope",VLOOKUP(Table4[[#This Row],[T ID]],Table5[#All],2,FALSE))</f>
        <v>Information disclosure
(STR(I)DE)</v>
      </c>
      <c r="D74" s="210" t="s">
        <v>222</v>
      </c>
      <c r="E74" s="195" t="str">
        <f>IF(VLOOKUP(Table4[[#This Row],[V ID]],Vulnerabilities[#All],3,FALSE)="No","Not in scope",VLOOKUP(Table4[[#This Row],[V ID]],Vulnerabilities[#All],2,FALSE))</f>
        <v>Insecure communications in networks (hospital)</v>
      </c>
      <c r="F74" s="216" t="s">
        <v>107</v>
      </c>
      <c r="G74" s="195" t="str">
        <f>VLOOKUP(Table4[[#This Row],[A ID]],Assets[#All],3,FALSE)</f>
        <v>Data in Transit</v>
      </c>
      <c r="H74" s="49" t="s">
        <v>286</v>
      </c>
      <c r="I74" s="49"/>
      <c r="J74" s="87" t="s">
        <v>57</v>
      </c>
      <c r="K74" s="87" t="s">
        <v>78</v>
      </c>
      <c r="L74" s="87" t="s">
        <v>57</v>
      </c>
      <c r="M74" s="196" t="s">
        <v>79</v>
      </c>
      <c r="N74" s="157" t="s">
        <v>66</v>
      </c>
      <c r="O74" s="157" t="s">
        <v>57</v>
      </c>
      <c r="P74" s="196" t="s">
        <v>78</v>
      </c>
      <c r="Q74" s="196" t="s">
        <v>75</v>
      </c>
      <c r="R7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198">
        <f>(1 - ((1 - VLOOKUP(Table4[[#This Row],[Confidentiality]],'Reference - CVSSv3.0'!$B$15:$C$17,2,FALSE)) * (1 - VLOOKUP(Table4[[#This Row],[Integrity]],'Reference - CVSSv3.0'!$B$15:$C$17,2,FALSE)) *  (1 - VLOOKUP(Table4[[#This Row],[Availability]],'Reference - CVSSv3.0'!$B$15:$C$17,2,FALSE))))</f>
        <v>0.39159999999999995</v>
      </c>
      <c r="T74" s="198">
        <f>IF(Table4[[#This Row],[Scope]]="Unchanged",6.42*Table4[[#This Row],[ISC Base]],IF(Table4[[#This Row],[Scope]]="Changed",7.52*(Table4[[#This Row],[ISC Base]] - 0.029) - 3.25 * POWER(Table4[[#This Row],[ISC Base]] - 0.02,15),NA()))</f>
        <v>2.5140719999999996</v>
      </c>
      <c r="U74"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182" t="s">
        <v>56</v>
      </c>
      <c r="W74" s="198">
        <f>VLOOKUP(Table4[[#This Row],[Threat Event Initiation]],NIST_Scale_LOAI[],2,FALSE)</f>
        <v>0.5</v>
      </c>
      <c r="X7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49" t="s">
        <v>384</v>
      </c>
      <c r="AA74" s="49" t="s">
        <v>385</v>
      </c>
      <c r="AB74" s="206"/>
      <c r="AC74" s="187"/>
      <c r="AD74" s="187"/>
      <c r="AE74" s="187"/>
      <c r="AF74" s="196"/>
      <c r="AG74" s="196"/>
      <c r="AH74" s="196"/>
      <c r="AI74" s="196"/>
      <c r="AJ74" s="201"/>
      <c r="AK7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198" t="e">
        <f>(1 - ((1 - VLOOKUP(Table4[[#This Row],[ConfidentialityP]],'Reference - CVSSv3.0'!$B$15:$C$17,2,FALSE)) * (1 - VLOOKUP(Table4[[#This Row],[IntegrityP]],'Reference - CVSSv3.0'!$B$15:$C$17,2,FALSE)) *  (1 - VLOOKUP(Table4[[#This Row],[AvailabilityP]],'Reference - CVSSv3.0'!$B$15:$C$17,2,FALSE))))</f>
        <v>#N/A</v>
      </c>
      <c r="AM74" s="198" t="e">
        <f>IF(Table4[[#This Row],[ScopeP]]="Unchanged",6.42*Table4[[#This Row],[ISC BaseP]],IF(Table4[[#This Row],[ScopeP]]="Changed",7.52*(Table4[[#This Row],[ISC BaseP]] - 0.029) - 3.25 * POWER(Table4[[#This Row],[ISC BaseP]] - 0.02,15),NA()))</f>
        <v>#N/A</v>
      </c>
      <c r="AN7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187"/>
    </row>
    <row r="75" spans="1:43" ht="112" x14ac:dyDescent="0.35">
      <c r="A75" s="70">
        <v>71</v>
      </c>
      <c r="B75" s="182" t="s">
        <v>260</v>
      </c>
      <c r="C75" s="195" t="str">
        <f>IF(VLOOKUP(Table4[[#This Row],[T ID]],Table5[#All],5,FALSE)="No","Not in scope",VLOOKUP(Table4[[#This Row],[T ID]],Table5[#All],2,FALSE))</f>
        <v>Data Access
(STR[I]DE)</v>
      </c>
      <c r="D75" s="212" t="s">
        <v>241</v>
      </c>
      <c r="E75" s="195" t="str">
        <f>IF(VLOOKUP(Table4[[#This Row],[V ID]],Vulnerabilities[#All],3,FALSE)="No","Not in scope",VLOOKUP(Table4[[#This Row],[V ID]],Vulnerabilities[#All],2,FALSE))</f>
        <v>Unprotected network port(s) on network devices and connection points</v>
      </c>
      <c r="F75" s="216" t="s">
        <v>112</v>
      </c>
      <c r="G75" s="195" t="str">
        <f>VLOOKUP(Table4[[#This Row],[A ID]],Assets[#All],3,FALSE)</f>
        <v>Tablet Resources - web cam, microphone, OTG devices, Removable USB, Tablet Application, Network interfaces (Bluetooth, Wifi)</v>
      </c>
      <c r="H75" s="49" t="s">
        <v>280</v>
      </c>
      <c r="I75" s="49"/>
      <c r="J75" s="87" t="s">
        <v>78</v>
      </c>
      <c r="K75" s="87" t="s">
        <v>78</v>
      </c>
      <c r="L75" s="87" t="s">
        <v>66</v>
      </c>
      <c r="M75" s="196" t="s">
        <v>79</v>
      </c>
      <c r="N75" s="157" t="s">
        <v>66</v>
      </c>
      <c r="O75" s="157" t="s">
        <v>66</v>
      </c>
      <c r="P75" s="196" t="s">
        <v>78</v>
      </c>
      <c r="Q75" s="196" t="s">
        <v>75</v>
      </c>
      <c r="R7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198">
        <f>(1 - ((1 - VLOOKUP(Table4[[#This Row],[Confidentiality]],'Reference - CVSSv3.0'!$B$15:$C$17,2,FALSE)) * (1 - VLOOKUP(Table4[[#This Row],[Integrity]],'Reference - CVSSv3.0'!$B$15:$C$17,2,FALSE)) *  (1 - VLOOKUP(Table4[[#This Row],[Availability]],'Reference - CVSSv3.0'!$B$15:$C$17,2,FALSE))))</f>
        <v>0.56000000000000005</v>
      </c>
      <c r="T75" s="198">
        <f>IF(Table4[[#This Row],[Scope]]="Unchanged",6.42*Table4[[#This Row],[ISC Base]],IF(Table4[[#This Row],[Scope]]="Changed",7.52*(Table4[[#This Row],[ISC Base]] - 0.029) - 3.25 * POWER(Table4[[#This Row],[ISC Base]] - 0.02,15),NA()))</f>
        <v>3.5952000000000002</v>
      </c>
      <c r="U75" s="198">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182" t="s">
        <v>57</v>
      </c>
      <c r="W75" s="198">
        <f>VLOOKUP(Table4[[#This Row],[Threat Event Initiation]],NIST_Scale_LOAI[],2,FALSE)</f>
        <v>0.2</v>
      </c>
      <c r="X7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49" t="s">
        <v>345</v>
      </c>
      <c r="AA75" s="49" t="s">
        <v>346</v>
      </c>
      <c r="AB75" s="206"/>
      <c r="AC75" s="187"/>
      <c r="AD75" s="187"/>
      <c r="AE75" s="187"/>
      <c r="AF75" s="196"/>
      <c r="AG75" s="196"/>
      <c r="AH75" s="196"/>
      <c r="AI75" s="196"/>
      <c r="AJ75" s="201"/>
      <c r="AK7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198" t="e">
        <f>(1 - ((1 - VLOOKUP(Table4[[#This Row],[ConfidentialityP]],'Reference - CVSSv3.0'!$B$15:$C$17,2,FALSE)) * (1 - VLOOKUP(Table4[[#This Row],[IntegrityP]],'Reference - CVSSv3.0'!$B$15:$C$17,2,FALSE)) *  (1 - VLOOKUP(Table4[[#This Row],[AvailabilityP]],'Reference - CVSSv3.0'!$B$15:$C$17,2,FALSE))))</f>
        <v>#N/A</v>
      </c>
      <c r="AM75" s="198" t="e">
        <f>IF(Table4[[#This Row],[ScopeP]]="Unchanged",6.42*Table4[[#This Row],[ISC BaseP]],IF(Table4[[#This Row],[ScopeP]]="Changed",7.52*(Table4[[#This Row],[ISC BaseP]] - 0.029) - 3.25 * POWER(Table4[[#This Row],[ISC BaseP]] - 0.02,15),NA()))</f>
        <v>#N/A</v>
      </c>
      <c r="AN7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187"/>
    </row>
    <row r="76" spans="1:43" ht="112" x14ac:dyDescent="0.35">
      <c r="A76" s="70">
        <v>72</v>
      </c>
      <c r="B76" s="182" t="s">
        <v>260</v>
      </c>
      <c r="C76" s="195" t="str">
        <f>IF(VLOOKUP(Table4[[#This Row],[T ID]],Table5[#All],5,FALSE)="No","Not in scope",VLOOKUP(Table4[[#This Row],[T ID]],Table5[#All],2,FALSE))</f>
        <v>Data Access
(STR[I]DE)</v>
      </c>
      <c r="D76" s="212" t="s">
        <v>241</v>
      </c>
      <c r="E76" s="195" t="str">
        <f>IF(VLOOKUP(Table4[[#This Row],[V ID]],Vulnerabilities[#All],3,FALSE)="No","Not in scope",VLOOKUP(Table4[[#This Row],[V ID]],Vulnerabilities[#All],2,FALSE))</f>
        <v>Unprotected network port(s) on network devices and connection points</v>
      </c>
      <c r="F76" s="216" t="s">
        <v>113</v>
      </c>
      <c r="G76" s="195" t="str">
        <f>VLOOKUP(Table4[[#This Row],[A ID]],Assets[#All],3,FALSE)</f>
        <v>Tablet OS/network details &amp; Tablet Application</v>
      </c>
      <c r="H76" s="49" t="s">
        <v>280</v>
      </c>
      <c r="I76" s="49"/>
      <c r="J76" s="87" t="s">
        <v>78</v>
      </c>
      <c r="K76" s="87" t="s">
        <v>57</v>
      </c>
      <c r="L76" s="87" t="s">
        <v>57</v>
      </c>
      <c r="M76" s="196" t="s">
        <v>79</v>
      </c>
      <c r="N76" s="157" t="s">
        <v>66</v>
      </c>
      <c r="O76" s="157" t="s">
        <v>66</v>
      </c>
      <c r="P76" s="196" t="s">
        <v>78</v>
      </c>
      <c r="Q76" s="196" t="s">
        <v>75</v>
      </c>
      <c r="R7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198">
        <f>(1 - ((1 - VLOOKUP(Table4[[#This Row],[Confidentiality]],'Reference - CVSSv3.0'!$B$15:$C$17,2,FALSE)) * (1 - VLOOKUP(Table4[[#This Row],[Integrity]],'Reference - CVSSv3.0'!$B$15:$C$17,2,FALSE)) *  (1 - VLOOKUP(Table4[[#This Row],[Availability]],'Reference - CVSSv3.0'!$B$15:$C$17,2,FALSE))))</f>
        <v>0.39159999999999995</v>
      </c>
      <c r="T76" s="198">
        <f>IF(Table4[[#This Row],[Scope]]="Unchanged",6.42*Table4[[#This Row],[ISC Base]],IF(Table4[[#This Row],[Scope]]="Changed",7.52*(Table4[[#This Row],[ISC Base]] - 0.029) - 3.25 * POWER(Table4[[#This Row],[ISC Base]] - 0.02,15),NA()))</f>
        <v>2.5140719999999996</v>
      </c>
      <c r="U76" s="198">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182" t="s">
        <v>57</v>
      </c>
      <c r="W76" s="198">
        <f>VLOOKUP(Table4[[#This Row],[Threat Event Initiation]],NIST_Scale_LOAI[],2,FALSE)</f>
        <v>0.2</v>
      </c>
      <c r="X7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49" t="s">
        <v>345</v>
      </c>
      <c r="AA76" s="49" t="s">
        <v>346</v>
      </c>
      <c r="AB76" s="206"/>
      <c r="AC76" s="187"/>
      <c r="AD76" s="187"/>
      <c r="AE76" s="187"/>
      <c r="AF76" s="196"/>
      <c r="AG76" s="196"/>
      <c r="AH76" s="196"/>
      <c r="AI76" s="196"/>
      <c r="AJ76" s="201"/>
      <c r="AK7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198" t="e">
        <f>(1 - ((1 - VLOOKUP(Table4[[#This Row],[ConfidentialityP]],'Reference - CVSSv3.0'!$B$15:$C$17,2,FALSE)) * (1 - VLOOKUP(Table4[[#This Row],[IntegrityP]],'Reference - CVSSv3.0'!$B$15:$C$17,2,FALSE)) *  (1 - VLOOKUP(Table4[[#This Row],[AvailabilityP]],'Reference - CVSSv3.0'!$B$15:$C$17,2,FALSE))))</f>
        <v>#N/A</v>
      </c>
      <c r="AM76" s="198" t="e">
        <f>IF(Table4[[#This Row],[ScopeP]]="Unchanged",6.42*Table4[[#This Row],[ISC BaseP]],IF(Table4[[#This Row],[ScopeP]]="Changed",7.52*(Table4[[#This Row],[ISC BaseP]] - 0.029) - 3.25 * POWER(Table4[[#This Row],[ISC BaseP]] - 0.02,15),NA()))</f>
        <v>#N/A</v>
      </c>
      <c r="AN7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187"/>
    </row>
    <row r="77" spans="1:43" ht="140.5" customHeight="1" x14ac:dyDescent="0.35">
      <c r="A77" s="70">
        <v>73</v>
      </c>
      <c r="B77" s="182" t="s">
        <v>260</v>
      </c>
      <c r="C77" s="195" t="str">
        <f>IF(VLOOKUP(Table4[[#This Row],[T ID]],Table5[#All],5,FALSE)="No","Not in scope",VLOOKUP(Table4[[#This Row],[T ID]],Table5[#All],2,FALSE))</f>
        <v>Data Access
(STR[I]DE)</v>
      </c>
      <c r="D77" s="212" t="s">
        <v>121</v>
      </c>
      <c r="E77" s="195" t="str">
        <f>IF(VLOOKUP(Table4[[#This Row],[V ID]],Vulnerabilities[#All],3,FALSE)="No","Not in scope",VLOOKUP(Table4[[#This Row],[V ID]],Vulnerabilities[#All],2,FALSE))</f>
        <v>Devices with default passwords needs to be checked for bruteforce attacks</v>
      </c>
      <c r="F77" s="42" t="s">
        <v>120</v>
      </c>
      <c r="G77" s="195" t="str">
        <f>VLOOKUP(Table4[[#This Row],[A ID]],Assets[#All],3,FALSE)</f>
        <v>Data at Rest</v>
      </c>
      <c r="H77" s="49" t="s">
        <v>280</v>
      </c>
      <c r="I77" s="49"/>
      <c r="J77" s="87" t="s">
        <v>57</v>
      </c>
      <c r="K77" s="87" t="s">
        <v>57</v>
      </c>
      <c r="L77" s="87" t="s">
        <v>57</v>
      </c>
      <c r="M77" s="196" t="s">
        <v>79</v>
      </c>
      <c r="N77" s="157" t="s">
        <v>66</v>
      </c>
      <c r="O77" s="157" t="s">
        <v>66</v>
      </c>
      <c r="P77" s="196" t="s">
        <v>78</v>
      </c>
      <c r="Q77" s="196" t="s">
        <v>75</v>
      </c>
      <c r="R7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198">
        <f>(1 - ((1 - VLOOKUP(Table4[[#This Row],[Confidentiality]],'Reference - CVSSv3.0'!$B$15:$C$17,2,FALSE)) * (1 - VLOOKUP(Table4[[#This Row],[Integrity]],'Reference - CVSSv3.0'!$B$15:$C$17,2,FALSE)) *  (1 - VLOOKUP(Table4[[#This Row],[Availability]],'Reference - CVSSv3.0'!$B$15:$C$17,2,FALSE))))</f>
        <v>0.52544799999999992</v>
      </c>
      <c r="T77" s="198">
        <f>IF(Table4[[#This Row],[Scope]]="Unchanged",6.42*Table4[[#This Row],[ISC Base]],IF(Table4[[#This Row],[Scope]]="Changed",7.52*(Table4[[#This Row],[ISC Base]] - 0.029) - 3.25 * POWER(Table4[[#This Row],[ISC Base]] - 0.02,15),NA()))</f>
        <v>3.3733761599999994</v>
      </c>
      <c r="U77"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182" t="s">
        <v>57</v>
      </c>
      <c r="W77" s="198">
        <f>VLOOKUP(Table4[[#This Row],[Threat Event Initiation]],NIST_Scale_LOAI[],2,FALSE)</f>
        <v>0.2</v>
      </c>
      <c r="X7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225" t="s">
        <v>388</v>
      </c>
      <c r="AA77" s="49" t="s">
        <v>390</v>
      </c>
      <c r="AB77" s="206"/>
      <c r="AC77" s="187"/>
      <c r="AD77" s="187"/>
      <c r="AE77" s="187"/>
      <c r="AF77" s="196"/>
      <c r="AG77" s="196"/>
      <c r="AH77" s="196"/>
      <c r="AI77" s="196"/>
      <c r="AJ77" s="201"/>
      <c r="AK7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198" t="e">
        <f>(1 - ((1 - VLOOKUP(Table4[[#This Row],[ConfidentialityP]],'Reference - CVSSv3.0'!$B$15:$C$17,2,FALSE)) * (1 - VLOOKUP(Table4[[#This Row],[IntegrityP]],'Reference - CVSSv3.0'!$B$15:$C$17,2,FALSE)) *  (1 - VLOOKUP(Table4[[#This Row],[AvailabilityP]],'Reference - CVSSv3.0'!$B$15:$C$17,2,FALSE))))</f>
        <v>#N/A</v>
      </c>
      <c r="AM77" s="198" t="e">
        <f>IF(Table4[[#This Row],[ScopeP]]="Unchanged",6.42*Table4[[#This Row],[ISC BaseP]],IF(Table4[[#This Row],[ScopeP]]="Changed",7.52*(Table4[[#This Row],[ISC BaseP]] - 0.029) - 3.25 * POWER(Table4[[#This Row],[ISC BaseP]] - 0.02,15),NA()))</f>
        <v>#N/A</v>
      </c>
      <c r="AN7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187"/>
    </row>
    <row r="78" spans="1:43" ht="168" x14ac:dyDescent="0.35">
      <c r="A78" s="70">
        <v>74</v>
      </c>
      <c r="B78" s="182" t="s">
        <v>260</v>
      </c>
      <c r="C78" s="195" t="str">
        <f>IF(VLOOKUP(Table4[[#This Row],[T ID]],Table5[#All],5,FALSE)="No","Not in scope",VLOOKUP(Table4[[#This Row],[T ID]],Table5[#All],2,FALSE))</f>
        <v>Data Access
(STR[I]DE)</v>
      </c>
      <c r="D78" s="212" t="s">
        <v>121</v>
      </c>
      <c r="E78" s="195" t="str">
        <f>IF(VLOOKUP(Table4[[#This Row],[V ID]],Vulnerabilities[#All],3,FALSE)="No","Not in scope",VLOOKUP(Table4[[#This Row],[V ID]],Vulnerabilities[#All],2,FALSE))</f>
        <v>Devices with default passwords needs to be checked for bruteforce attacks</v>
      </c>
      <c r="F78" s="213" t="s">
        <v>115</v>
      </c>
      <c r="G78" s="195" t="str">
        <f>VLOOKUP(Table4[[#This Row],[A ID]],Assets[#All],3,FALSE)</f>
        <v>Authentication/Authorisation method of all device(s)/app</v>
      </c>
      <c r="H78" s="49" t="s">
        <v>287</v>
      </c>
      <c r="I78" s="49"/>
      <c r="J78" s="87" t="s">
        <v>66</v>
      </c>
      <c r="K78" s="87" t="s">
        <v>78</v>
      </c>
      <c r="L78" s="87" t="s">
        <v>78</v>
      </c>
      <c r="M78" s="196" t="s">
        <v>79</v>
      </c>
      <c r="N78" s="157" t="s">
        <v>66</v>
      </c>
      <c r="O78" s="157" t="s">
        <v>66</v>
      </c>
      <c r="P78" s="196" t="s">
        <v>78</v>
      </c>
      <c r="Q78" s="196" t="s">
        <v>75</v>
      </c>
      <c r="R7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198">
        <f>(1 - ((1 - VLOOKUP(Table4[[#This Row],[Confidentiality]],'Reference - CVSSv3.0'!$B$15:$C$17,2,FALSE)) * (1 - VLOOKUP(Table4[[#This Row],[Integrity]],'Reference - CVSSv3.0'!$B$15:$C$17,2,FALSE)) *  (1 - VLOOKUP(Table4[[#This Row],[Availability]],'Reference - CVSSv3.0'!$B$15:$C$17,2,FALSE))))</f>
        <v>0.56000000000000005</v>
      </c>
      <c r="T78" s="198">
        <f>IF(Table4[[#This Row],[Scope]]="Unchanged",6.42*Table4[[#This Row],[ISC Base]],IF(Table4[[#This Row],[Scope]]="Changed",7.52*(Table4[[#This Row],[ISC Base]] - 0.029) - 3.25 * POWER(Table4[[#This Row],[ISC Base]] - 0.02,15),NA()))</f>
        <v>3.5952000000000002</v>
      </c>
      <c r="U78" s="198">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182" t="s">
        <v>56</v>
      </c>
      <c r="W78" s="198">
        <f>VLOOKUP(Table4[[#This Row],[Threat Event Initiation]],NIST_Scale_LOAI[],2,FALSE)</f>
        <v>0.5</v>
      </c>
      <c r="X7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225" t="s">
        <v>388</v>
      </c>
      <c r="AA78" s="49" t="s">
        <v>390</v>
      </c>
      <c r="AB78" s="206"/>
      <c r="AC78" s="187"/>
      <c r="AD78" s="187"/>
      <c r="AE78" s="187"/>
      <c r="AF78" s="196"/>
      <c r="AG78" s="196"/>
      <c r="AH78" s="196"/>
      <c r="AI78" s="196"/>
      <c r="AJ78" s="201"/>
      <c r="AK7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198" t="e">
        <f>(1 - ((1 - VLOOKUP(Table4[[#This Row],[ConfidentialityP]],'Reference - CVSSv3.0'!$B$15:$C$17,2,FALSE)) * (1 - VLOOKUP(Table4[[#This Row],[IntegrityP]],'Reference - CVSSv3.0'!$B$15:$C$17,2,FALSE)) *  (1 - VLOOKUP(Table4[[#This Row],[AvailabilityP]],'Reference - CVSSv3.0'!$B$15:$C$17,2,FALSE))))</f>
        <v>#N/A</v>
      </c>
      <c r="AM78" s="198" t="e">
        <f>IF(Table4[[#This Row],[ScopeP]]="Unchanged",6.42*Table4[[#This Row],[ISC BaseP]],IF(Table4[[#This Row],[ScopeP]]="Changed",7.52*(Table4[[#This Row],[ISC BaseP]] - 0.029) - 3.25 * POWER(Table4[[#This Row],[ISC BaseP]] - 0.02,15),NA()))</f>
        <v>#N/A</v>
      </c>
      <c r="AN7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187"/>
    </row>
    <row r="79" spans="1:43" ht="168" x14ac:dyDescent="0.35">
      <c r="A79" s="287">
        <v>75</v>
      </c>
      <c r="B79" s="182" t="s">
        <v>260</v>
      </c>
      <c r="C79" s="195" t="str">
        <f>IF(VLOOKUP(Table4[[#This Row],[T ID]],Table5[#All],5,FALSE)="No","Not in scope",VLOOKUP(Table4[[#This Row],[T ID]],Table5[#All],2,FALSE))</f>
        <v>Data Access
(STR[I]DE)</v>
      </c>
      <c r="D79" s="212" t="s">
        <v>121</v>
      </c>
      <c r="E79" s="195" t="str">
        <f>IF(VLOOKUP(Table4[[#This Row],[V ID]],Vulnerabilities[#All],3,FALSE)="No","Not in scope",VLOOKUP(Table4[[#This Row],[V ID]],Vulnerabilities[#All],2,FALSE))</f>
        <v>Devices with default passwords needs to be checked for bruteforce attacks</v>
      </c>
      <c r="F79" s="42" t="s">
        <v>107</v>
      </c>
      <c r="G79" s="195" t="str">
        <f>VLOOKUP(Table4[[#This Row],[A ID]],Assets[#All],3,FALSE)</f>
        <v>Data in Transit</v>
      </c>
      <c r="H79" s="49" t="s">
        <v>287</v>
      </c>
      <c r="I79" s="49"/>
      <c r="J79" s="87" t="s">
        <v>66</v>
      </c>
      <c r="K79" s="87" t="s">
        <v>78</v>
      </c>
      <c r="L79" s="87" t="s">
        <v>78</v>
      </c>
      <c r="M79" s="196" t="s">
        <v>79</v>
      </c>
      <c r="N79" s="157" t="s">
        <v>66</v>
      </c>
      <c r="O79" s="157" t="s">
        <v>66</v>
      </c>
      <c r="P79" s="196" t="s">
        <v>78</v>
      </c>
      <c r="Q79" s="196" t="s">
        <v>75</v>
      </c>
      <c r="R7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198">
        <f>(1 - ((1 - VLOOKUP(Table4[[#This Row],[Confidentiality]],'Reference - CVSSv3.0'!$B$15:$C$17,2,FALSE)) * (1 - VLOOKUP(Table4[[#This Row],[Integrity]],'Reference - CVSSv3.0'!$B$15:$C$17,2,FALSE)) *  (1 - VLOOKUP(Table4[[#This Row],[Availability]],'Reference - CVSSv3.0'!$B$15:$C$17,2,FALSE))))</f>
        <v>0.56000000000000005</v>
      </c>
      <c r="T79" s="198">
        <f>IF(Table4[[#This Row],[Scope]]="Unchanged",6.42*Table4[[#This Row],[ISC Base]],IF(Table4[[#This Row],[Scope]]="Changed",7.52*(Table4[[#This Row],[ISC Base]] - 0.029) - 3.25 * POWER(Table4[[#This Row],[ISC Base]] - 0.02,15),NA()))</f>
        <v>3.5952000000000002</v>
      </c>
      <c r="U79" s="198">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182" t="s">
        <v>57</v>
      </c>
      <c r="W79" s="198">
        <f>VLOOKUP(Table4[[#This Row],[Threat Event Initiation]],NIST_Scale_LOAI[],2,FALSE)</f>
        <v>0.2</v>
      </c>
      <c r="X7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225" t="s">
        <v>389</v>
      </c>
      <c r="AA79" s="49" t="s">
        <v>390</v>
      </c>
      <c r="AB79" s="206"/>
      <c r="AC79" s="187"/>
      <c r="AD79" s="187"/>
      <c r="AE79" s="187"/>
      <c r="AF79" s="196"/>
      <c r="AG79" s="196"/>
      <c r="AH79" s="196"/>
      <c r="AI79" s="196"/>
      <c r="AJ79" s="201"/>
      <c r="AK7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198" t="e">
        <f>(1 - ((1 - VLOOKUP(Table4[[#This Row],[ConfidentialityP]],'Reference - CVSSv3.0'!$B$15:$C$17,2,FALSE)) * (1 - VLOOKUP(Table4[[#This Row],[IntegrityP]],'Reference - CVSSv3.0'!$B$15:$C$17,2,FALSE)) *  (1 - VLOOKUP(Table4[[#This Row],[AvailabilityP]],'Reference - CVSSv3.0'!$B$15:$C$17,2,FALSE))))</f>
        <v>#N/A</v>
      </c>
      <c r="AM79" s="198" t="e">
        <f>IF(Table4[[#This Row],[ScopeP]]="Unchanged",6.42*Table4[[#This Row],[ISC BaseP]],IF(Table4[[#This Row],[ScopeP]]="Changed",7.52*(Table4[[#This Row],[ISC BaseP]] - 0.029) - 3.25 * POWER(Table4[[#This Row],[ISC BaseP]] - 0.02,15),NA()))</f>
        <v>#N/A</v>
      </c>
      <c r="AN7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187"/>
    </row>
    <row r="80" spans="1:43" ht="154" x14ac:dyDescent="0.35">
      <c r="A80" s="70">
        <v>76</v>
      </c>
      <c r="B80" s="182" t="s">
        <v>260</v>
      </c>
      <c r="C80" s="195" t="str">
        <f>IF(VLOOKUP(Table4[[#This Row],[T ID]],Table5[#All],5,FALSE)="No","Not in scope",VLOOKUP(Table4[[#This Row],[T ID]],Table5[#All],2,FALSE))</f>
        <v>Data Access
(STR[I]DE)</v>
      </c>
      <c r="D80" s="212" t="s">
        <v>220</v>
      </c>
      <c r="E80" s="195" t="str">
        <f>IF(VLOOKUP(Table4[[#This Row],[V ID]],Vulnerabilities[#All],3,FALSE)="No","Not in scope",VLOOKUP(Table4[[#This Row],[V ID]],Vulnerabilities[#All],2,FALSE))</f>
        <v>The password complexity or location vulnerability. Like weak passwords and hardcoded passwords.</v>
      </c>
      <c r="F80" s="42" t="s">
        <v>120</v>
      </c>
      <c r="G80" s="195" t="str">
        <f>VLOOKUP(Table4[[#This Row],[A ID]],Assets[#All],3,FALSE)</f>
        <v>Data at Rest</v>
      </c>
      <c r="H80" s="49" t="s">
        <v>287</v>
      </c>
      <c r="I80" s="49"/>
      <c r="J80" s="87" t="s">
        <v>57</v>
      </c>
      <c r="K80" s="87" t="s">
        <v>57</v>
      </c>
      <c r="L80" s="87" t="s">
        <v>57</v>
      </c>
      <c r="M80" s="196" t="s">
        <v>79</v>
      </c>
      <c r="N80" s="157" t="s">
        <v>66</v>
      </c>
      <c r="O80" s="157" t="s">
        <v>66</v>
      </c>
      <c r="P80" s="196" t="s">
        <v>78</v>
      </c>
      <c r="Q80" s="196" t="s">
        <v>75</v>
      </c>
      <c r="R8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198">
        <f>(1 - ((1 - VLOOKUP(Table4[[#This Row],[Confidentiality]],'Reference - CVSSv3.0'!$B$15:$C$17,2,FALSE)) * (1 - VLOOKUP(Table4[[#This Row],[Integrity]],'Reference - CVSSv3.0'!$B$15:$C$17,2,FALSE)) *  (1 - VLOOKUP(Table4[[#This Row],[Availability]],'Reference - CVSSv3.0'!$B$15:$C$17,2,FALSE))))</f>
        <v>0.52544799999999992</v>
      </c>
      <c r="T80" s="198">
        <f>IF(Table4[[#This Row],[Scope]]="Unchanged",6.42*Table4[[#This Row],[ISC Base]],IF(Table4[[#This Row],[Scope]]="Changed",7.52*(Table4[[#This Row],[ISC Base]] - 0.029) - 3.25 * POWER(Table4[[#This Row],[ISC Base]] - 0.02,15),NA()))</f>
        <v>3.3733761599999994</v>
      </c>
      <c r="U8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182" t="s">
        <v>57</v>
      </c>
      <c r="W80" s="198">
        <f>VLOOKUP(Table4[[#This Row],[Threat Event Initiation]],NIST_Scale_LOAI[],2,FALSE)</f>
        <v>0.2</v>
      </c>
      <c r="X8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49" t="s">
        <v>381</v>
      </c>
      <c r="AA80" s="49" t="s">
        <v>383</v>
      </c>
      <c r="AB80" s="206"/>
      <c r="AC80" s="187"/>
      <c r="AD80" s="187"/>
      <c r="AE80" s="187"/>
      <c r="AF80" s="196"/>
      <c r="AG80" s="196"/>
      <c r="AH80" s="196"/>
      <c r="AI80" s="196"/>
      <c r="AJ80" s="201"/>
      <c r="AK8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198" t="e">
        <f>(1 - ((1 - VLOOKUP(Table4[[#This Row],[ConfidentialityP]],'Reference - CVSSv3.0'!$B$15:$C$17,2,FALSE)) * (1 - VLOOKUP(Table4[[#This Row],[IntegrityP]],'Reference - CVSSv3.0'!$B$15:$C$17,2,FALSE)) *  (1 - VLOOKUP(Table4[[#This Row],[AvailabilityP]],'Reference - CVSSv3.0'!$B$15:$C$17,2,FALSE))))</f>
        <v>#N/A</v>
      </c>
      <c r="AM80" s="198" t="e">
        <f>IF(Table4[[#This Row],[ScopeP]]="Unchanged",6.42*Table4[[#This Row],[ISC BaseP]],IF(Table4[[#This Row],[ScopeP]]="Changed",7.52*(Table4[[#This Row],[ISC BaseP]] - 0.029) - 3.25 * POWER(Table4[[#This Row],[ISC BaseP]] - 0.02,15),NA()))</f>
        <v>#N/A</v>
      </c>
      <c r="AN8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187"/>
    </row>
    <row r="81" spans="1:44" ht="112" x14ac:dyDescent="0.35">
      <c r="A81" s="287">
        <v>77</v>
      </c>
      <c r="B81" s="182" t="s">
        <v>260</v>
      </c>
      <c r="C81" s="195" t="str">
        <f>IF(VLOOKUP(Table4[[#This Row],[T ID]],Table5[#All],5,FALSE)="No","Not in scope",VLOOKUP(Table4[[#This Row],[T ID]],Table5[#All],2,FALSE))</f>
        <v>Data Access
(STR[I]DE)</v>
      </c>
      <c r="D81" s="212" t="s">
        <v>242</v>
      </c>
      <c r="E81" s="195" t="str">
        <f>IF(VLOOKUP(Table4[[#This Row],[V ID]],Vulnerabilities[#All],3,FALSE)="No","Not in scope",VLOOKUP(Table4[[#This Row],[V ID]],Vulnerabilities[#All],2,FALSE))</f>
        <v>Unprotected external USB Port on the tablet/devices.</v>
      </c>
      <c r="F81" s="216" t="s">
        <v>112</v>
      </c>
      <c r="G81" s="195" t="str">
        <f>VLOOKUP(Table4[[#This Row],[A ID]],Assets[#All],3,FALSE)</f>
        <v>Tablet Resources - web cam, microphone, OTG devices, Removable USB, Tablet Application, Network interfaces (Bluetooth, Wifi)</v>
      </c>
      <c r="H81" s="49" t="s">
        <v>287</v>
      </c>
      <c r="I81" s="49"/>
      <c r="J81" s="87" t="s">
        <v>78</v>
      </c>
      <c r="K81" s="87" t="s">
        <v>57</v>
      </c>
      <c r="L81" s="87" t="s">
        <v>57</v>
      </c>
      <c r="M81" s="196" t="s">
        <v>76</v>
      </c>
      <c r="N81" s="157" t="s">
        <v>66</v>
      </c>
      <c r="O81" s="157" t="s">
        <v>66</v>
      </c>
      <c r="P81" s="196" t="s">
        <v>78</v>
      </c>
      <c r="Q81" s="196" t="s">
        <v>75</v>
      </c>
      <c r="R8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198">
        <f>(1 - ((1 - VLOOKUP(Table4[[#This Row],[Confidentiality]],'Reference - CVSSv3.0'!$B$15:$C$17,2,FALSE)) * (1 - VLOOKUP(Table4[[#This Row],[Integrity]],'Reference - CVSSv3.0'!$B$15:$C$17,2,FALSE)) *  (1 - VLOOKUP(Table4[[#This Row],[Availability]],'Reference - CVSSv3.0'!$B$15:$C$17,2,FALSE))))</f>
        <v>0.39159999999999995</v>
      </c>
      <c r="T81" s="198">
        <f>IF(Table4[[#This Row],[Scope]]="Unchanged",6.42*Table4[[#This Row],[ISC Base]],IF(Table4[[#This Row],[Scope]]="Changed",7.52*(Table4[[#This Row],[ISC Base]] - 0.029) - 3.25 * POWER(Table4[[#This Row],[ISC Base]] - 0.02,15),NA()))</f>
        <v>2.5140719999999996</v>
      </c>
      <c r="U81" s="198">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182" t="s">
        <v>56</v>
      </c>
      <c r="W81" s="198">
        <f>VLOOKUP(Table4[[#This Row],[Threat Event Initiation]],NIST_Scale_LOAI[],2,FALSE)</f>
        <v>0.5</v>
      </c>
      <c r="X8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49" t="s">
        <v>345</v>
      </c>
      <c r="AA81" s="49" t="s">
        <v>346</v>
      </c>
      <c r="AB81" s="206"/>
      <c r="AC81" s="187"/>
      <c r="AD81" s="187"/>
      <c r="AE81" s="187"/>
      <c r="AF81" s="196"/>
      <c r="AG81" s="196"/>
      <c r="AH81" s="196"/>
      <c r="AI81" s="196"/>
      <c r="AJ81" s="201"/>
      <c r="AK8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198" t="e">
        <f>(1 - ((1 - VLOOKUP(Table4[[#This Row],[ConfidentialityP]],'Reference - CVSSv3.0'!$B$15:$C$17,2,FALSE)) * (1 - VLOOKUP(Table4[[#This Row],[IntegrityP]],'Reference - CVSSv3.0'!$B$15:$C$17,2,FALSE)) *  (1 - VLOOKUP(Table4[[#This Row],[AvailabilityP]],'Reference - CVSSv3.0'!$B$15:$C$17,2,FALSE))))</f>
        <v>#N/A</v>
      </c>
      <c r="AM81" s="198" t="e">
        <f>IF(Table4[[#This Row],[ScopeP]]="Unchanged",6.42*Table4[[#This Row],[ISC BaseP]],IF(Table4[[#This Row],[ScopeP]]="Changed",7.52*(Table4[[#This Row],[ISC BaseP]] - 0.029) - 3.25 * POWER(Table4[[#This Row],[ISC BaseP]] - 0.02,15),NA()))</f>
        <v>#N/A</v>
      </c>
      <c r="AN8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187"/>
    </row>
    <row r="82" spans="1:44" ht="69" customHeight="1" x14ac:dyDescent="0.35">
      <c r="A82" s="70">
        <v>78</v>
      </c>
      <c r="B82" s="182" t="s">
        <v>261</v>
      </c>
      <c r="C82" s="195" t="str">
        <f>IF(VLOOKUP(Table4[[#This Row],[T ID]],Table5[#All],5,FALSE)="No","Not in scope",VLOOKUP(Table4[[#This Row],[T ID]],Table5[#All],2,FALSE))</f>
        <v>Open network port exploit
(TTP)</v>
      </c>
      <c r="D82" s="210" t="s">
        <v>241</v>
      </c>
      <c r="E82" s="195" t="str">
        <f>IF(VLOOKUP(Table4[[#This Row],[V ID]],Vulnerabilities[#All],3,FALSE)="No","Not in scope",VLOOKUP(Table4[[#This Row],[V ID]],Vulnerabilities[#All],2,FALSE))</f>
        <v>Unprotected network port(s) on network devices and connection points</v>
      </c>
      <c r="F82" s="216" t="s">
        <v>113</v>
      </c>
      <c r="G82" s="195" t="str">
        <f>VLOOKUP(Table4[[#This Row],[A ID]],Assets[#All],3,FALSE)</f>
        <v>Tablet OS/network details &amp; Tablet Application</v>
      </c>
      <c r="H82" s="49" t="s">
        <v>288</v>
      </c>
      <c r="I82" s="49"/>
      <c r="J82" s="87" t="s">
        <v>78</v>
      </c>
      <c r="K82" s="87" t="s">
        <v>78</v>
      </c>
      <c r="L82" s="87" t="s">
        <v>57</v>
      </c>
      <c r="M82" s="196" t="s">
        <v>79</v>
      </c>
      <c r="N82" s="157" t="s">
        <v>66</v>
      </c>
      <c r="O82" s="157" t="s">
        <v>57</v>
      </c>
      <c r="P82" s="196" t="s">
        <v>78</v>
      </c>
      <c r="Q82" s="196" t="s">
        <v>75</v>
      </c>
      <c r="R8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198">
        <f>(1 - ((1 - VLOOKUP(Table4[[#This Row],[Confidentiality]],'Reference - CVSSv3.0'!$B$15:$C$17,2,FALSE)) * (1 - VLOOKUP(Table4[[#This Row],[Integrity]],'Reference - CVSSv3.0'!$B$15:$C$17,2,FALSE)) *  (1 - VLOOKUP(Table4[[#This Row],[Availability]],'Reference - CVSSv3.0'!$B$15:$C$17,2,FALSE))))</f>
        <v>0.21999999999999997</v>
      </c>
      <c r="T82" s="198">
        <f>IF(Table4[[#This Row],[Scope]]="Unchanged",6.42*Table4[[#This Row],[ISC Base]],IF(Table4[[#This Row],[Scope]]="Changed",7.52*(Table4[[#This Row],[ISC Base]] - 0.029) - 3.25 * POWER(Table4[[#This Row],[ISC Base]] - 0.02,15),NA()))</f>
        <v>1.4123999999999999</v>
      </c>
      <c r="U82" s="198">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182" t="s">
        <v>56</v>
      </c>
      <c r="W82" s="198">
        <f>VLOOKUP(Table4[[#This Row],[Threat Event Initiation]],NIST_Scale_LOAI[],2,FALSE)</f>
        <v>0.5</v>
      </c>
      <c r="X8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49" t="s">
        <v>345</v>
      </c>
      <c r="AA82" s="49" t="s">
        <v>346</v>
      </c>
      <c r="AB82" s="206"/>
      <c r="AC82" s="187"/>
      <c r="AD82" s="187"/>
      <c r="AE82" s="187"/>
      <c r="AF82" s="196"/>
      <c r="AG82" s="196"/>
      <c r="AH82" s="196"/>
      <c r="AI82" s="196"/>
      <c r="AJ82" s="201"/>
      <c r="AK8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198" t="e">
        <f>(1 - ((1 - VLOOKUP(Table4[[#This Row],[ConfidentialityP]],'Reference - CVSSv3.0'!$B$15:$C$17,2,FALSE)) * (1 - VLOOKUP(Table4[[#This Row],[IntegrityP]],'Reference - CVSSv3.0'!$B$15:$C$17,2,FALSE)) *  (1 - VLOOKUP(Table4[[#This Row],[AvailabilityP]],'Reference - CVSSv3.0'!$B$15:$C$17,2,FALSE))))</f>
        <v>#N/A</v>
      </c>
      <c r="AM82" s="198" t="e">
        <f>IF(Table4[[#This Row],[ScopeP]]="Unchanged",6.42*Table4[[#This Row],[ISC BaseP]],IF(Table4[[#This Row],[ScopeP]]="Changed",7.52*(Table4[[#This Row],[ISC BaseP]] - 0.029) - 3.25 * POWER(Table4[[#This Row],[ISC BaseP]] - 0.02,15),NA()))</f>
        <v>#N/A</v>
      </c>
      <c r="AN8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187"/>
    </row>
    <row r="83" spans="1:44" ht="124.5" customHeight="1" x14ac:dyDescent="0.35">
      <c r="A83" s="70">
        <v>79</v>
      </c>
      <c r="B83" s="182" t="s">
        <v>261</v>
      </c>
      <c r="C83" s="195" t="str">
        <f>IF(VLOOKUP(Table4[[#This Row],[T ID]],Table5[#All],5,FALSE)="No","Not in scope",VLOOKUP(Table4[[#This Row],[T ID]],Table5[#All],2,FALSE))</f>
        <v>Open network port exploit
(TTP)</v>
      </c>
      <c r="D83" s="210" t="s">
        <v>241</v>
      </c>
      <c r="E83" s="195" t="str">
        <f>IF(VLOOKUP(Table4[[#This Row],[V ID]],Vulnerabilities[#All],3,FALSE)="No","Not in scope",VLOOKUP(Table4[[#This Row],[V ID]],Vulnerabilities[#All],2,FALSE))</f>
        <v>Unprotected network port(s) on network devices and connection points</v>
      </c>
      <c r="F83" s="216" t="s">
        <v>119</v>
      </c>
      <c r="G83" s="195" t="str">
        <f>VLOOKUP(Table4[[#This Row],[A ID]],Assets[#All],3,FALSE)</f>
        <v>Wireless Network device (Scope of HDO)</v>
      </c>
      <c r="H83" s="49" t="s">
        <v>288</v>
      </c>
      <c r="I83" s="49"/>
      <c r="J83" s="87" t="s">
        <v>78</v>
      </c>
      <c r="K83" s="87" t="s">
        <v>78</v>
      </c>
      <c r="L83" s="87" t="s">
        <v>57</v>
      </c>
      <c r="M83" s="196" t="s">
        <v>79</v>
      </c>
      <c r="N83" s="157" t="s">
        <v>66</v>
      </c>
      <c r="O83" s="157" t="s">
        <v>57</v>
      </c>
      <c r="P83" s="196" t="s">
        <v>78</v>
      </c>
      <c r="Q83" s="196" t="s">
        <v>75</v>
      </c>
      <c r="R8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198">
        <f>(1 - ((1 - VLOOKUP(Table4[[#This Row],[Confidentiality]],'Reference - CVSSv3.0'!$B$15:$C$17,2,FALSE)) * (1 - VLOOKUP(Table4[[#This Row],[Integrity]],'Reference - CVSSv3.0'!$B$15:$C$17,2,FALSE)) *  (1 - VLOOKUP(Table4[[#This Row],[Availability]],'Reference - CVSSv3.0'!$B$15:$C$17,2,FALSE))))</f>
        <v>0.21999999999999997</v>
      </c>
      <c r="T83" s="198">
        <f>IF(Table4[[#This Row],[Scope]]="Unchanged",6.42*Table4[[#This Row],[ISC Base]],IF(Table4[[#This Row],[Scope]]="Changed",7.52*(Table4[[#This Row],[ISC Base]] - 0.029) - 3.25 * POWER(Table4[[#This Row],[ISC Base]] - 0.02,15),NA()))</f>
        <v>1.4123999999999999</v>
      </c>
      <c r="U83" s="198">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182" t="s">
        <v>56</v>
      </c>
      <c r="W83" s="198">
        <f>VLOOKUP(Table4[[#This Row],[Threat Event Initiation]],NIST_Scale_LOAI[],2,FALSE)</f>
        <v>0.5</v>
      </c>
      <c r="X8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225" t="s">
        <v>398</v>
      </c>
      <c r="AA83" s="49" t="s">
        <v>399</v>
      </c>
      <c r="AB83" s="206"/>
      <c r="AC83" s="187"/>
      <c r="AD83" s="187"/>
      <c r="AE83" s="187"/>
      <c r="AF83" s="196"/>
      <c r="AG83" s="196"/>
      <c r="AH83" s="196"/>
      <c r="AI83" s="196"/>
      <c r="AJ83" s="201"/>
      <c r="AK8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198" t="e">
        <f>(1 - ((1 - VLOOKUP(Table4[[#This Row],[ConfidentialityP]],'Reference - CVSSv3.0'!$B$15:$C$17,2,FALSE)) * (1 - VLOOKUP(Table4[[#This Row],[IntegrityP]],'Reference - CVSSv3.0'!$B$15:$C$17,2,FALSE)) *  (1 - VLOOKUP(Table4[[#This Row],[AvailabilityP]],'Reference - CVSSv3.0'!$B$15:$C$17,2,FALSE))))</f>
        <v>#N/A</v>
      </c>
      <c r="AM83" s="198" t="e">
        <f>IF(Table4[[#This Row],[ScopeP]]="Unchanged",6.42*Table4[[#This Row],[ISC BaseP]],IF(Table4[[#This Row],[ScopeP]]="Changed",7.52*(Table4[[#This Row],[ISC BaseP]] - 0.029) - 3.25 * POWER(Table4[[#This Row],[ISC BaseP]] - 0.02,15),NA()))</f>
        <v>#N/A</v>
      </c>
      <c r="AN8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187"/>
    </row>
    <row r="84" spans="1:44" ht="126" x14ac:dyDescent="0.35">
      <c r="A84" s="70">
        <v>80</v>
      </c>
      <c r="B84" s="182" t="s">
        <v>261</v>
      </c>
      <c r="C84" s="195" t="str">
        <f>IF(VLOOKUP(Table4[[#This Row],[T ID]],Table5[#All],5,FALSE)="No","Not in scope",VLOOKUP(Table4[[#This Row],[T ID]],Table5[#All],2,FALSE))</f>
        <v>Open network port exploit
(TTP)</v>
      </c>
      <c r="D84" s="210" t="s">
        <v>243</v>
      </c>
      <c r="E84" s="195" t="str">
        <f>IF(VLOOKUP(Table4[[#This Row],[V ID]],Vulnerabilities[#All],3,FALSE)="No","Not in scope",VLOOKUP(Table4[[#This Row],[V ID]],Vulnerabilities[#All],2,FALSE))</f>
        <v>Unencrypted Network segment through out the information flow</v>
      </c>
      <c r="F84" s="216" t="s">
        <v>113</v>
      </c>
      <c r="G84" s="195" t="str">
        <f>VLOOKUP(Table4[[#This Row],[A ID]],Assets[#All],3,FALSE)</f>
        <v>Tablet OS/network details &amp; Tablet Application</v>
      </c>
      <c r="H84" s="49" t="s">
        <v>288</v>
      </c>
      <c r="I84" s="49"/>
      <c r="J84" s="87" t="s">
        <v>78</v>
      </c>
      <c r="K84" s="87" t="s">
        <v>78</v>
      </c>
      <c r="L84" s="87" t="s">
        <v>57</v>
      </c>
      <c r="M84" s="196" t="s">
        <v>79</v>
      </c>
      <c r="N84" s="157" t="s">
        <v>66</v>
      </c>
      <c r="O84" s="157" t="s">
        <v>57</v>
      </c>
      <c r="P84" s="196" t="s">
        <v>78</v>
      </c>
      <c r="Q84" s="196" t="s">
        <v>75</v>
      </c>
      <c r="R8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198">
        <f>(1 - ((1 - VLOOKUP(Table4[[#This Row],[Confidentiality]],'Reference - CVSSv3.0'!$B$15:$C$17,2,FALSE)) * (1 - VLOOKUP(Table4[[#This Row],[Integrity]],'Reference - CVSSv3.0'!$B$15:$C$17,2,FALSE)) *  (1 - VLOOKUP(Table4[[#This Row],[Availability]],'Reference - CVSSv3.0'!$B$15:$C$17,2,FALSE))))</f>
        <v>0.21999999999999997</v>
      </c>
      <c r="T84" s="198">
        <f>IF(Table4[[#This Row],[Scope]]="Unchanged",6.42*Table4[[#This Row],[ISC Base]],IF(Table4[[#This Row],[Scope]]="Changed",7.52*(Table4[[#This Row],[ISC Base]] - 0.029) - 3.25 * POWER(Table4[[#This Row],[ISC Base]] - 0.02,15),NA()))</f>
        <v>1.4123999999999999</v>
      </c>
      <c r="U84" s="198">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182" t="s">
        <v>56</v>
      </c>
      <c r="W84" s="198">
        <f>VLOOKUP(Table4[[#This Row],[Threat Event Initiation]],NIST_Scale_LOAI[],2,FALSE)</f>
        <v>0.5</v>
      </c>
      <c r="X8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49" t="s">
        <v>345</v>
      </c>
      <c r="AA84" s="49" t="s">
        <v>346</v>
      </c>
      <c r="AB84" s="206"/>
      <c r="AC84" s="187"/>
      <c r="AD84" s="187"/>
      <c r="AE84" s="187"/>
      <c r="AF84" s="196"/>
      <c r="AG84" s="196"/>
      <c r="AH84" s="196"/>
      <c r="AI84" s="196"/>
      <c r="AJ84" s="201"/>
      <c r="AK8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198" t="e">
        <f>(1 - ((1 - VLOOKUP(Table4[[#This Row],[ConfidentialityP]],'Reference - CVSSv3.0'!$B$15:$C$17,2,FALSE)) * (1 - VLOOKUP(Table4[[#This Row],[IntegrityP]],'Reference - CVSSv3.0'!$B$15:$C$17,2,FALSE)) *  (1 - VLOOKUP(Table4[[#This Row],[AvailabilityP]],'Reference - CVSSv3.0'!$B$15:$C$17,2,FALSE))))</f>
        <v>#N/A</v>
      </c>
      <c r="AM84" s="198" t="e">
        <f>IF(Table4[[#This Row],[ScopeP]]="Unchanged",6.42*Table4[[#This Row],[ISC BaseP]],IF(Table4[[#This Row],[ScopeP]]="Changed",7.52*(Table4[[#This Row],[ISC BaseP]] - 0.029) - 3.25 * POWER(Table4[[#This Row],[ISC BaseP]] - 0.02,15),NA()))</f>
        <v>#N/A</v>
      </c>
      <c r="AN8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187"/>
    </row>
    <row r="85" spans="1:44" ht="182" x14ac:dyDescent="0.35">
      <c r="A85" s="70">
        <v>81</v>
      </c>
      <c r="B85" s="182" t="s">
        <v>261</v>
      </c>
      <c r="C85" s="195" t="str">
        <f>IF(VLOOKUP(Table4[[#This Row],[T ID]],Table5[#All],5,FALSE)="No","Not in scope",VLOOKUP(Table4[[#This Row],[T ID]],Table5[#All],2,FALSE))</f>
        <v>Open network port exploit
(TTP)</v>
      </c>
      <c r="D85" s="210" t="s">
        <v>249</v>
      </c>
      <c r="E85" s="195" t="str">
        <f>IF(VLOOKUP(Table4[[#This Row],[V ID]],Vulnerabilities[#All],3,FALSE)="No","Not in scope",VLOOKUP(Table4[[#This Row],[V ID]],Vulnerabilities[#All],2,FALSE))</f>
        <v>Unencrypted data in transit in all flowchannels</v>
      </c>
      <c r="F85" s="216" t="s">
        <v>107</v>
      </c>
      <c r="G85" s="195" t="str">
        <f>VLOOKUP(Table4[[#This Row],[A ID]],Assets[#All],3,FALSE)</f>
        <v>Data in Transit</v>
      </c>
      <c r="H85" s="49" t="s">
        <v>289</v>
      </c>
      <c r="I85" s="49"/>
      <c r="J85" s="87" t="s">
        <v>78</v>
      </c>
      <c r="K85" s="87" t="s">
        <v>78</v>
      </c>
      <c r="L85" s="87" t="s">
        <v>57</v>
      </c>
      <c r="M85" s="196" t="s">
        <v>79</v>
      </c>
      <c r="N85" s="157" t="s">
        <v>66</v>
      </c>
      <c r="O85" s="157" t="s">
        <v>57</v>
      </c>
      <c r="P85" s="196" t="s">
        <v>78</v>
      </c>
      <c r="Q85" s="196" t="s">
        <v>75</v>
      </c>
      <c r="R8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198">
        <f>(1 - ((1 - VLOOKUP(Table4[[#This Row],[Confidentiality]],'Reference - CVSSv3.0'!$B$15:$C$17,2,FALSE)) * (1 - VLOOKUP(Table4[[#This Row],[Integrity]],'Reference - CVSSv3.0'!$B$15:$C$17,2,FALSE)) *  (1 - VLOOKUP(Table4[[#This Row],[Availability]],'Reference - CVSSv3.0'!$B$15:$C$17,2,FALSE))))</f>
        <v>0.21999999999999997</v>
      </c>
      <c r="T85" s="198">
        <f>IF(Table4[[#This Row],[Scope]]="Unchanged",6.42*Table4[[#This Row],[ISC Base]],IF(Table4[[#This Row],[Scope]]="Changed",7.52*(Table4[[#This Row],[ISC Base]] - 0.029) - 3.25 * POWER(Table4[[#This Row],[ISC Base]] - 0.02,15),NA()))</f>
        <v>1.4123999999999999</v>
      </c>
      <c r="U85" s="198">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182" t="s">
        <v>56</v>
      </c>
      <c r="W85" s="198">
        <f>VLOOKUP(Table4[[#This Row],[Threat Event Initiation]],NIST_Scale_LOAI[],2,FALSE)</f>
        <v>0.5</v>
      </c>
      <c r="X8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49" t="s">
        <v>359</v>
      </c>
      <c r="AA85" s="49" t="s">
        <v>360</v>
      </c>
      <c r="AB85" s="206"/>
      <c r="AC85" s="187"/>
      <c r="AD85" s="187"/>
      <c r="AE85" s="187"/>
      <c r="AF85" s="196"/>
      <c r="AG85" s="196"/>
      <c r="AH85" s="196"/>
      <c r="AI85" s="196"/>
      <c r="AJ85" s="201"/>
      <c r="AK8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198" t="e">
        <f>(1 - ((1 - VLOOKUP(Table4[[#This Row],[ConfidentialityP]],'Reference - CVSSv3.0'!$B$15:$C$17,2,FALSE)) * (1 - VLOOKUP(Table4[[#This Row],[IntegrityP]],'Reference - CVSSv3.0'!$B$15:$C$17,2,FALSE)) *  (1 - VLOOKUP(Table4[[#This Row],[AvailabilityP]],'Reference - CVSSv3.0'!$B$15:$C$17,2,FALSE))))</f>
        <v>#N/A</v>
      </c>
      <c r="AM85" s="198" t="e">
        <f>IF(Table4[[#This Row],[ScopeP]]="Unchanged",6.42*Table4[[#This Row],[ISC BaseP]],IF(Table4[[#This Row],[ScopeP]]="Changed",7.52*(Table4[[#This Row],[ISC BaseP]] - 0.029) - 3.25 * POWER(Table4[[#This Row],[ISC BaseP]] - 0.02,15),NA()))</f>
        <v>#N/A</v>
      </c>
      <c r="AN8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187"/>
    </row>
    <row r="86" spans="1:44" ht="136.5" customHeight="1" x14ac:dyDescent="0.35">
      <c r="A86" s="287">
        <v>82</v>
      </c>
      <c r="B86" s="182" t="s">
        <v>261</v>
      </c>
      <c r="C86" s="195" t="str">
        <f>IF(VLOOKUP(Table4[[#This Row],[T ID]],Table5[#All],5,FALSE)="No","Not in scope",VLOOKUP(Table4[[#This Row],[T ID]],Table5[#All],2,FALSE))</f>
        <v>Open network port exploit
(TTP)</v>
      </c>
      <c r="D86" s="211" t="s">
        <v>222</v>
      </c>
      <c r="E86" s="195" t="str">
        <f>IF(VLOOKUP(Table4[[#This Row],[V ID]],Vulnerabilities[#All],3,FALSE)="No","Not in scope",VLOOKUP(Table4[[#This Row],[V ID]],Vulnerabilities[#All],2,FALSE))</f>
        <v>Insecure communications in networks (hospital)</v>
      </c>
      <c r="F86" s="216" t="s">
        <v>113</v>
      </c>
      <c r="G86" s="195" t="str">
        <f>VLOOKUP(Table4[[#This Row],[A ID]],Assets[#All],3,FALSE)</f>
        <v>Tablet OS/network details &amp; Tablet Application</v>
      </c>
      <c r="H86" s="49" t="s">
        <v>288</v>
      </c>
      <c r="I86" s="49"/>
      <c r="J86" s="87" t="s">
        <v>78</v>
      </c>
      <c r="K86" s="87" t="s">
        <v>57</v>
      </c>
      <c r="L86" s="87" t="s">
        <v>57</v>
      </c>
      <c r="M86" s="196" t="s">
        <v>79</v>
      </c>
      <c r="N86" s="157" t="s">
        <v>66</v>
      </c>
      <c r="O86" s="157" t="s">
        <v>57</v>
      </c>
      <c r="P86" s="196" t="s">
        <v>78</v>
      </c>
      <c r="Q86" s="196" t="s">
        <v>75</v>
      </c>
      <c r="R8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198">
        <f>(1 - ((1 - VLOOKUP(Table4[[#This Row],[Confidentiality]],'Reference - CVSSv3.0'!$B$15:$C$17,2,FALSE)) * (1 - VLOOKUP(Table4[[#This Row],[Integrity]],'Reference - CVSSv3.0'!$B$15:$C$17,2,FALSE)) *  (1 - VLOOKUP(Table4[[#This Row],[Availability]],'Reference - CVSSv3.0'!$B$15:$C$17,2,FALSE))))</f>
        <v>0.39159999999999995</v>
      </c>
      <c r="T86" s="198">
        <f>IF(Table4[[#This Row],[Scope]]="Unchanged",6.42*Table4[[#This Row],[ISC Base]],IF(Table4[[#This Row],[Scope]]="Changed",7.52*(Table4[[#This Row],[ISC Base]] - 0.029) - 3.25 * POWER(Table4[[#This Row],[ISC Base]] - 0.02,15),NA()))</f>
        <v>2.5140719999999996</v>
      </c>
      <c r="U86"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182" t="s">
        <v>56</v>
      </c>
      <c r="W86" s="198">
        <f>VLOOKUP(Table4[[#This Row],[Threat Event Initiation]],NIST_Scale_LOAI[],2,FALSE)</f>
        <v>0.5</v>
      </c>
      <c r="X8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49" t="s">
        <v>345</v>
      </c>
      <c r="AA86" s="49" t="s">
        <v>346</v>
      </c>
      <c r="AB86" s="206"/>
      <c r="AC86" s="187"/>
      <c r="AD86" s="187"/>
      <c r="AE86" s="187"/>
      <c r="AF86" s="196"/>
      <c r="AG86" s="196"/>
      <c r="AH86" s="196"/>
      <c r="AI86" s="196"/>
      <c r="AJ86" s="201"/>
      <c r="AK8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198" t="e">
        <f>(1 - ((1 - VLOOKUP(Table4[[#This Row],[ConfidentialityP]],'Reference - CVSSv3.0'!$B$15:$C$17,2,FALSE)) * (1 - VLOOKUP(Table4[[#This Row],[IntegrityP]],'Reference - CVSSv3.0'!$B$15:$C$17,2,FALSE)) *  (1 - VLOOKUP(Table4[[#This Row],[AvailabilityP]],'Reference - CVSSv3.0'!$B$15:$C$17,2,FALSE))))</f>
        <v>#N/A</v>
      </c>
      <c r="AM86" s="198" t="e">
        <f>IF(Table4[[#This Row],[ScopeP]]="Unchanged",6.42*Table4[[#This Row],[ISC BaseP]],IF(Table4[[#This Row],[ScopeP]]="Changed",7.52*(Table4[[#This Row],[ISC BaseP]] - 0.029) - 3.25 * POWER(Table4[[#This Row],[ISC BaseP]] - 0.02,15),NA()))</f>
        <v>#N/A</v>
      </c>
      <c r="AN8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187"/>
    </row>
    <row r="87" spans="1:44" ht="140" x14ac:dyDescent="0.35">
      <c r="A87" s="70">
        <v>83</v>
      </c>
      <c r="B87" s="182" t="s">
        <v>262</v>
      </c>
      <c r="C87" s="195" t="str">
        <f>IF(VLOOKUP(Table4[[#This Row],[T ID]],Table5[#All],5,FALSE)="No","Not in scope",VLOOKUP(Table4[[#This Row],[T ID]],Table5[#All],2,FALSE))</f>
        <v>Brute-force Attack
(CAPEC-112)</v>
      </c>
      <c r="D87" s="212" t="s">
        <v>121</v>
      </c>
      <c r="E87" s="195" t="str">
        <f>IF(VLOOKUP(Table4[[#This Row],[V ID]],Vulnerabilities[#All],3,FALSE)="No","Not in scope",VLOOKUP(Table4[[#This Row],[V ID]],Vulnerabilities[#All],2,FALSE))</f>
        <v>Devices with default passwords needs to be checked for bruteforce attacks</v>
      </c>
      <c r="F87" s="216" t="s">
        <v>108</v>
      </c>
      <c r="G87" s="195" t="str">
        <f>VLOOKUP(Table4[[#This Row],[A ID]],Assets[#All],3,FALSE)</f>
        <v>Smart medic app (Stryker Admin Web Application)</v>
      </c>
      <c r="H87" s="49" t="s">
        <v>290</v>
      </c>
      <c r="I87" s="49"/>
      <c r="J87" s="87" t="s">
        <v>57</v>
      </c>
      <c r="K87" s="87" t="s">
        <v>78</v>
      </c>
      <c r="L87" s="87" t="s">
        <v>57</v>
      </c>
      <c r="M87" s="196" t="s">
        <v>79</v>
      </c>
      <c r="N87" s="157" t="s">
        <v>66</v>
      </c>
      <c r="O87" s="157" t="s">
        <v>66</v>
      </c>
      <c r="P87" s="196" t="s">
        <v>78</v>
      </c>
      <c r="Q87" s="196" t="s">
        <v>75</v>
      </c>
      <c r="R8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198">
        <f>(1 - ((1 - VLOOKUP(Table4[[#This Row],[Confidentiality]],'Reference - CVSSv3.0'!$B$15:$C$17,2,FALSE)) * (1 - VLOOKUP(Table4[[#This Row],[Integrity]],'Reference - CVSSv3.0'!$B$15:$C$17,2,FALSE)) *  (1 - VLOOKUP(Table4[[#This Row],[Availability]],'Reference - CVSSv3.0'!$B$15:$C$17,2,FALSE))))</f>
        <v>0.39159999999999995</v>
      </c>
      <c r="T87" s="198">
        <f>IF(Table4[[#This Row],[Scope]]="Unchanged",6.42*Table4[[#This Row],[ISC Base]],IF(Table4[[#This Row],[Scope]]="Changed",7.52*(Table4[[#This Row],[ISC Base]] - 0.029) - 3.25 * POWER(Table4[[#This Row],[ISC Base]] - 0.02,15),NA()))</f>
        <v>2.5140719999999996</v>
      </c>
      <c r="U87" s="198">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182" t="s">
        <v>56</v>
      </c>
      <c r="W87" s="198">
        <f>VLOOKUP(Table4[[#This Row],[Threat Event Initiation]],NIST_Scale_LOAI[],2,FALSE)</f>
        <v>0.5</v>
      </c>
      <c r="X8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49" t="s">
        <v>391</v>
      </c>
      <c r="AA87" s="49" t="s">
        <v>392</v>
      </c>
      <c r="AB87" s="206"/>
      <c r="AC87" s="187"/>
      <c r="AD87" s="187"/>
      <c r="AE87" s="187"/>
      <c r="AF87" s="196"/>
      <c r="AG87" s="196"/>
      <c r="AH87" s="196"/>
      <c r="AI87" s="196"/>
      <c r="AJ87" s="201"/>
      <c r="AK8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198" t="e">
        <f>(1 - ((1 - VLOOKUP(Table4[[#This Row],[ConfidentialityP]],'Reference - CVSSv3.0'!$B$15:$C$17,2,FALSE)) * (1 - VLOOKUP(Table4[[#This Row],[IntegrityP]],'Reference - CVSSv3.0'!$B$15:$C$17,2,FALSE)) *  (1 - VLOOKUP(Table4[[#This Row],[AvailabilityP]],'Reference - CVSSv3.0'!$B$15:$C$17,2,FALSE))))</f>
        <v>#N/A</v>
      </c>
      <c r="AM87" s="198" t="e">
        <f>IF(Table4[[#This Row],[ScopeP]]="Unchanged",6.42*Table4[[#This Row],[ISC BaseP]],IF(Table4[[#This Row],[ScopeP]]="Changed",7.52*(Table4[[#This Row],[ISC BaseP]] - 0.029) - 3.25 * POWER(Table4[[#This Row],[ISC BaseP]] - 0.02,15),NA()))</f>
        <v>#N/A</v>
      </c>
      <c r="AN8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187"/>
    </row>
    <row r="88" spans="1:44" ht="139" customHeight="1" x14ac:dyDescent="0.35">
      <c r="A88" s="70">
        <v>84</v>
      </c>
      <c r="B88" s="182" t="s">
        <v>262</v>
      </c>
      <c r="C88" s="195" t="str">
        <f>IF(VLOOKUP(Table4[[#This Row],[T ID]],Table5[#All],5,FALSE)="No","Not in scope",VLOOKUP(Table4[[#This Row],[T ID]],Table5[#All],2,FALSE))</f>
        <v>Brute-force Attack
(CAPEC-112)</v>
      </c>
      <c r="D88" s="212" t="s">
        <v>121</v>
      </c>
      <c r="E88" s="195" t="str">
        <f>IF(VLOOKUP(Table4[[#This Row],[V ID]],Vulnerabilities[#All],3,FALSE)="No","Not in scope",VLOOKUP(Table4[[#This Row],[V ID]],Vulnerabilities[#All],2,FALSE))</f>
        <v>Devices with default passwords needs to be checked for bruteforce attacks</v>
      </c>
      <c r="F88" s="216" t="s">
        <v>109</v>
      </c>
      <c r="G88" s="195" t="str">
        <f>VLOOKUP(Table4[[#This Row],[A ID]],Assets[#All],3,FALSE)</f>
        <v>Smart medic app (Azure Portal Administrator)</v>
      </c>
      <c r="H88" s="49" t="s">
        <v>290</v>
      </c>
      <c r="I88" s="49"/>
      <c r="J88" s="87" t="s">
        <v>57</v>
      </c>
      <c r="K88" s="87" t="s">
        <v>78</v>
      </c>
      <c r="L88" s="87" t="s">
        <v>57</v>
      </c>
      <c r="M88" s="196" t="s">
        <v>79</v>
      </c>
      <c r="N88" s="157" t="s">
        <v>66</v>
      </c>
      <c r="O88" s="157" t="s">
        <v>66</v>
      </c>
      <c r="P88" s="196" t="s">
        <v>78</v>
      </c>
      <c r="Q88" s="196" t="s">
        <v>75</v>
      </c>
      <c r="R8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198">
        <f>(1 - ((1 - VLOOKUP(Table4[[#This Row],[Confidentiality]],'Reference - CVSSv3.0'!$B$15:$C$17,2,FALSE)) * (1 - VLOOKUP(Table4[[#This Row],[Integrity]],'Reference - CVSSv3.0'!$B$15:$C$17,2,FALSE)) *  (1 - VLOOKUP(Table4[[#This Row],[Availability]],'Reference - CVSSv3.0'!$B$15:$C$17,2,FALSE))))</f>
        <v>0.39159999999999995</v>
      </c>
      <c r="T88" s="198">
        <f>IF(Table4[[#This Row],[Scope]]="Unchanged",6.42*Table4[[#This Row],[ISC Base]],IF(Table4[[#This Row],[Scope]]="Changed",7.52*(Table4[[#This Row],[ISC Base]] - 0.029) - 3.25 * POWER(Table4[[#This Row],[ISC Base]] - 0.02,15),NA()))</f>
        <v>2.5140719999999996</v>
      </c>
      <c r="U88" s="198">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182" t="s">
        <v>56</v>
      </c>
      <c r="W88" s="198">
        <f>VLOOKUP(Table4[[#This Row],[Threat Event Initiation]],NIST_Scale_LOAI[],2,FALSE)</f>
        <v>0.5</v>
      </c>
      <c r="X8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49" t="s">
        <v>391</v>
      </c>
      <c r="AA88" s="49" t="s">
        <v>392</v>
      </c>
      <c r="AB88" s="206"/>
      <c r="AC88" s="187"/>
      <c r="AD88" s="187"/>
      <c r="AE88" s="187"/>
      <c r="AF88" s="196"/>
      <c r="AG88" s="196"/>
      <c r="AH88" s="196"/>
      <c r="AI88" s="196"/>
      <c r="AJ88" s="201"/>
      <c r="AK8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198" t="e">
        <f>(1 - ((1 - VLOOKUP(Table4[[#This Row],[ConfidentialityP]],'Reference - CVSSv3.0'!$B$15:$C$17,2,FALSE)) * (1 - VLOOKUP(Table4[[#This Row],[IntegrityP]],'Reference - CVSSv3.0'!$B$15:$C$17,2,FALSE)) *  (1 - VLOOKUP(Table4[[#This Row],[AvailabilityP]],'Reference - CVSSv3.0'!$B$15:$C$17,2,FALSE))))</f>
        <v>#N/A</v>
      </c>
      <c r="AM88" s="198" t="e">
        <f>IF(Table4[[#This Row],[ScopeP]]="Unchanged",6.42*Table4[[#This Row],[ISC BaseP]],IF(Table4[[#This Row],[ScopeP]]="Changed",7.52*(Table4[[#This Row],[ISC BaseP]] - 0.029) - 3.25 * POWER(Table4[[#This Row],[ISC BaseP]] - 0.02,15),NA()))</f>
        <v>#N/A</v>
      </c>
      <c r="AN8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187"/>
    </row>
    <row r="89" spans="1:44" ht="154" x14ac:dyDescent="0.35">
      <c r="A89" s="70">
        <v>85</v>
      </c>
      <c r="B89" s="182" t="s">
        <v>262</v>
      </c>
      <c r="C89" s="195" t="str">
        <f>IF(VLOOKUP(Table4[[#This Row],[T ID]],Table5[#All],5,FALSE)="No","Not in scope",VLOOKUP(Table4[[#This Row],[T ID]],Table5[#All],2,FALSE))</f>
        <v>Brute-force Attack
(CAPEC-112)</v>
      </c>
      <c r="D89" s="212" t="s">
        <v>220</v>
      </c>
      <c r="E89" s="195" t="str">
        <f>IF(VLOOKUP(Table4[[#This Row],[V ID]],Vulnerabilities[#All],3,FALSE)="No","Not in scope",VLOOKUP(Table4[[#This Row],[V ID]],Vulnerabilities[#All],2,FALSE))</f>
        <v>The password complexity or location vulnerability. Like weak passwords and hardcoded passwords.</v>
      </c>
      <c r="F89" s="216" t="s">
        <v>108</v>
      </c>
      <c r="G89" s="195" t="str">
        <f>VLOOKUP(Table4[[#This Row],[A ID]],Assets[#All],3,FALSE)</f>
        <v>Smart medic app (Stryker Admin Web Application)</v>
      </c>
      <c r="H89" s="49" t="s">
        <v>290</v>
      </c>
      <c r="I89" s="49"/>
      <c r="J89" s="87" t="s">
        <v>57</v>
      </c>
      <c r="K89" s="87" t="s">
        <v>78</v>
      </c>
      <c r="L89" s="87" t="s">
        <v>57</v>
      </c>
      <c r="M89" s="196" t="s">
        <v>79</v>
      </c>
      <c r="N89" s="157" t="s">
        <v>66</v>
      </c>
      <c r="O89" s="157" t="s">
        <v>66</v>
      </c>
      <c r="P89" s="196" t="s">
        <v>78</v>
      </c>
      <c r="Q89" s="196" t="s">
        <v>75</v>
      </c>
      <c r="R8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198">
        <f>(1 - ((1 - VLOOKUP(Table4[[#This Row],[Confidentiality]],'Reference - CVSSv3.0'!$B$15:$C$17,2,FALSE)) * (1 - VLOOKUP(Table4[[#This Row],[Integrity]],'Reference - CVSSv3.0'!$B$15:$C$17,2,FALSE)) *  (1 - VLOOKUP(Table4[[#This Row],[Availability]],'Reference - CVSSv3.0'!$B$15:$C$17,2,FALSE))))</f>
        <v>0.39159999999999995</v>
      </c>
      <c r="T89" s="198">
        <f>IF(Table4[[#This Row],[Scope]]="Unchanged",6.42*Table4[[#This Row],[ISC Base]],IF(Table4[[#This Row],[Scope]]="Changed",7.52*(Table4[[#This Row],[ISC Base]] - 0.029) - 3.25 * POWER(Table4[[#This Row],[ISC Base]] - 0.02,15),NA()))</f>
        <v>2.5140719999999996</v>
      </c>
      <c r="U89" s="198">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182" t="s">
        <v>56</v>
      </c>
      <c r="W89" s="198">
        <f>VLOOKUP(Table4[[#This Row],[Threat Event Initiation]],NIST_Scale_LOAI[],2,FALSE)</f>
        <v>0.5</v>
      </c>
      <c r="X8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49" t="s">
        <v>381</v>
      </c>
      <c r="AA89" s="49" t="s">
        <v>383</v>
      </c>
      <c r="AB89" s="206"/>
      <c r="AC89" s="187"/>
      <c r="AD89" s="187"/>
      <c r="AE89" s="187"/>
      <c r="AF89" s="196"/>
      <c r="AG89" s="196"/>
      <c r="AH89" s="196"/>
      <c r="AI89" s="196"/>
      <c r="AJ89" s="201"/>
      <c r="AK8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198" t="e">
        <f>(1 - ((1 - VLOOKUP(Table4[[#This Row],[ConfidentialityP]],'Reference - CVSSv3.0'!$B$15:$C$17,2,FALSE)) * (1 - VLOOKUP(Table4[[#This Row],[IntegrityP]],'Reference - CVSSv3.0'!$B$15:$C$17,2,FALSE)) *  (1 - VLOOKUP(Table4[[#This Row],[AvailabilityP]],'Reference - CVSSv3.0'!$B$15:$C$17,2,FALSE))))</f>
        <v>#N/A</v>
      </c>
      <c r="AM89" s="198" t="e">
        <f>IF(Table4[[#This Row],[ScopeP]]="Unchanged",6.42*Table4[[#This Row],[ISC BaseP]],IF(Table4[[#This Row],[ScopeP]]="Changed",7.52*(Table4[[#This Row],[ISC BaseP]] - 0.029) - 3.25 * POWER(Table4[[#This Row],[ISC BaseP]] - 0.02,15),NA()))</f>
        <v>#N/A</v>
      </c>
      <c r="AN8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187"/>
    </row>
    <row r="90" spans="1:44" ht="154" x14ac:dyDescent="0.35">
      <c r="A90" s="70">
        <v>86</v>
      </c>
      <c r="B90" s="182" t="s">
        <v>262</v>
      </c>
      <c r="C90" s="195" t="str">
        <f>IF(VLOOKUP(Table4[[#This Row],[T ID]],Table5[#All],5,FALSE)="No","Not in scope",VLOOKUP(Table4[[#This Row],[T ID]],Table5[#All],2,FALSE))</f>
        <v>Brute-force Attack
(CAPEC-112)</v>
      </c>
      <c r="D90" s="212" t="s">
        <v>220</v>
      </c>
      <c r="E90" s="195" t="str">
        <f>IF(VLOOKUP(Table4[[#This Row],[V ID]],Vulnerabilities[#All],3,FALSE)="No","Not in scope",VLOOKUP(Table4[[#This Row],[V ID]],Vulnerabilities[#All],2,FALSE))</f>
        <v>The password complexity or location vulnerability. Like weak passwords and hardcoded passwords.</v>
      </c>
      <c r="F90" s="216" t="s">
        <v>109</v>
      </c>
      <c r="G90" s="195" t="str">
        <f>VLOOKUP(Table4[[#This Row],[A ID]],Assets[#All],3,FALSE)</f>
        <v>Smart medic app (Azure Portal Administrator)</v>
      </c>
      <c r="H90" s="49" t="s">
        <v>290</v>
      </c>
      <c r="I90" s="49"/>
      <c r="J90" s="87" t="s">
        <v>57</v>
      </c>
      <c r="K90" s="87" t="s">
        <v>78</v>
      </c>
      <c r="L90" s="87" t="s">
        <v>57</v>
      </c>
      <c r="M90" s="196" t="s">
        <v>79</v>
      </c>
      <c r="N90" s="157" t="s">
        <v>66</v>
      </c>
      <c r="O90" s="157" t="s">
        <v>66</v>
      </c>
      <c r="P90" s="196" t="s">
        <v>78</v>
      </c>
      <c r="Q90" s="196" t="s">
        <v>75</v>
      </c>
      <c r="R9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198">
        <f>(1 - ((1 - VLOOKUP(Table4[[#This Row],[Confidentiality]],'Reference - CVSSv3.0'!$B$15:$C$17,2,FALSE)) * (1 - VLOOKUP(Table4[[#This Row],[Integrity]],'Reference - CVSSv3.0'!$B$15:$C$17,2,FALSE)) *  (1 - VLOOKUP(Table4[[#This Row],[Availability]],'Reference - CVSSv3.0'!$B$15:$C$17,2,FALSE))))</f>
        <v>0.39159999999999995</v>
      </c>
      <c r="T90" s="198">
        <f>IF(Table4[[#This Row],[Scope]]="Unchanged",6.42*Table4[[#This Row],[ISC Base]],IF(Table4[[#This Row],[Scope]]="Changed",7.52*(Table4[[#This Row],[ISC Base]] - 0.029) - 3.25 * POWER(Table4[[#This Row],[ISC Base]] - 0.02,15),NA()))</f>
        <v>2.5140719999999996</v>
      </c>
      <c r="U90" s="198">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182" t="s">
        <v>56</v>
      </c>
      <c r="W90" s="198">
        <f>VLOOKUP(Table4[[#This Row],[Threat Event Initiation]],NIST_Scale_LOAI[],2,FALSE)</f>
        <v>0.5</v>
      </c>
      <c r="X9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49" t="s">
        <v>382</v>
      </c>
      <c r="AA90" s="49" t="s">
        <v>383</v>
      </c>
      <c r="AB90" s="206"/>
      <c r="AC90" s="187"/>
      <c r="AD90" s="187"/>
      <c r="AE90" s="187"/>
      <c r="AF90" s="196"/>
      <c r="AG90" s="196"/>
      <c r="AH90" s="196"/>
      <c r="AI90" s="196"/>
      <c r="AJ90" s="201"/>
      <c r="AK9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198" t="e">
        <f>(1 - ((1 - VLOOKUP(Table4[[#This Row],[ConfidentialityP]],'Reference - CVSSv3.0'!$B$15:$C$17,2,FALSE)) * (1 - VLOOKUP(Table4[[#This Row],[IntegrityP]],'Reference - CVSSv3.0'!$B$15:$C$17,2,FALSE)) *  (1 - VLOOKUP(Table4[[#This Row],[AvailabilityP]],'Reference - CVSSv3.0'!$B$15:$C$17,2,FALSE))))</f>
        <v>#N/A</v>
      </c>
      <c r="AM90" s="198" t="e">
        <f>IF(Table4[[#This Row],[ScopeP]]="Unchanged",6.42*Table4[[#This Row],[ISC BaseP]],IF(Table4[[#This Row],[ScopeP]]="Changed",7.52*(Table4[[#This Row],[ISC BaseP]] - 0.029) - 3.25 * POWER(Table4[[#This Row],[ISC BaseP]] - 0.02,15),NA()))</f>
        <v>#N/A</v>
      </c>
      <c r="AN9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187"/>
    </row>
    <row r="91" spans="1:44" s="235" customFormat="1" ht="140" x14ac:dyDescent="0.35">
      <c r="A91" s="70">
        <v>87</v>
      </c>
      <c r="B91" s="222" t="s">
        <v>262</v>
      </c>
      <c r="C91" s="195" t="str">
        <f>IF(VLOOKUP(Table4[[#This Row],[T ID]],Table5[#All],5,FALSE)="No","Not in scope",VLOOKUP(Table4[[#This Row],[T ID]],Table5[#All],2,FALSE))</f>
        <v>Brute-force Attack
(CAPEC-112)</v>
      </c>
      <c r="D91" s="223" t="s">
        <v>250</v>
      </c>
      <c r="E91" s="195" t="str">
        <f>IF(VLOOKUP(Table4[[#This Row],[V ID]],Vulnerabilities[#All],3,FALSE)="No","Not in scope",VLOOKUP(Table4[[#This Row],[V ID]],Vulnerabilities[#All],2,FALSE))</f>
        <v>Weak Encryption Implementaion in data at rest and in transit tactical and design wise</v>
      </c>
      <c r="F91" s="224" t="s">
        <v>120</v>
      </c>
      <c r="G91" s="195" t="str">
        <f>VLOOKUP(Table4[[#This Row],[A ID]],Assets[#All],3,FALSE)</f>
        <v>Data at Rest</v>
      </c>
      <c r="H91" s="225" t="s">
        <v>283</v>
      </c>
      <c r="I91" s="225"/>
      <c r="J91" s="226" t="s">
        <v>57</v>
      </c>
      <c r="K91" s="226" t="s">
        <v>78</v>
      </c>
      <c r="L91" s="226" t="s">
        <v>57</v>
      </c>
      <c r="M91" s="196" t="s">
        <v>80</v>
      </c>
      <c r="N91" s="226" t="s">
        <v>66</v>
      </c>
      <c r="O91" s="157" t="s">
        <v>66</v>
      </c>
      <c r="P91" s="196" t="s">
        <v>78</v>
      </c>
      <c r="Q91" s="227" t="s">
        <v>75</v>
      </c>
      <c r="R9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198">
        <f>(1 - ((1 - VLOOKUP(Table4[[#This Row],[Confidentiality]],'Reference - CVSSv3.0'!$B$15:$C$17,2,FALSE)) * (1 - VLOOKUP(Table4[[#This Row],[Integrity]],'Reference - CVSSv3.0'!$B$15:$C$17,2,FALSE)) *  (1 - VLOOKUP(Table4[[#This Row],[Availability]],'Reference - CVSSv3.0'!$B$15:$C$17,2,FALSE))))</f>
        <v>0.39159999999999995</v>
      </c>
      <c r="T91" s="198">
        <f>IF(Table4[[#This Row],[Scope]]="Unchanged",6.42*Table4[[#This Row],[ISC Base]],IF(Table4[[#This Row],[Scope]]="Changed",7.52*(Table4[[#This Row],[ISC Base]] - 0.029) - 3.25 * POWER(Table4[[#This Row],[ISC Base]] - 0.02,15),NA()))</f>
        <v>2.5140719999999996</v>
      </c>
      <c r="U91" s="198">
        <f>IF(Table4[[#This Row],[Impact Sub Score]]&lt;=0,0,IF(Table4[[#This Row],[Scope]]="Unchanged",ROUNDUP(MIN((Table4[[#This Row],[Impact Sub Score]]+Table4[[#This Row],[Exploitability Sub Score]]),10),1),IF(Table4[[#This Row],[Scope]]="Changed",ROUNDUP(MIN((1.08*(Table4[[#This Row],[Impact Sub Score]]+Table4[[#This Row],[Exploitability Sub Score]])),10),1),NA())))</f>
        <v>3</v>
      </c>
      <c r="V91" s="182" t="s">
        <v>56</v>
      </c>
      <c r="W91" s="198">
        <f>VLOOKUP(Table4[[#This Row],[Threat Event Initiation]],NIST_Scale_LOAI[],2,FALSE)</f>
        <v>0.5</v>
      </c>
      <c r="X9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22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225" t="s">
        <v>363</v>
      </c>
      <c r="AA91" s="225" t="s">
        <v>362</v>
      </c>
      <c r="AB91" s="231"/>
      <c r="AC91" s="230"/>
      <c r="AD91" s="230"/>
      <c r="AE91" s="230"/>
      <c r="AF91" s="227"/>
      <c r="AG91" s="227"/>
      <c r="AH91" s="227"/>
      <c r="AI91" s="227"/>
      <c r="AJ91" s="232"/>
      <c r="AK9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198" t="e">
        <f>(1 - ((1 - VLOOKUP(Table4[[#This Row],[ConfidentialityP]],'Reference - CVSSv3.0'!$B$15:$C$17,2,FALSE)) * (1 - VLOOKUP(Table4[[#This Row],[IntegrityP]],'Reference - CVSSv3.0'!$B$15:$C$17,2,FALSE)) *  (1 - VLOOKUP(Table4[[#This Row],[AvailabilityP]],'Reference - CVSSv3.0'!$B$15:$C$17,2,FALSE))))</f>
        <v>#N/A</v>
      </c>
      <c r="AM91" s="198" t="e">
        <f>IF(Table4[[#This Row],[ScopeP]]="Unchanged",6.42*Table4[[#This Row],[ISC BaseP]],IF(Table4[[#This Row],[ScopeP]]="Changed",7.52*(Table4[[#This Row],[ISC BaseP]] - 0.029) - 3.25 * POWER(Table4[[#This Row],[ISC BaseP]] - 0.02,15),NA()))</f>
        <v>#N/A</v>
      </c>
      <c r="AN91" s="22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22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23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230"/>
      <c r="AR91" s="234"/>
    </row>
    <row r="92" spans="1:44" s="235" customFormat="1" ht="154" x14ac:dyDescent="0.35">
      <c r="A92" s="70">
        <v>88</v>
      </c>
      <c r="B92" s="222" t="s">
        <v>262</v>
      </c>
      <c r="C92" s="195" t="str">
        <f>IF(VLOOKUP(Table4[[#This Row],[T ID]],Table5[#All],5,FALSE)="No","Not in scope",VLOOKUP(Table4[[#This Row],[T ID]],Table5[#All],2,FALSE))</f>
        <v>Brute-force Attack
(CAPEC-112)</v>
      </c>
      <c r="D92" s="223" t="s">
        <v>250</v>
      </c>
      <c r="E92" s="195" t="str">
        <f>IF(VLOOKUP(Table4[[#This Row],[V ID]],Vulnerabilities[#All],3,FALSE)="No","Not in scope",VLOOKUP(Table4[[#This Row],[V ID]],Vulnerabilities[#All],2,FALSE))</f>
        <v>Weak Encryption Implementaion in data at rest and in transit tactical and design wise</v>
      </c>
      <c r="F92" s="224" t="s">
        <v>107</v>
      </c>
      <c r="G92" s="195" t="str">
        <f>VLOOKUP(Table4[[#This Row],[A ID]],Assets[#All],3,FALSE)</f>
        <v>Data in Transit</v>
      </c>
      <c r="H92" s="225" t="s">
        <v>283</v>
      </c>
      <c r="I92" s="225"/>
      <c r="J92" s="226" t="s">
        <v>57</v>
      </c>
      <c r="K92" s="226" t="s">
        <v>78</v>
      </c>
      <c r="L92" s="226" t="s">
        <v>57</v>
      </c>
      <c r="M92" s="196" t="s">
        <v>79</v>
      </c>
      <c r="N92" s="226" t="s">
        <v>66</v>
      </c>
      <c r="O92" s="157" t="s">
        <v>66</v>
      </c>
      <c r="P92" s="196" t="s">
        <v>78</v>
      </c>
      <c r="Q92" s="227" t="s">
        <v>75</v>
      </c>
      <c r="R9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198">
        <f>(1 - ((1 - VLOOKUP(Table4[[#This Row],[Confidentiality]],'Reference - CVSSv3.0'!$B$15:$C$17,2,FALSE)) * (1 - VLOOKUP(Table4[[#This Row],[Integrity]],'Reference - CVSSv3.0'!$B$15:$C$17,2,FALSE)) *  (1 - VLOOKUP(Table4[[#This Row],[Availability]],'Reference - CVSSv3.0'!$B$15:$C$17,2,FALSE))))</f>
        <v>0.39159999999999995</v>
      </c>
      <c r="T92" s="198">
        <f>IF(Table4[[#This Row],[Scope]]="Unchanged",6.42*Table4[[#This Row],[ISC Base]],IF(Table4[[#This Row],[Scope]]="Changed",7.52*(Table4[[#This Row],[ISC Base]] - 0.029) - 3.25 * POWER(Table4[[#This Row],[ISC Base]] - 0.02,15),NA()))</f>
        <v>2.5140719999999996</v>
      </c>
      <c r="U92" s="198">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182" t="s">
        <v>56</v>
      </c>
      <c r="W92" s="198">
        <f>VLOOKUP(Table4[[#This Row],[Threat Event Initiation]],NIST_Scale_LOAI[],2,FALSE)</f>
        <v>0.5</v>
      </c>
      <c r="X9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22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225" t="s">
        <v>361</v>
      </c>
      <c r="AA92" s="49" t="s">
        <v>364</v>
      </c>
      <c r="AB92" s="231"/>
      <c r="AC92" s="230"/>
      <c r="AD92" s="230"/>
      <c r="AE92" s="230"/>
      <c r="AF92" s="227"/>
      <c r="AG92" s="227"/>
      <c r="AH92" s="227"/>
      <c r="AI92" s="227"/>
      <c r="AJ92" s="232"/>
      <c r="AK9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198" t="e">
        <f>(1 - ((1 - VLOOKUP(Table4[[#This Row],[ConfidentialityP]],'Reference - CVSSv3.0'!$B$15:$C$17,2,FALSE)) * (1 - VLOOKUP(Table4[[#This Row],[IntegrityP]],'Reference - CVSSv3.0'!$B$15:$C$17,2,FALSE)) *  (1 - VLOOKUP(Table4[[#This Row],[AvailabilityP]],'Reference - CVSSv3.0'!$B$15:$C$17,2,FALSE))))</f>
        <v>#N/A</v>
      </c>
      <c r="AM92" s="198" t="e">
        <f>IF(Table4[[#This Row],[ScopeP]]="Unchanged",6.42*Table4[[#This Row],[ISC BaseP]],IF(Table4[[#This Row],[ScopeP]]="Changed",7.52*(Table4[[#This Row],[ISC BaseP]] - 0.029) - 3.25 * POWER(Table4[[#This Row],[ISC BaseP]] - 0.02,15),NA()))</f>
        <v>#N/A</v>
      </c>
      <c r="AN92" s="22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22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23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230"/>
      <c r="AR92" s="234"/>
    </row>
    <row r="93" spans="1:44" ht="97.5" customHeight="1" x14ac:dyDescent="0.35">
      <c r="A93" s="70">
        <v>89</v>
      </c>
      <c r="B93" s="182" t="s">
        <v>263</v>
      </c>
      <c r="C93" s="195" t="str">
        <f>IF(VLOOKUP(Table4[[#This Row],[T ID]],Table5[#All],5,FALSE)="No","Not in scope",VLOOKUP(Table4[[#This Row],[T ID]],Table5[#All],2,FALSE))</f>
        <v>Social Engineering
(TTP)</v>
      </c>
      <c r="D93" s="210" t="s">
        <v>144</v>
      </c>
      <c r="E93" s="195" t="str">
        <f>IF(VLOOKUP(Table4[[#This Row],[V ID]],Vulnerabilities[#All],3,FALSE)="No","Not in scope",VLOOKUP(Table4[[#This Row],[V ID]],Vulnerabilities[#All],2,FALSE))</f>
        <v>Legacy system identification if any</v>
      </c>
      <c r="F93" s="216" t="s">
        <v>108</v>
      </c>
      <c r="G93" s="195" t="str">
        <f>VLOOKUP(Table4[[#This Row],[A ID]],Assets[#All],3,FALSE)</f>
        <v>Smart medic app (Stryker Admin Web Application)</v>
      </c>
      <c r="H93" s="49" t="s">
        <v>281</v>
      </c>
      <c r="I93" s="49"/>
      <c r="J93" s="87" t="s">
        <v>78</v>
      </c>
      <c r="K93" s="87" t="s">
        <v>57</v>
      </c>
      <c r="L93" s="87" t="s">
        <v>66</v>
      </c>
      <c r="M93" s="196" t="s">
        <v>81</v>
      </c>
      <c r="N93" s="157" t="s">
        <v>66</v>
      </c>
      <c r="O93" s="157" t="s">
        <v>66</v>
      </c>
      <c r="P93" s="196" t="s">
        <v>77</v>
      </c>
      <c r="Q93" s="196" t="s">
        <v>75</v>
      </c>
      <c r="R9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198">
        <f>(1 - ((1 - VLOOKUP(Table4[[#This Row],[Confidentiality]],'Reference - CVSSv3.0'!$B$15:$C$17,2,FALSE)) * (1 - VLOOKUP(Table4[[#This Row],[Integrity]],'Reference - CVSSv3.0'!$B$15:$C$17,2,FALSE)) *  (1 - VLOOKUP(Table4[[#This Row],[Availability]],'Reference - CVSSv3.0'!$B$15:$C$17,2,FALSE))))</f>
        <v>0.65680000000000005</v>
      </c>
      <c r="T93" s="198">
        <f>IF(Table4[[#This Row],[Scope]]="Unchanged",6.42*Table4[[#This Row],[ISC Base]],IF(Table4[[#This Row],[Scope]]="Changed",7.52*(Table4[[#This Row],[ISC Base]] - 0.029) - 3.25 * POWER(Table4[[#This Row],[ISC Base]] - 0.02,15),NA()))</f>
        <v>4.2166560000000004</v>
      </c>
      <c r="U93" s="19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182" t="s">
        <v>56</v>
      </c>
      <c r="W93" s="198">
        <f>VLOOKUP(Table4[[#This Row],[Threat Event Initiation]],NIST_Scale_LOAI[],2,FALSE)</f>
        <v>0.5</v>
      </c>
      <c r="X9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225" t="s">
        <v>401</v>
      </c>
      <c r="AA93" s="49" t="s">
        <v>400</v>
      </c>
      <c r="AB93" s="206"/>
      <c r="AC93" s="187"/>
      <c r="AD93" s="187"/>
      <c r="AE93" s="187"/>
      <c r="AF93" s="196"/>
      <c r="AG93" s="196"/>
      <c r="AH93" s="196"/>
      <c r="AI93" s="196"/>
      <c r="AJ93" s="201"/>
      <c r="AK9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198" t="e">
        <f>(1 - ((1 - VLOOKUP(Table4[[#This Row],[ConfidentialityP]],'Reference - CVSSv3.0'!$B$15:$C$17,2,FALSE)) * (1 - VLOOKUP(Table4[[#This Row],[IntegrityP]],'Reference - CVSSv3.0'!$B$15:$C$17,2,FALSE)) *  (1 - VLOOKUP(Table4[[#This Row],[AvailabilityP]],'Reference - CVSSv3.0'!$B$15:$C$17,2,FALSE))))</f>
        <v>#N/A</v>
      </c>
      <c r="AM93" s="198" t="e">
        <f>IF(Table4[[#This Row],[ScopeP]]="Unchanged",6.42*Table4[[#This Row],[ISC BaseP]],IF(Table4[[#This Row],[ScopeP]]="Changed",7.52*(Table4[[#This Row],[ISC BaseP]] - 0.029) - 3.25 * POWER(Table4[[#This Row],[ISC BaseP]] - 0.02,15),NA()))</f>
        <v>#N/A</v>
      </c>
      <c r="AN9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187"/>
    </row>
    <row r="94" spans="1:44" ht="140" x14ac:dyDescent="0.35">
      <c r="A94" s="304">
        <v>90</v>
      </c>
      <c r="B94" s="182" t="s">
        <v>263</v>
      </c>
      <c r="C94" s="195" t="str">
        <f>IF(VLOOKUP(Table4[[#This Row],[T ID]],Table5[#All],5,FALSE)="No","Not in scope",VLOOKUP(Table4[[#This Row],[T ID]],Table5[#All],2,FALSE))</f>
        <v>Social Engineering
(TTP)</v>
      </c>
      <c r="D94" s="210" t="s">
        <v>221</v>
      </c>
      <c r="E94" s="195" t="str">
        <f>IF(VLOOKUP(Table4[[#This Row],[V ID]],Vulnerabilities[#All],3,FALSE)="No","Not in scope",VLOOKUP(Table4[[#This Row],[V ID]],Vulnerabilities[#All],2,FALSE))</f>
        <v>Checking authentication modes for possible hacks and bypasses</v>
      </c>
      <c r="F94" s="42" t="s">
        <v>118</v>
      </c>
      <c r="G94" s="195" t="str">
        <f>VLOOKUP(Table4[[#This Row],[A ID]],Assets[#All],3,FALSE)</f>
        <v>Interface/API Communication</v>
      </c>
      <c r="H94" s="49" t="s">
        <v>282</v>
      </c>
      <c r="I94" s="49"/>
      <c r="J94" s="87" t="s">
        <v>78</v>
      </c>
      <c r="K94" s="87" t="s">
        <v>57</v>
      </c>
      <c r="L94" s="87" t="s">
        <v>66</v>
      </c>
      <c r="M94" s="196" t="s">
        <v>81</v>
      </c>
      <c r="N94" s="157" t="s">
        <v>66</v>
      </c>
      <c r="O94" s="157" t="s">
        <v>66</v>
      </c>
      <c r="P94" s="196" t="s">
        <v>77</v>
      </c>
      <c r="Q94" s="196" t="s">
        <v>75</v>
      </c>
      <c r="R9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198">
        <f>(1 - ((1 - VLOOKUP(Table4[[#This Row],[Confidentiality]],'Reference - CVSSv3.0'!$B$15:$C$17,2,FALSE)) * (1 - VLOOKUP(Table4[[#This Row],[Integrity]],'Reference - CVSSv3.0'!$B$15:$C$17,2,FALSE)) *  (1 - VLOOKUP(Table4[[#This Row],[Availability]],'Reference - CVSSv3.0'!$B$15:$C$17,2,FALSE))))</f>
        <v>0.65680000000000005</v>
      </c>
      <c r="T94" s="198">
        <f>IF(Table4[[#This Row],[Scope]]="Unchanged",6.42*Table4[[#This Row],[ISC Base]],IF(Table4[[#This Row],[Scope]]="Changed",7.52*(Table4[[#This Row],[ISC Base]] - 0.029) - 3.25 * POWER(Table4[[#This Row],[ISC Base]] - 0.02,15),NA()))</f>
        <v>4.2166560000000004</v>
      </c>
      <c r="U94" s="19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182" t="s">
        <v>56</v>
      </c>
      <c r="W94" s="198">
        <f>VLOOKUP(Table4[[#This Row],[Threat Event Initiation]],NIST_Scale_LOAI[],2,FALSE)</f>
        <v>0.5</v>
      </c>
      <c r="X9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225" t="s">
        <v>402</v>
      </c>
      <c r="AA94" s="49" t="s">
        <v>400</v>
      </c>
      <c r="AB94" s="206"/>
      <c r="AC94" s="187"/>
      <c r="AD94" s="187"/>
      <c r="AE94" s="187"/>
      <c r="AF94" s="196"/>
      <c r="AG94" s="196"/>
      <c r="AH94" s="196"/>
      <c r="AI94" s="196"/>
      <c r="AJ94" s="201"/>
      <c r="AK9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198" t="e">
        <f>(1 - ((1 - VLOOKUP(Table4[[#This Row],[ConfidentialityP]],'Reference - CVSSv3.0'!$B$15:$C$17,2,FALSE)) * (1 - VLOOKUP(Table4[[#This Row],[IntegrityP]],'Reference - CVSSv3.0'!$B$15:$C$17,2,FALSE)) *  (1 - VLOOKUP(Table4[[#This Row],[AvailabilityP]],'Reference - CVSSv3.0'!$B$15:$C$17,2,FALSE))))</f>
        <v>#N/A</v>
      </c>
      <c r="AM94" s="198" t="e">
        <f>IF(Table4[[#This Row],[ScopeP]]="Unchanged",6.42*Table4[[#This Row],[ISC BaseP]],IF(Table4[[#This Row],[ScopeP]]="Changed",7.52*(Table4[[#This Row],[ISC BaseP]] - 0.029) - 3.25 * POWER(Table4[[#This Row],[ISC BaseP]] - 0.02,15),NA()))</f>
        <v>#N/A</v>
      </c>
      <c r="AN9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187"/>
    </row>
    <row r="95" spans="1:44" ht="158.5" customHeight="1" x14ac:dyDescent="0.35">
      <c r="A95" s="279">
        <v>91</v>
      </c>
      <c r="B95" s="241" t="s">
        <v>312</v>
      </c>
      <c r="C95" s="242" t="str">
        <f>IF(VLOOKUP(Table4[[#This Row],[T ID]],Table5[#All],5,FALSE)="No","Not in scope",VLOOKUP(Table4[[#This Row],[T ID]],Table5[#All],2,FALSE))</f>
        <v>Lack of evidence to conclude any malicious attempt/attack
(ST[R]IDE)</v>
      </c>
      <c r="D95" s="241" t="s">
        <v>298</v>
      </c>
      <c r="E95" s="242" t="str">
        <f>IF(VLOOKUP(Table4[[#This Row],[V ID]],Vulnerabilities[#All],3,FALSE)="No","Not in scope",VLOOKUP(Table4[[#This Row],[V ID]],Vulnerabilities[#All],2,FALSE))</f>
        <v xml:space="preserve">Insufficient Logging information </v>
      </c>
      <c r="F95" s="243" t="s">
        <v>109</v>
      </c>
      <c r="G95" s="242" t="str">
        <f>VLOOKUP(Table4[[#This Row],[A ID]],Assets[#All],3,FALSE)</f>
        <v>Smart medic app (Azure Portal Administrator)</v>
      </c>
      <c r="H95" s="51" t="s">
        <v>322</v>
      </c>
      <c r="I95" s="240"/>
      <c r="J95" s="241" t="s">
        <v>57</v>
      </c>
      <c r="K95" s="241" t="s">
        <v>57</v>
      </c>
      <c r="L95" s="241" t="s">
        <v>57</v>
      </c>
      <c r="M95" s="244" t="s">
        <v>80</v>
      </c>
      <c r="N95" s="244" t="s">
        <v>57</v>
      </c>
      <c r="O95" s="244" t="s">
        <v>57</v>
      </c>
      <c r="P95" s="244" t="s">
        <v>78</v>
      </c>
      <c r="Q95" s="244" t="s">
        <v>75</v>
      </c>
      <c r="R95" s="24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246">
        <f>(1 - ((1 - VLOOKUP(Table4[[#This Row],[Confidentiality]],'Reference - CVSSv3.0'!$B$15:$C$17,2,FALSE)) * (1 - VLOOKUP(Table4[[#This Row],[Integrity]],'Reference - CVSSv3.0'!$B$15:$C$17,2,FALSE)) *  (1 - VLOOKUP(Table4[[#This Row],[Availability]],'Reference - CVSSv3.0'!$B$15:$C$17,2,FALSE))))</f>
        <v>0.52544799999999992</v>
      </c>
      <c r="T95" s="246">
        <f>IF(Table4[[#This Row],[Scope]]="Unchanged",6.42*Table4[[#This Row],[ISC Base]],IF(Table4[[#This Row],[Scope]]="Changed",7.52*(Table4[[#This Row],[ISC Base]] - 0.029) - 3.25 * POWER(Table4[[#This Row],[ISC Base]] - 0.02,15),NA()))</f>
        <v>3.3733761599999994</v>
      </c>
      <c r="U95" s="246">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47" t="s">
        <v>57</v>
      </c>
      <c r="W95" s="246">
        <f>VLOOKUP(Table4[[#This Row],[Threat Event Initiation]],NIST_Scale_LOAI[],2,FALSE)</f>
        <v>0.2</v>
      </c>
      <c r="X95" s="2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4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51" t="s">
        <v>394</v>
      </c>
      <c r="AA95" s="240" t="s">
        <v>393</v>
      </c>
      <c r="AB95" s="249"/>
      <c r="AC95" s="240"/>
      <c r="AD95" s="240"/>
      <c r="AE95" s="240"/>
      <c r="AF95" s="244"/>
      <c r="AG95" s="244"/>
      <c r="AH95" s="244"/>
      <c r="AI95" s="244"/>
      <c r="AJ95" s="250"/>
      <c r="AK95" s="2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246" t="e">
        <f>(1 - ((1 - VLOOKUP(Table4[[#This Row],[ConfidentialityP]],'Reference - CVSSv3.0'!$B$15:$C$17,2,FALSE)) * (1 - VLOOKUP(Table4[[#This Row],[IntegrityP]],'Reference - CVSSv3.0'!$B$15:$C$17,2,FALSE)) *  (1 - VLOOKUP(Table4[[#This Row],[AvailabilityP]],'Reference - CVSSv3.0'!$B$15:$C$17,2,FALSE))))</f>
        <v>#N/A</v>
      </c>
      <c r="AM95" s="246" t="e">
        <f>IF(Table4[[#This Row],[ScopeP]]="Unchanged",6.42*Table4[[#This Row],[ISC BaseP]],IF(Table4[[#This Row],[ScopeP]]="Changed",7.52*(Table4[[#This Row],[ISC BaseP]] - 0.029) - 3.25 * POWER(Table4[[#This Row],[ISC BaseP]] - 0.02,15),NA()))</f>
        <v>#N/A</v>
      </c>
      <c r="AN95" s="2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2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5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40"/>
    </row>
    <row r="96" spans="1:44" ht="164" customHeight="1" x14ac:dyDescent="0.35">
      <c r="A96" s="280">
        <v>92</v>
      </c>
      <c r="B96" s="267" t="s">
        <v>312</v>
      </c>
      <c r="C96" s="268" t="str">
        <f>IF(VLOOKUP(Table4[[#This Row],[T ID]],Table5[#All],5,FALSE)="No","Not in scope",VLOOKUP(Table4[[#This Row],[T ID]],Table5[#All],2,FALSE))</f>
        <v>Lack of evidence to conclude any malicious attempt/attack
(ST[R]IDE)</v>
      </c>
      <c r="D96" s="267" t="s">
        <v>299</v>
      </c>
      <c r="E96" s="268" t="str">
        <f>IF(VLOOKUP(Table4[[#This Row],[V ID]],Vulnerabilities[#All],3,FALSE)="No","Not in scope",VLOOKUP(Table4[[#This Row],[V ID]],Vulnerabilities[#All],2,FALSE))</f>
        <v>Insufficient Access permissions for accessing and modifying Log files</v>
      </c>
      <c r="F96" s="269" t="s">
        <v>109</v>
      </c>
      <c r="G96" s="268" t="str">
        <f>VLOOKUP(Table4[[#This Row],[A ID]],Assets[#All],3,FALSE)</f>
        <v>Smart medic app (Azure Portal Administrator)</v>
      </c>
      <c r="H96" s="51" t="s">
        <v>322</v>
      </c>
      <c r="I96" s="270"/>
      <c r="J96" s="267" t="s">
        <v>57</v>
      </c>
      <c r="K96" s="267" t="s">
        <v>57</v>
      </c>
      <c r="L96" s="267" t="s">
        <v>57</v>
      </c>
      <c r="M96" s="271" t="s">
        <v>80</v>
      </c>
      <c r="N96" s="267" t="s">
        <v>57</v>
      </c>
      <c r="O96" s="267" t="s">
        <v>57</v>
      </c>
      <c r="P96" s="271" t="s">
        <v>78</v>
      </c>
      <c r="Q96" s="271" t="s">
        <v>75</v>
      </c>
      <c r="R96" s="27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273">
        <f>(1 - ((1 - VLOOKUP(Table4[[#This Row],[Confidentiality]],'Reference - CVSSv3.0'!$B$15:$C$17,2,FALSE)) * (1 - VLOOKUP(Table4[[#This Row],[Integrity]],'Reference - CVSSv3.0'!$B$15:$C$17,2,FALSE)) *  (1 - VLOOKUP(Table4[[#This Row],[Availability]],'Reference - CVSSv3.0'!$B$15:$C$17,2,FALSE))))</f>
        <v>0.52544799999999992</v>
      </c>
      <c r="T96" s="273">
        <f>IF(Table4[[#This Row],[Scope]]="Unchanged",6.42*Table4[[#This Row],[ISC Base]],IF(Table4[[#This Row],[Scope]]="Changed",7.52*(Table4[[#This Row],[ISC Base]] - 0.029) - 3.25 * POWER(Table4[[#This Row],[ISC Base]] - 0.02,15),NA()))</f>
        <v>3.3733761599999994</v>
      </c>
      <c r="U96" s="27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74" t="s">
        <v>57</v>
      </c>
      <c r="W96" s="273">
        <f>VLOOKUP(Table4[[#This Row],[Threat Event Initiation]],NIST_Scale_LOAI[],2,FALSE)</f>
        <v>0.2</v>
      </c>
      <c r="X96" s="27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7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51" t="s">
        <v>395</v>
      </c>
      <c r="AA96" s="49" t="s">
        <v>373</v>
      </c>
      <c r="AB96" s="276"/>
      <c r="AC96" s="270"/>
      <c r="AD96" s="270"/>
      <c r="AE96" s="270"/>
      <c r="AF96" s="271"/>
      <c r="AG96" s="271"/>
      <c r="AH96" s="271"/>
      <c r="AI96" s="271"/>
      <c r="AJ96" s="277"/>
      <c r="AK96" s="27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273" t="e">
        <f>(1 - ((1 - VLOOKUP(Table4[[#This Row],[ConfidentialityP]],'Reference - CVSSv3.0'!$B$15:$C$17,2,FALSE)) * (1 - VLOOKUP(Table4[[#This Row],[IntegrityP]],'Reference - CVSSv3.0'!$B$15:$C$17,2,FALSE)) *  (1 - VLOOKUP(Table4[[#This Row],[AvailabilityP]],'Reference - CVSSv3.0'!$B$15:$C$17,2,FALSE))))</f>
        <v>#N/A</v>
      </c>
      <c r="AM96" s="273" t="e">
        <f>IF(Table4[[#This Row],[ScopeP]]="Unchanged",6.42*Table4[[#This Row],[ISC BaseP]],IF(Table4[[#This Row],[ScopeP]]="Changed",7.52*(Table4[[#This Row],[ISC BaseP]] - 0.029) - 3.25 * POWER(Table4[[#This Row],[ISC BaseP]] - 0.02,15),NA()))</f>
        <v>#N/A</v>
      </c>
      <c r="AN96" s="27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27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7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70"/>
    </row>
    <row r="97" spans="1:43" ht="112" x14ac:dyDescent="0.35">
      <c r="A97" s="281">
        <v>93</v>
      </c>
      <c r="B97" s="255" t="s">
        <v>128</v>
      </c>
      <c r="C97" s="256" t="str">
        <f>IF(VLOOKUP(Table4[[#This Row],[T ID]],Table5[#All],5,FALSE)="No","Not in scope",VLOOKUP(Table4[[#This Row],[T ID]],Table5[#All],2,FALSE))</f>
        <v>Gaining Access
([S]TRID[E])</v>
      </c>
      <c r="D97" s="255" t="s">
        <v>292</v>
      </c>
      <c r="E97" s="256" t="str">
        <f>IF(VLOOKUP(Table4[[#This Row],[V ID]],Vulnerabilities[#All],3,FALSE)="No","Not in scope",VLOOKUP(Table4[[#This Row],[V ID]],Vulnerabilities[#All],2,FALSE))</f>
        <v>Error Info containing sensitive data for Failed Authentication attempts</v>
      </c>
      <c r="F97" s="257" t="s">
        <v>109</v>
      </c>
      <c r="G97" s="256" t="str">
        <f>VLOOKUP(Table4[[#This Row],[A ID]],Assets[#All],3,FALSE)</f>
        <v>Smart medic app (Azure Portal Administrator)</v>
      </c>
      <c r="H97" s="49" t="s">
        <v>290</v>
      </c>
      <c r="I97" s="258"/>
      <c r="J97" s="255" t="s">
        <v>57</v>
      </c>
      <c r="K97" s="255" t="s">
        <v>57</v>
      </c>
      <c r="L97" s="255" t="s">
        <v>66</v>
      </c>
      <c r="M97" s="259" t="s">
        <v>79</v>
      </c>
      <c r="N97" s="259" t="s">
        <v>66</v>
      </c>
      <c r="O97" s="244" t="s">
        <v>57</v>
      </c>
      <c r="P97" s="244" t="s">
        <v>78</v>
      </c>
      <c r="Q97" s="244" t="s">
        <v>75</v>
      </c>
      <c r="R97"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261">
        <f>(1 - ((1 - VLOOKUP(Table4[[#This Row],[Confidentiality]],'Reference - CVSSv3.0'!$B$15:$C$17,2,FALSE)) * (1 - VLOOKUP(Table4[[#This Row],[Integrity]],'Reference - CVSSv3.0'!$B$15:$C$17,2,FALSE)) *  (1 - VLOOKUP(Table4[[#This Row],[Availability]],'Reference - CVSSv3.0'!$B$15:$C$17,2,FALSE))))</f>
        <v>0.73230400000000007</v>
      </c>
      <c r="T97" s="261">
        <f>IF(Table4[[#This Row],[Scope]]="Unchanged",6.42*Table4[[#This Row],[ISC Base]],IF(Table4[[#This Row],[Scope]]="Changed",7.52*(Table4[[#This Row],[ISC Base]] - 0.029) - 3.25 * POWER(Table4[[#This Row],[ISC Base]] - 0.02,15),NA()))</f>
        <v>4.7013916800000004</v>
      </c>
      <c r="U97"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62" t="s">
        <v>56</v>
      </c>
      <c r="W97" s="261">
        <f>VLOOKUP(Table4[[#This Row],[Threat Event Initiation]],NIST_Scale_LOAI[],2,FALSE)</f>
        <v>0.5</v>
      </c>
      <c r="X97"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51" t="s">
        <v>368</v>
      </c>
      <c r="AA97" s="51" t="s">
        <v>369</v>
      </c>
      <c r="AB97" s="264"/>
      <c r="AC97" s="258"/>
      <c r="AD97" s="258"/>
      <c r="AE97" s="258"/>
      <c r="AF97" s="259"/>
      <c r="AG97" s="259"/>
      <c r="AH97" s="259"/>
      <c r="AI97" s="259"/>
      <c r="AJ97" s="265"/>
      <c r="AK97"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261" t="e">
        <f>(1 - ((1 - VLOOKUP(Table4[[#This Row],[ConfidentialityP]],'Reference - CVSSv3.0'!$B$15:$C$17,2,FALSE)) * (1 - VLOOKUP(Table4[[#This Row],[IntegrityP]],'Reference - CVSSv3.0'!$B$15:$C$17,2,FALSE)) *  (1 - VLOOKUP(Table4[[#This Row],[AvailabilityP]],'Reference - CVSSv3.0'!$B$15:$C$17,2,FALSE))))</f>
        <v>#N/A</v>
      </c>
      <c r="AM97" s="261" t="e">
        <f>IF(Table4[[#This Row],[ScopeP]]="Unchanged",6.42*Table4[[#This Row],[ISC BaseP]],IF(Table4[[#This Row],[ScopeP]]="Changed",7.52*(Table4[[#This Row],[ISC BaseP]] - 0.029) - 3.25 * POWER(Table4[[#This Row],[ISC BaseP]] - 0.02,15),NA()))</f>
        <v>#N/A</v>
      </c>
      <c r="AN97"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58"/>
    </row>
    <row r="98" spans="1:43" ht="112" x14ac:dyDescent="0.35">
      <c r="A98" s="281">
        <v>94</v>
      </c>
      <c r="B98" s="255" t="s">
        <v>128</v>
      </c>
      <c r="C98" s="256" t="str">
        <f>IF(VLOOKUP(Table4[[#This Row],[T ID]],Table5[#All],5,FALSE)="No","Not in scope",VLOOKUP(Table4[[#This Row],[T ID]],Table5[#All],2,FALSE))</f>
        <v>Gaining Access
([S]TRID[E])</v>
      </c>
      <c r="D98" s="241" t="s">
        <v>319</v>
      </c>
      <c r="E98" s="256" t="str">
        <f>IF(VLOOKUP(Table4[[#This Row],[V ID]],Vulnerabilities[#All],3,FALSE)="No","Not in scope",VLOOKUP(Table4[[#This Row],[V ID]],Vulnerabilities[#All],2,FALSE))</f>
        <v>Improper security (for ex.,Storage &amp; Access) for Key tokens and Certificates</v>
      </c>
      <c r="F98" s="257" t="s">
        <v>110</v>
      </c>
      <c r="G98" s="256" t="str">
        <f>VLOOKUP(Table4[[#This Row],[A ID]],Assets[#All],3,FALSE)</f>
        <v>Azure Cloud DataBase</v>
      </c>
      <c r="H98" s="49" t="s">
        <v>290</v>
      </c>
      <c r="I98" s="258"/>
      <c r="J98" s="255" t="s">
        <v>57</v>
      </c>
      <c r="K98" s="255" t="s">
        <v>57</v>
      </c>
      <c r="L98" s="255" t="s">
        <v>66</v>
      </c>
      <c r="M98" s="259" t="s">
        <v>79</v>
      </c>
      <c r="N98" s="259" t="s">
        <v>66</v>
      </c>
      <c r="O98" s="244" t="s">
        <v>57</v>
      </c>
      <c r="P98" s="244" t="s">
        <v>78</v>
      </c>
      <c r="Q98" s="244" t="s">
        <v>75</v>
      </c>
      <c r="R98"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261">
        <f>(1 - ((1 - VLOOKUP(Table4[[#This Row],[Confidentiality]],'Reference - CVSSv3.0'!$B$15:$C$17,2,FALSE)) * (1 - VLOOKUP(Table4[[#This Row],[Integrity]],'Reference - CVSSv3.0'!$B$15:$C$17,2,FALSE)) *  (1 - VLOOKUP(Table4[[#This Row],[Availability]],'Reference - CVSSv3.0'!$B$15:$C$17,2,FALSE))))</f>
        <v>0.73230400000000007</v>
      </c>
      <c r="T98" s="261">
        <f>IF(Table4[[#This Row],[Scope]]="Unchanged",6.42*Table4[[#This Row],[ISC Base]],IF(Table4[[#This Row],[Scope]]="Changed",7.52*(Table4[[#This Row],[ISC Base]] - 0.029) - 3.25 * POWER(Table4[[#This Row],[ISC Base]] - 0.02,15),NA()))</f>
        <v>4.7013916800000004</v>
      </c>
      <c r="U98"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262" t="s">
        <v>56</v>
      </c>
      <c r="W98" s="261">
        <f>VLOOKUP(Table4[[#This Row],[Threat Event Initiation]],NIST_Scale_LOAI[],2,FALSE)</f>
        <v>0.5</v>
      </c>
      <c r="X98"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51" t="s">
        <v>366</v>
      </c>
      <c r="AA98" s="51" t="s">
        <v>369</v>
      </c>
      <c r="AB98" s="264"/>
      <c r="AC98" s="258"/>
      <c r="AD98" s="258"/>
      <c r="AE98" s="258"/>
      <c r="AF98" s="259"/>
      <c r="AG98" s="259"/>
      <c r="AH98" s="259"/>
      <c r="AI98" s="259"/>
      <c r="AJ98" s="265"/>
      <c r="AK98"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261" t="e">
        <f>(1 - ((1 - VLOOKUP(Table4[[#This Row],[ConfidentialityP]],'Reference - CVSSv3.0'!$B$15:$C$17,2,FALSE)) * (1 - VLOOKUP(Table4[[#This Row],[IntegrityP]],'Reference - CVSSv3.0'!$B$15:$C$17,2,FALSE)) *  (1 - VLOOKUP(Table4[[#This Row],[AvailabilityP]],'Reference - CVSSv3.0'!$B$15:$C$17,2,FALSE))))</f>
        <v>#N/A</v>
      </c>
      <c r="AM98" s="261" t="e">
        <f>IF(Table4[[#This Row],[ScopeP]]="Unchanged",6.42*Table4[[#This Row],[ISC BaseP]],IF(Table4[[#This Row],[ScopeP]]="Changed",7.52*(Table4[[#This Row],[ISC BaseP]] - 0.029) - 3.25 * POWER(Table4[[#This Row],[ISC BaseP]] - 0.02,15),NA()))</f>
        <v>#N/A</v>
      </c>
      <c r="AN98"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258"/>
    </row>
    <row r="99" spans="1:43" ht="168" x14ac:dyDescent="0.35">
      <c r="A99" s="281">
        <v>95</v>
      </c>
      <c r="B99" s="255" t="s">
        <v>128</v>
      </c>
      <c r="C99" s="256" t="str">
        <f>IF(VLOOKUP(Table4[[#This Row],[T ID]],Table5[#All],5,FALSE)="No","Not in scope",VLOOKUP(Table4[[#This Row],[T ID]],Table5[#All],2,FALSE))</f>
        <v>Gaining Access
([S]TRID[E])</v>
      </c>
      <c r="D99" s="255" t="s">
        <v>293</v>
      </c>
      <c r="E99" s="256" t="str">
        <f>IF(VLOOKUP(Table4[[#This Row],[V ID]],Vulnerabilities[#All],3,FALSE)="No","Not in scope",VLOOKUP(Table4[[#This Row],[V ID]],Vulnerabilities[#All],2,FALSE))</f>
        <v>Absence of additional security factor along with user identification</v>
      </c>
      <c r="F99" s="257" t="s">
        <v>109</v>
      </c>
      <c r="G99" s="256" t="str">
        <f>VLOOKUP(Table4[[#This Row],[A ID]],Assets[#All],3,FALSE)</f>
        <v>Smart medic app (Azure Portal Administrator)</v>
      </c>
      <c r="H99" s="49" t="s">
        <v>290</v>
      </c>
      <c r="I99" s="258"/>
      <c r="J99" s="255" t="s">
        <v>57</v>
      </c>
      <c r="K99" s="255" t="s">
        <v>57</v>
      </c>
      <c r="L99" s="255" t="s">
        <v>66</v>
      </c>
      <c r="M99" s="259" t="s">
        <v>79</v>
      </c>
      <c r="N99" s="259" t="s">
        <v>66</v>
      </c>
      <c r="O99" s="244" t="s">
        <v>57</v>
      </c>
      <c r="P99" s="244" t="s">
        <v>78</v>
      </c>
      <c r="Q99" s="244" t="s">
        <v>75</v>
      </c>
      <c r="R99"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261">
        <f>(1 - ((1 - VLOOKUP(Table4[[#This Row],[Confidentiality]],'Reference - CVSSv3.0'!$B$15:$C$17,2,FALSE)) * (1 - VLOOKUP(Table4[[#This Row],[Integrity]],'Reference - CVSSv3.0'!$B$15:$C$17,2,FALSE)) *  (1 - VLOOKUP(Table4[[#This Row],[Availability]],'Reference - CVSSv3.0'!$B$15:$C$17,2,FALSE))))</f>
        <v>0.73230400000000007</v>
      </c>
      <c r="T99" s="261">
        <f>IF(Table4[[#This Row],[Scope]]="Unchanged",6.42*Table4[[#This Row],[ISC Base]],IF(Table4[[#This Row],[Scope]]="Changed",7.52*(Table4[[#This Row],[ISC Base]] - 0.029) - 3.25 * POWER(Table4[[#This Row],[ISC Base]] - 0.02,15),NA()))</f>
        <v>4.7013916800000004</v>
      </c>
      <c r="U99"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262" t="s">
        <v>56</v>
      </c>
      <c r="W99" s="261">
        <f>VLOOKUP(Table4[[#This Row],[Threat Event Initiation]],NIST_Scale_LOAI[],2,FALSE)</f>
        <v>0.5</v>
      </c>
      <c r="X99"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51" t="s">
        <v>353</v>
      </c>
      <c r="AA99" s="51" t="s">
        <v>351</v>
      </c>
      <c r="AB99" s="264"/>
      <c r="AC99" s="258"/>
      <c r="AD99" s="258"/>
      <c r="AE99" s="258"/>
      <c r="AF99" s="259"/>
      <c r="AG99" s="259"/>
      <c r="AH99" s="259"/>
      <c r="AI99" s="259"/>
      <c r="AJ99" s="265"/>
      <c r="AK99"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261" t="e">
        <f>(1 - ((1 - VLOOKUP(Table4[[#This Row],[ConfidentialityP]],'Reference - CVSSv3.0'!$B$15:$C$17,2,FALSE)) * (1 - VLOOKUP(Table4[[#This Row],[IntegrityP]],'Reference - CVSSv3.0'!$B$15:$C$17,2,FALSE)) *  (1 - VLOOKUP(Table4[[#This Row],[AvailabilityP]],'Reference - CVSSv3.0'!$B$15:$C$17,2,FALSE))))</f>
        <v>#N/A</v>
      </c>
      <c r="AM99" s="261" t="e">
        <f>IF(Table4[[#This Row],[ScopeP]]="Unchanged",6.42*Table4[[#This Row],[ISC BaseP]],IF(Table4[[#This Row],[ScopeP]]="Changed",7.52*(Table4[[#This Row],[ISC BaseP]] - 0.029) - 3.25 * POWER(Table4[[#This Row],[ISC BaseP]] - 0.02,15),NA()))</f>
        <v>#N/A</v>
      </c>
      <c r="AN99"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258"/>
    </row>
    <row r="100" spans="1:43" ht="132.5" customHeight="1" x14ac:dyDescent="0.35">
      <c r="A100" s="281">
        <v>96</v>
      </c>
      <c r="B100" s="255" t="s">
        <v>128</v>
      </c>
      <c r="C100" s="256" t="str">
        <f>IF(VLOOKUP(Table4[[#This Row],[T ID]],Table5[#All],5,FALSE)="No","Not in scope",VLOOKUP(Table4[[#This Row],[T ID]],Table5[#All],2,FALSE))</f>
        <v>Gaining Access
([S]TRID[E])</v>
      </c>
      <c r="D100" s="255" t="s">
        <v>293</v>
      </c>
      <c r="E100" s="256" t="str">
        <f>IF(VLOOKUP(Table4[[#This Row],[V ID]],Vulnerabilities[#All],3,FALSE)="No","Not in scope",VLOOKUP(Table4[[#This Row],[V ID]],Vulnerabilities[#All],2,FALSE))</f>
        <v>Absence of additional security factor along with user identification</v>
      </c>
      <c r="F100" s="257" t="s">
        <v>110</v>
      </c>
      <c r="G100" s="256" t="str">
        <f>VLOOKUP(Table4[[#This Row],[A ID]],Assets[#All],3,FALSE)</f>
        <v>Azure Cloud DataBase</v>
      </c>
      <c r="H100" s="49" t="s">
        <v>290</v>
      </c>
      <c r="I100" s="258"/>
      <c r="J100" s="255" t="s">
        <v>57</v>
      </c>
      <c r="K100" s="255" t="s">
        <v>57</v>
      </c>
      <c r="L100" s="255" t="s">
        <v>66</v>
      </c>
      <c r="M100" s="259" t="s">
        <v>79</v>
      </c>
      <c r="N100" s="259" t="s">
        <v>66</v>
      </c>
      <c r="O100" s="244" t="s">
        <v>57</v>
      </c>
      <c r="P100" s="244" t="s">
        <v>78</v>
      </c>
      <c r="Q100" s="244" t="s">
        <v>75</v>
      </c>
      <c r="R100"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261">
        <f>(1 - ((1 - VLOOKUP(Table4[[#This Row],[Confidentiality]],'Reference - CVSSv3.0'!$B$15:$C$17,2,FALSE)) * (1 - VLOOKUP(Table4[[#This Row],[Integrity]],'Reference - CVSSv3.0'!$B$15:$C$17,2,FALSE)) *  (1 - VLOOKUP(Table4[[#This Row],[Availability]],'Reference - CVSSv3.0'!$B$15:$C$17,2,FALSE))))</f>
        <v>0.73230400000000007</v>
      </c>
      <c r="T100" s="261">
        <f>IF(Table4[[#This Row],[Scope]]="Unchanged",6.42*Table4[[#This Row],[ISC Base]],IF(Table4[[#This Row],[Scope]]="Changed",7.52*(Table4[[#This Row],[ISC Base]] - 0.029) - 3.25 * POWER(Table4[[#This Row],[ISC Base]] - 0.02,15),NA()))</f>
        <v>4.7013916800000004</v>
      </c>
      <c r="U100"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262" t="s">
        <v>56</v>
      </c>
      <c r="W100" s="261">
        <f>VLOOKUP(Table4[[#This Row],[Threat Event Initiation]],NIST_Scale_LOAI[],2,FALSE)</f>
        <v>0.5</v>
      </c>
      <c r="X100"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51" t="s">
        <v>367</v>
      </c>
      <c r="AA100" s="51" t="s">
        <v>369</v>
      </c>
      <c r="AB100" s="264"/>
      <c r="AC100" s="258"/>
      <c r="AD100" s="258"/>
      <c r="AE100" s="258"/>
      <c r="AF100" s="259"/>
      <c r="AG100" s="259"/>
      <c r="AH100" s="259"/>
      <c r="AI100" s="259"/>
      <c r="AJ100" s="265"/>
      <c r="AK100"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261" t="e">
        <f>(1 - ((1 - VLOOKUP(Table4[[#This Row],[ConfidentialityP]],'Reference - CVSSv3.0'!$B$15:$C$17,2,FALSE)) * (1 - VLOOKUP(Table4[[#This Row],[IntegrityP]],'Reference - CVSSv3.0'!$B$15:$C$17,2,FALSE)) *  (1 - VLOOKUP(Table4[[#This Row],[AvailabilityP]],'Reference - CVSSv3.0'!$B$15:$C$17,2,FALSE))))</f>
        <v>#N/A</v>
      </c>
      <c r="AM100" s="261" t="e">
        <f>IF(Table4[[#This Row],[ScopeP]]="Unchanged",6.42*Table4[[#This Row],[ISC BaseP]],IF(Table4[[#This Row],[ScopeP]]="Changed",7.52*(Table4[[#This Row],[ISC BaseP]] - 0.029) - 3.25 * POWER(Table4[[#This Row],[ISC BaseP]] - 0.02,15),NA()))</f>
        <v>#N/A</v>
      </c>
      <c r="AN100"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258"/>
    </row>
    <row r="101" spans="1:43" ht="112" x14ac:dyDescent="0.35">
      <c r="A101" s="281">
        <v>97</v>
      </c>
      <c r="B101" s="255" t="s">
        <v>262</v>
      </c>
      <c r="C101" s="256" t="str">
        <f>IF(VLOOKUP(Table4[[#This Row],[T ID]],Table5[#All],5,FALSE)="No","Not in scope",VLOOKUP(Table4[[#This Row],[T ID]],Table5[#All],2,FALSE))</f>
        <v>Brute-force Attack
(CAPEC-112)</v>
      </c>
      <c r="D101" s="255" t="s">
        <v>292</v>
      </c>
      <c r="E101" s="256" t="str">
        <f>IF(VLOOKUP(Table4[[#This Row],[V ID]],Vulnerabilities[#All],3,FALSE)="No","Not in scope",VLOOKUP(Table4[[#This Row],[V ID]],Vulnerabilities[#All],2,FALSE))</f>
        <v>Error Info containing sensitive data for Failed Authentication attempts</v>
      </c>
      <c r="F101" s="257" t="s">
        <v>110</v>
      </c>
      <c r="G101" s="256" t="str">
        <f>VLOOKUP(Table4[[#This Row],[A ID]],Assets[#All],3,FALSE)</f>
        <v>Azure Cloud DataBase</v>
      </c>
      <c r="H101" s="49" t="s">
        <v>290</v>
      </c>
      <c r="I101" s="258"/>
      <c r="J101" s="255" t="s">
        <v>57</v>
      </c>
      <c r="K101" s="255" t="s">
        <v>57</v>
      </c>
      <c r="L101" s="255" t="s">
        <v>66</v>
      </c>
      <c r="M101" s="259" t="s">
        <v>79</v>
      </c>
      <c r="N101" s="259" t="s">
        <v>66</v>
      </c>
      <c r="O101" s="244" t="s">
        <v>57</v>
      </c>
      <c r="P101" s="244" t="s">
        <v>78</v>
      </c>
      <c r="Q101" s="244" t="s">
        <v>75</v>
      </c>
      <c r="R101"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261">
        <f>(1 - ((1 - VLOOKUP(Table4[[#This Row],[Confidentiality]],'Reference - CVSSv3.0'!$B$15:$C$17,2,FALSE)) * (1 - VLOOKUP(Table4[[#This Row],[Integrity]],'Reference - CVSSv3.0'!$B$15:$C$17,2,FALSE)) *  (1 - VLOOKUP(Table4[[#This Row],[Availability]],'Reference - CVSSv3.0'!$B$15:$C$17,2,FALSE))))</f>
        <v>0.73230400000000007</v>
      </c>
      <c r="T101" s="261">
        <f>IF(Table4[[#This Row],[Scope]]="Unchanged",6.42*Table4[[#This Row],[ISC Base]],IF(Table4[[#This Row],[Scope]]="Changed",7.52*(Table4[[#This Row],[ISC Base]] - 0.029) - 3.25 * POWER(Table4[[#This Row],[ISC Base]] - 0.02,15),NA()))</f>
        <v>4.7013916800000004</v>
      </c>
      <c r="U101"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262" t="s">
        <v>56</v>
      </c>
      <c r="W101" s="261">
        <f>VLOOKUP(Table4[[#This Row],[Threat Event Initiation]],NIST_Scale_LOAI[],2,FALSE)</f>
        <v>0.5</v>
      </c>
      <c r="X101"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51" t="s">
        <v>368</v>
      </c>
      <c r="AA101" s="51" t="s">
        <v>369</v>
      </c>
      <c r="AB101" s="264"/>
      <c r="AC101" s="258"/>
      <c r="AD101" s="258"/>
      <c r="AE101" s="258"/>
      <c r="AF101" s="259"/>
      <c r="AG101" s="259"/>
      <c r="AH101" s="259"/>
      <c r="AI101" s="259"/>
      <c r="AJ101" s="265"/>
      <c r="AK101"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261" t="e">
        <f>(1 - ((1 - VLOOKUP(Table4[[#This Row],[ConfidentialityP]],'Reference - CVSSv3.0'!$B$15:$C$17,2,FALSE)) * (1 - VLOOKUP(Table4[[#This Row],[IntegrityP]],'Reference - CVSSv3.0'!$B$15:$C$17,2,FALSE)) *  (1 - VLOOKUP(Table4[[#This Row],[AvailabilityP]],'Reference - CVSSv3.0'!$B$15:$C$17,2,FALSE))))</f>
        <v>#N/A</v>
      </c>
      <c r="AM101" s="261" t="e">
        <f>IF(Table4[[#This Row],[ScopeP]]="Unchanged",6.42*Table4[[#This Row],[ISC BaseP]],IF(Table4[[#This Row],[ScopeP]]="Changed",7.52*(Table4[[#This Row],[ISC BaseP]] - 0.029) - 3.25 * POWER(Table4[[#This Row],[ISC BaseP]] - 0.02,15),NA()))</f>
        <v>#N/A</v>
      </c>
      <c r="AN101"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258"/>
    </row>
    <row r="102" spans="1:43" ht="112" x14ac:dyDescent="0.35">
      <c r="A102" s="281">
        <v>98</v>
      </c>
      <c r="B102" s="255" t="s">
        <v>262</v>
      </c>
      <c r="C102" s="256" t="str">
        <f>IF(VLOOKUP(Table4[[#This Row],[T ID]],Table5[#All],5,FALSE)="No","Not in scope",VLOOKUP(Table4[[#This Row],[T ID]],Table5[#All],2,FALSE))</f>
        <v>Brute-force Attack
(CAPEC-112)</v>
      </c>
      <c r="D102" s="255" t="s">
        <v>294</v>
      </c>
      <c r="E102" s="256" t="str">
        <f>IF(VLOOKUP(Table4[[#This Row],[V ID]],Vulnerabilities[#All],3,FALSE)="No","Not in scope",VLOOKUP(Table4[[#This Row],[V ID]],Vulnerabilities[#All],2,FALSE))</f>
        <v>Having no limit on the login attempts</v>
      </c>
      <c r="F102" s="257" t="s">
        <v>109</v>
      </c>
      <c r="G102" s="256" t="str">
        <f>VLOOKUP(Table4[[#This Row],[A ID]],Assets[#All],3,FALSE)</f>
        <v>Smart medic app (Azure Portal Administrator)</v>
      </c>
      <c r="H102" s="49" t="s">
        <v>290</v>
      </c>
      <c r="I102" s="258"/>
      <c r="J102" s="255" t="s">
        <v>57</v>
      </c>
      <c r="K102" s="255" t="s">
        <v>57</v>
      </c>
      <c r="L102" s="255" t="s">
        <v>66</v>
      </c>
      <c r="M102" s="259" t="s">
        <v>79</v>
      </c>
      <c r="N102" s="259" t="s">
        <v>66</v>
      </c>
      <c r="O102" s="244" t="s">
        <v>57</v>
      </c>
      <c r="P102" s="244" t="s">
        <v>78</v>
      </c>
      <c r="Q102" s="244" t="s">
        <v>75</v>
      </c>
      <c r="R102"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261">
        <f>(1 - ((1 - VLOOKUP(Table4[[#This Row],[Confidentiality]],'Reference - CVSSv3.0'!$B$15:$C$17,2,FALSE)) * (1 - VLOOKUP(Table4[[#This Row],[Integrity]],'Reference - CVSSv3.0'!$B$15:$C$17,2,FALSE)) *  (1 - VLOOKUP(Table4[[#This Row],[Availability]],'Reference - CVSSv3.0'!$B$15:$C$17,2,FALSE))))</f>
        <v>0.73230400000000007</v>
      </c>
      <c r="T102" s="261">
        <f>IF(Table4[[#This Row],[Scope]]="Unchanged",6.42*Table4[[#This Row],[ISC Base]],IF(Table4[[#This Row],[Scope]]="Changed",7.52*(Table4[[#This Row],[ISC Base]] - 0.029) - 3.25 * POWER(Table4[[#This Row],[ISC Base]] - 0.02,15),NA()))</f>
        <v>4.7013916800000004</v>
      </c>
      <c r="U102"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262" t="s">
        <v>56</v>
      </c>
      <c r="W102" s="261">
        <f>VLOOKUP(Table4[[#This Row],[Threat Event Initiation]],NIST_Scale_LOAI[],2,FALSE)</f>
        <v>0.5</v>
      </c>
      <c r="X102"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51" t="s">
        <v>368</v>
      </c>
      <c r="AA102" s="51" t="s">
        <v>369</v>
      </c>
      <c r="AB102" s="264"/>
      <c r="AC102" s="258"/>
      <c r="AD102" s="258"/>
      <c r="AE102" s="258"/>
      <c r="AF102" s="259"/>
      <c r="AG102" s="259"/>
      <c r="AH102" s="259"/>
      <c r="AI102" s="259"/>
      <c r="AJ102" s="265"/>
      <c r="AK102"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261" t="e">
        <f>(1 - ((1 - VLOOKUP(Table4[[#This Row],[ConfidentialityP]],'Reference - CVSSv3.0'!$B$15:$C$17,2,FALSE)) * (1 - VLOOKUP(Table4[[#This Row],[IntegrityP]],'Reference - CVSSv3.0'!$B$15:$C$17,2,FALSE)) *  (1 - VLOOKUP(Table4[[#This Row],[AvailabilityP]],'Reference - CVSSv3.0'!$B$15:$C$17,2,FALSE))))</f>
        <v>#N/A</v>
      </c>
      <c r="AM102" s="261" t="e">
        <f>IF(Table4[[#This Row],[ScopeP]]="Unchanged",6.42*Table4[[#This Row],[ISC BaseP]],IF(Table4[[#This Row],[ScopeP]]="Changed",7.52*(Table4[[#This Row],[ISC BaseP]] - 0.029) - 3.25 * POWER(Table4[[#This Row],[ISC BaseP]] - 0.02,15),NA()))</f>
        <v>#N/A</v>
      </c>
      <c r="AN102"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258"/>
    </row>
    <row r="103" spans="1:43" ht="168" x14ac:dyDescent="0.35">
      <c r="A103" s="290">
        <v>99</v>
      </c>
      <c r="B103" s="291" t="s">
        <v>313</v>
      </c>
      <c r="C103" s="292" t="str">
        <f>IF(VLOOKUP(Table4[[#This Row],[T ID]],Table5[#All],5,FALSE)="No","Not in scope",VLOOKUP(Table4[[#This Row],[T ID]],Table5[#All],2,FALSE))</f>
        <v>Unauthorized Alterations
(S[T]RIDE)</v>
      </c>
      <c r="D103" s="291" t="s">
        <v>335</v>
      </c>
      <c r="E103" s="292" t="str">
        <f>IF(VLOOKUP(Table4[[#This Row],[V ID]],Vulnerabilities[#All],3,FALSE)="No","Not in scope",VLOOKUP(Table4[[#This Row],[V ID]],Vulnerabilities[#All],2,FALSE))</f>
        <v>Improper/insufficient provisioning of IOT hub</v>
      </c>
      <c r="F103" s="293" t="s">
        <v>113</v>
      </c>
      <c r="G103" s="292" t="str">
        <f>VLOOKUP(Table4[[#This Row],[A ID]],Assets[#All],3,FALSE)</f>
        <v>Tablet OS/network details &amp; Tablet Application</v>
      </c>
      <c r="H103" s="300" t="s">
        <v>339</v>
      </c>
      <c r="I103" s="294"/>
      <c r="J103" s="291" t="s">
        <v>78</v>
      </c>
      <c r="K103" s="291" t="s">
        <v>78</v>
      </c>
      <c r="L103" s="291" t="s">
        <v>66</v>
      </c>
      <c r="M103" s="295" t="s">
        <v>79</v>
      </c>
      <c r="N103" s="259" t="s">
        <v>66</v>
      </c>
      <c r="O103" s="244" t="s">
        <v>66</v>
      </c>
      <c r="P103" s="295" t="s">
        <v>78</v>
      </c>
      <c r="Q103" s="295" t="s">
        <v>75</v>
      </c>
      <c r="R103"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297">
        <f>(1 - ((1 - VLOOKUP(Table4[[#This Row],[Confidentiality]],'Reference - CVSSv3.0'!$B$15:$C$17,2,FALSE)) * (1 - VLOOKUP(Table4[[#This Row],[Integrity]],'Reference - CVSSv3.0'!$B$15:$C$17,2,FALSE)) *  (1 - VLOOKUP(Table4[[#This Row],[Availability]],'Reference - CVSSv3.0'!$B$15:$C$17,2,FALSE))))</f>
        <v>0.56000000000000005</v>
      </c>
      <c r="T103" s="297">
        <f>IF(Table4[[#This Row],[Scope]]="Unchanged",6.42*Table4[[#This Row],[ISC Base]],IF(Table4[[#This Row],[Scope]]="Changed",7.52*(Table4[[#This Row],[ISC Base]] - 0.029) - 3.25 * POWER(Table4[[#This Row],[ISC Base]] - 0.02,15),NA()))</f>
        <v>3.5952000000000002</v>
      </c>
      <c r="U103" s="29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298" t="s">
        <v>57</v>
      </c>
      <c r="W103" s="297">
        <f>VLOOKUP(Table4[[#This Row],[Threat Event Initiation]],NIST_Scale_LOAI[],2,FALSE)</f>
        <v>0.2</v>
      </c>
      <c r="X103"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300" t="s">
        <v>349</v>
      </c>
      <c r="AA103" s="300" t="s">
        <v>350</v>
      </c>
      <c r="AB103" s="301"/>
      <c r="AC103" s="294"/>
      <c r="AD103" s="294"/>
      <c r="AE103" s="294"/>
      <c r="AF103" s="295"/>
      <c r="AG103" s="295"/>
      <c r="AH103" s="295"/>
      <c r="AI103" s="295"/>
      <c r="AJ103" s="302"/>
      <c r="AK103"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297" t="e">
        <f>(1 - ((1 - VLOOKUP(Table4[[#This Row],[ConfidentialityP]],'Reference - CVSSv3.0'!$B$15:$C$17,2,FALSE)) * (1 - VLOOKUP(Table4[[#This Row],[IntegrityP]],'Reference - CVSSv3.0'!$B$15:$C$17,2,FALSE)) *  (1 - VLOOKUP(Table4[[#This Row],[AvailabilityP]],'Reference - CVSSv3.0'!$B$15:$C$17,2,FALSE))))</f>
        <v>#N/A</v>
      </c>
      <c r="AM103" s="297" t="e">
        <f>IF(Table4[[#This Row],[ScopeP]]="Unchanged",6.42*Table4[[#This Row],[ISC BaseP]],IF(Table4[[#This Row],[ScopeP]]="Changed",7.52*(Table4[[#This Row],[ISC BaseP]] - 0.029) - 3.25 * POWER(Table4[[#This Row],[ISC BaseP]] - 0.02,15),NA()))</f>
        <v>#N/A</v>
      </c>
      <c r="AN103"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30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294"/>
    </row>
    <row r="104" spans="1:43" ht="155" customHeight="1" x14ac:dyDescent="0.35">
      <c r="A104" s="290">
        <v>100</v>
      </c>
      <c r="B104" s="291" t="s">
        <v>313</v>
      </c>
      <c r="C104" s="292" t="str">
        <f>IF(VLOOKUP(Table4[[#This Row],[T ID]],Table5[#All],5,FALSE)="No","Not in scope",VLOOKUP(Table4[[#This Row],[T ID]],Table5[#All],2,FALSE))</f>
        <v>Unauthorized Alterations
(S[T]RIDE)</v>
      </c>
      <c r="D104" s="291" t="s">
        <v>336</v>
      </c>
      <c r="E104" s="292" t="str">
        <f>IF(VLOOKUP(Table4[[#This Row],[V ID]],Vulnerabilities[#All],3,FALSE)="No","Not in scope",VLOOKUP(Table4[[#This Row],[V ID]],Vulnerabilities[#All],2,FALSE))</f>
        <v>Unsecured communication with unauthenticated 3rd party devices</v>
      </c>
      <c r="F104" s="293" t="s">
        <v>113</v>
      </c>
      <c r="G104" s="292" t="str">
        <f>VLOOKUP(Table4[[#This Row],[A ID]],Assets[#All],3,FALSE)</f>
        <v>Tablet OS/network details &amp; Tablet Application</v>
      </c>
      <c r="H104" s="300" t="s">
        <v>340</v>
      </c>
      <c r="I104" s="294"/>
      <c r="J104" s="291" t="s">
        <v>78</v>
      </c>
      <c r="K104" s="291" t="s">
        <v>78</v>
      </c>
      <c r="L104" s="291" t="s">
        <v>66</v>
      </c>
      <c r="M104" s="295" t="s">
        <v>79</v>
      </c>
      <c r="N104" s="259" t="s">
        <v>66</v>
      </c>
      <c r="O104" s="244" t="s">
        <v>66</v>
      </c>
      <c r="P104" s="295" t="s">
        <v>78</v>
      </c>
      <c r="Q104" s="295" t="s">
        <v>75</v>
      </c>
      <c r="R104"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297">
        <f>(1 - ((1 - VLOOKUP(Table4[[#This Row],[Confidentiality]],'Reference - CVSSv3.0'!$B$15:$C$17,2,FALSE)) * (1 - VLOOKUP(Table4[[#This Row],[Integrity]],'Reference - CVSSv3.0'!$B$15:$C$17,2,FALSE)) *  (1 - VLOOKUP(Table4[[#This Row],[Availability]],'Reference - CVSSv3.0'!$B$15:$C$17,2,FALSE))))</f>
        <v>0.56000000000000005</v>
      </c>
      <c r="T104" s="297">
        <f>IF(Table4[[#This Row],[Scope]]="Unchanged",6.42*Table4[[#This Row],[ISC Base]],IF(Table4[[#This Row],[Scope]]="Changed",7.52*(Table4[[#This Row],[ISC Base]] - 0.029) - 3.25 * POWER(Table4[[#This Row],[ISC Base]] - 0.02,15),NA()))</f>
        <v>3.5952000000000002</v>
      </c>
      <c r="U104" s="29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298" t="s">
        <v>57</v>
      </c>
      <c r="W104" s="297">
        <f>VLOOKUP(Table4[[#This Row],[Threat Event Initiation]],NIST_Scale_LOAI[],2,FALSE)</f>
        <v>0.2</v>
      </c>
      <c r="X104"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51" t="s">
        <v>376</v>
      </c>
      <c r="AA104" s="51" t="s">
        <v>369</v>
      </c>
      <c r="AB104" s="301"/>
      <c r="AC104" s="294"/>
      <c r="AD104" s="294"/>
      <c r="AE104" s="294"/>
      <c r="AF104" s="295"/>
      <c r="AG104" s="295"/>
      <c r="AH104" s="295"/>
      <c r="AI104" s="295"/>
      <c r="AJ104" s="302"/>
      <c r="AK104"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297" t="e">
        <f>(1 - ((1 - VLOOKUP(Table4[[#This Row],[ConfidentialityP]],'Reference - CVSSv3.0'!$B$15:$C$17,2,FALSE)) * (1 - VLOOKUP(Table4[[#This Row],[IntegrityP]],'Reference - CVSSv3.0'!$B$15:$C$17,2,FALSE)) *  (1 - VLOOKUP(Table4[[#This Row],[AvailabilityP]],'Reference - CVSSv3.0'!$B$15:$C$17,2,FALSE))))</f>
        <v>#N/A</v>
      </c>
      <c r="AM104" s="297" t="e">
        <f>IF(Table4[[#This Row],[ScopeP]]="Unchanged",6.42*Table4[[#This Row],[ISC BaseP]],IF(Table4[[#This Row],[ScopeP]]="Changed",7.52*(Table4[[#This Row],[ISC BaseP]] - 0.029) - 3.25 * POWER(Table4[[#This Row],[ISC BaseP]] - 0.02,15),NA()))</f>
        <v>#N/A</v>
      </c>
      <c r="AN104"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30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294"/>
    </row>
  </sheetData>
  <mergeCells count="4">
    <mergeCell ref="AC3:AQ3"/>
    <mergeCell ref="Z3:AB3"/>
    <mergeCell ref="F3:I3"/>
    <mergeCell ref="J3:Y3"/>
  </mergeCells>
  <conditionalFormatting sqref="AP5:AP46 Y5:Y104">
    <cfRule type="cellIs" dxfId="142" priority="31" operator="equal">
      <formula>"Critical"</formula>
    </cfRule>
    <cfRule type="cellIs" dxfId="141" priority="32" operator="equal">
      <formula>"HIGH"</formula>
    </cfRule>
    <cfRule type="cellIs" dxfId="140" priority="33" operator="equal">
      <formula>"Medium"</formula>
    </cfRule>
    <cfRule type="cellIs" dxfId="139" priority="34" operator="equal">
      <formula>"None"</formula>
    </cfRule>
    <cfRule type="cellIs" dxfId="138" priority="3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19"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A000000}">
          <x14:formula1>
            <xm:f>'Reference - CVSSv3.0'!$B$15:$B$18</xm:f>
          </x14:formula1>
          <xm:sqref>N96:O96 AC5:AE104 J5:L104</xm:sqref>
        </x14:dataValidation>
        <x14:dataValidation type="list" allowBlank="1" showInputMessage="1" showErrorMessage="1" xr:uid="{00000000-0002-0000-0300-00000C000000}">
          <x14:formula1>
            <xm:f>'Reference - CVSSv3.0'!$E$6:$E$8</xm:f>
          </x14:formula1>
          <xm:sqref>N97:O104 N5:O95 AG5:AG104</xm:sqref>
        </x14:dataValidation>
        <x14:dataValidation type="list" allowBlank="1" showInputMessage="1" showErrorMessage="1" xr:uid="{00000000-0002-0000-0300-000009000000}">
          <x14:formula1>
            <xm:f>'Reference - CVSSv3.0'!$B$21:$B$23</xm:f>
          </x14:formula1>
          <xm:sqref>AJ5:AJ104 Q5:Q104</xm:sqref>
        </x14:dataValidation>
        <x14:dataValidation type="list" allowBlank="1" showInputMessage="1" showErrorMessage="1" xr:uid="{00000000-0002-0000-0300-00000B000000}">
          <x14:formula1>
            <xm:f>'Reference - CVSSv3.0'!$B$6:$B$10</xm:f>
          </x14:formula1>
          <xm:sqref>AF5:AF104 M5:M104</xm:sqref>
        </x14:dataValidation>
        <x14:dataValidation type="list" allowBlank="1" showInputMessage="1" showErrorMessage="1" xr:uid="{00000000-0002-0000-0300-00000D000000}">
          <x14:formula1>
            <xm:f>'Reference - CVSSv3.0'!$H$6:$H$9</xm:f>
          </x14:formula1>
          <xm:sqref>AH5:AH104</xm:sqref>
        </x14:dataValidation>
        <x14:dataValidation type="list" allowBlank="1" showInputMessage="1" showErrorMessage="1" xr:uid="{00000000-0002-0000-0300-00000E000000}">
          <x14:formula1>
            <xm:f>'Reference - CVSSv3.0'!$L$6:$L$8</xm:f>
          </x14:formula1>
          <xm:sqref>AI5:AI104 P5:P104</xm:sqref>
        </x14:dataValidation>
        <x14:dataValidation type="list" allowBlank="1" showInputMessage="1" showErrorMessage="1" xr:uid="{00000000-0002-0000-0300-00000F000000}">
          <x14:formula1>
            <xm:f>'Reference - CVSSv3.0'!$Q$5:$Q$10</xm:f>
          </x14:formula1>
          <xm:sqref>V5:V104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92"/>
  <sheetViews>
    <sheetView topLeftCell="A19" zoomScaleNormal="100" workbookViewId="0">
      <selection activeCell="K5" sqref="K5"/>
    </sheetView>
  </sheetViews>
  <sheetFormatPr defaultColWidth="9.1796875" defaultRowHeight="14.5" x14ac:dyDescent="0.35"/>
  <cols>
    <col min="1" max="1" width="9.1796875" style="24" customWidth="1"/>
    <col min="2" max="2" width="4.81640625" style="24" customWidth="1"/>
    <col min="3" max="3" width="25.54296875" style="25" customWidth="1"/>
    <col min="4" max="4" width="5" style="24" customWidth="1"/>
    <col min="5" max="5" width="22" style="209" customWidth="1"/>
    <col min="6" max="6" width="6.26953125" style="24" customWidth="1"/>
    <col min="7" max="7" width="28.7265625" style="24" customWidth="1"/>
    <col min="8" max="8" width="38" style="24" customWidth="1"/>
    <col min="9" max="9" width="25.453125" style="24" customWidth="1"/>
    <col min="10" max="10" width="15" style="24" customWidth="1"/>
    <col min="11" max="11" width="35.7265625" style="24" customWidth="1"/>
    <col min="12" max="12" width="15" style="24" customWidth="1"/>
    <col min="13" max="13" width="36.81640625" style="24" customWidth="1"/>
    <col min="14" max="16384" width="9.1796875" style="24"/>
  </cols>
  <sheetData>
    <row r="1" spans="1:14" s="53" customFormat="1" x14ac:dyDescent="0.35">
      <c r="A1" s="31" t="s">
        <v>191</v>
      </c>
      <c r="B1" s="75"/>
      <c r="C1" s="75"/>
      <c r="D1" s="75"/>
      <c r="E1" s="79"/>
      <c r="F1" s="75"/>
      <c r="G1" s="75"/>
      <c r="H1" s="75"/>
      <c r="I1" s="75"/>
      <c r="J1" s="75"/>
      <c r="K1" s="75"/>
      <c r="L1" s="75"/>
      <c r="M1" s="75"/>
      <c r="N1"/>
    </row>
    <row r="2" spans="1:14" s="53" customFormat="1" x14ac:dyDescent="0.35">
      <c r="A2" s="31"/>
      <c r="B2" s="75"/>
      <c r="C2" s="75"/>
      <c r="D2" s="75"/>
      <c r="E2" s="79"/>
      <c r="F2" s="75"/>
      <c r="G2" s="75"/>
      <c r="H2" s="75"/>
      <c r="I2" s="75"/>
      <c r="J2" s="75"/>
      <c r="K2" s="75"/>
      <c r="L2" s="75"/>
      <c r="M2" s="75"/>
      <c r="N2"/>
    </row>
    <row r="3" spans="1:14" s="53" customFormat="1" x14ac:dyDescent="0.35">
      <c r="A3" s="31"/>
      <c r="B3" s="75"/>
      <c r="C3" s="75"/>
      <c r="D3" s="75"/>
      <c r="E3" s="79"/>
      <c r="F3" s="75"/>
      <c r="G3" s="75"/>
      <c r="H3" s="75"/>
      <c r="I3" s="75"/>
      <c r="J3" s="75"/>
      <c r="K3" s="75"/>
      <c r="L3" s="75"/>
      <c r="M3" s="75"/>
      <c r="N3"/>
    </row>
    <row r="4" spans="1:14" s="53" customFormat="1" ht="28" x14ac:dyDescent="0.35">
      <c r="A4" s="169" t="s">
        <v>1</v>
      </c>
      <c r="B4" s="170" t="s">
        <v>124</v>
      </c>
      <c r="C4" s="171" t="s">
        <v>2</v>
      </c>
      <c r="D4" s="172" t="s">
        <v>123</v>
      </c>
      <c r="E4" s="173" t="s">
        <v>15</v>
      </c>
      <c r="F4" s="174" t="s">
        <v>125</v>
      </c>
      <c r="G4" s="175" t="s">
        <v>190</v>
      </c>
      <c r="H4" s="175" t="s">
        <v>6</v>
      </c>
      <c r="I4" s="176" t="s">
        <v>161</v>
      </c>
      <c r="J4" s="177" t="s">
        <v>187</v>
      </c>
      <c r="K4" s="178" t="s">
        <v>189</v>
      </c>
      <c r="L4" s="179" t="s">
        <v>188</v>
      </c>
      <c r="M4" s="180" t="s">
        <v>4</v>
      </c>
      <c r="N4" s="2"/>
    </row>
    <row r="5" spans="1:14" s="53" customFormat="1" ht="70" x14ac:dyDescent="0.35">
      <c r="A5" s="69">
        <f>Table4[[#This Row],[
ID '#]]</f>
        <v>1</v>
      </c>
      <c r="B5" s="57" t="str">
        <f>IF(Table4[[#This Row],[T ID]]&gt;0,Table4[[#This Row],[T ID]],"")</f>
        <v>T01</v>
      </c>
      <c r="C5" s="49" t="str">
        <f>Table4[[#This Row],[Threat Event(s)]]</f>
        <v>Deliver undirected malware
(CAPEC-185)</v>
      </c>
      <c r="D5" s="59" t="str">
        <f>IF(Table4[[#This Row],[V ID]]&gt;0,Table4[[#This Row],[V ID]],"")</f>
        <v>V13</v>
      </c>
      <c r="E5" s="49" t="str">
        <f>Table4[[#This Row],[Vulnerabilities]]</f>
        <v>Unprotected external USB Port on the tablet/devices.</v>
      </c>
      <c r="F5" s="59" t="str">
        <f>IF(Table4[[#This Row],[A ID]]&gt;0,Table4[[#This Row],[A ID]],"")</f>
        <v>A01</v>
      </c>
      <c r="G5" s="49" t="str">
        <f>Table4[[#This Row],[Asset]]</f>
        <v>Tablet Resources - web cam, microphone, OTG devices, Removable USB, Tablet Application, Network interfaces (Bluetooth, Wifi)</v>
      </c>
      <c r="H5" s="49" t="str">
        <f>IF(Table4[[#This Row],[Impact Description]]&gt;0,Table4[[#This Row],[Impact Description]],"")</f>
        <v xml:space="preserve">1) Malicious utilization of  computer resources 2) computing power  
3) denial of service attacks, 
4) ransomware attack 
5) Bitcoin mining, etc </v>
      </c>
      <c r="I5" s="59" t="str">
        <f>IF(Table4[[#This Row],[Safety Impact 
(Risk ID'# or N/A)]]&gt;0,Table4[[#This Row],[Safety Impact 
(Risk ID'# or N/A)]],"")</f>
        <v/>
      </c>
      <c r="J5" s="87" t="str">
        <f>Table4[[#This Row],[Security 
Risk 
Level]]</f>
        <v>LOW</v>
      </c>
      <c r="K5" s="59"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 s="87" t="str">
        <f>Table4[[#This Row],[Security Risk LevelP]]</f>
        <v>LOW</v>
      </c>
      <c r="M5" s="59" t="str">
        <f>IF(Table4[[#This Row],[Residual Security Risk Acceptability Justification]]&gt;0,Table4[[#This Row],[Residual Security Risk Acceptability Justification]],"")</f>
        <v xml:space="preserve"> </v>
      </c>
      <c r="N5"/>
    </row>
    <row r="6" spans="1:14" s="53" customFormat="1" ht="70" x14ac:dyDescent="0.35">
      <c r="A6" s="203">
        <f>Table4[[#This Row],[
ID '#]]</f>
        <v>2</v>
      </c>
      <c r="B6" s="57" t="str">
        <f>IF(Table4[[#This Row],[T ID]]&gt;0,Table4[[#This Row],[T ID]],"")</f>
        <v>T01</v>
      </c>
      <c r="C6" s="195" t="str">
        <f>Table4[[#This Row],[Threat Event(s)]]</f>
        <v>Deliver undirected malware
(CAPEC-185)</v>
      </c>
      <c r="D6" s="204" t="str">
        <f>IF(Table4[[#This Row],[V ID]]&gt;0,Table4[[#This Row],[V ID]],"")</f>
        <v>V13</v>
      </c>
      <c r="E6" s="195" t="str">
        <f>Table4[[#This Row],[Vulnerabilities]]</f>
        <v>Unprotected external USB Port on the tablet/devices.</v>
      </c>
      <c r="F6" s="205" t="str">
        <f>IF(Table4[[#This Row],[A ID]]&gt;0,Table4[[#This Row],[A ID]],"")</f>
        <v>A03</v>
      </c>
      <c r="G6" s="195" t="str">
        <f>Table4[[#This Row],[Asset]]</f>
        <v>Smart medic (Stryker device) System Component</v>
      </c>
      <c r="H6" s="208" t="str">
        <f>IF(Table4[[#This Row],[Impact Description]]&gt;0,Table4[[#This Row],[Impact Description]],"")</f>
        <v xml:space="preserve">1) Malicious utilization of  computer resources 2) computing power  
3) denial of service attacks, 
4) ransomware attack 
5) Bitcoin mining, etc </v>
      </c>
      <c r="I6" s="204" t="str">
        <f>IF(Table4[[#This Row],[Safety Impact 
(Risk ID'# or N/A)]]&gt;0,Table4[[#This Row],[Safety Impact 
(Risk ID'# or N/A)]],"")</f>
        <v/>
      </c>
      <c r="J6" s="199" t="str">
        <f>Table4[[#This Row],[Security 
Risk 
Level]]</f>
        <v>LOW</v>
      </c>
      <c r="K6"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6" s="202" t="str">
        <f>Table4[[#This Row],[Security Risk LevelP]]</f>
        <v/>
      </c>
      <c r="M6" s="204" t="str">
        <f>IF(Table4[[#This Row],[Residual Security Risk Acceptability Justification]]&gt;0,Table4[[#This Row],[Residual Security Risk Acceptability Justification]],"")</f>
        <v/>
      </c>
      <c r="N6"/>
    </row>
    <row r="7" spans="1:14" s="53" customFormat="1" ht="112" x14ac:dyDescent="0.35">
      <c r="A7" s="69">
        <f>Table4[[#This Row],[
ID '#]]</f>
        <v>3</v>
      </c>
      <c r="B7" s="57" t="str">
        <f>IF(Table4[[#This Row],[T ID]]&gt;0,Table4[[#This Row],[T ID]],"")</f>
        <v>T01</v>
      </c>
      <c r="C7" s="49" t="str">
        <f>Table4[[#This Row],[Threat Event(s)]]</f>
        <v>Deliver undirected malware
(CAPEC-185)</v>
      </c>
      <c r="D7" s="59" t="str">
        <f>IF(Table4[[#This Row],[V ID]]&gt;0,Table4[[#This Row],[V ID]],"")</f>
        <v>V02</v>
      </c>
      <c r="E7" s="49" t="str">
        <f>Table4[[#This Row],[Vulnerabilities]]</f>
        <v>External communications and exposure for communciation channels from and to application and devices like tablet and smartmedic device.</v>
      </c>
      <c r="F7" s="59" t="str">
        <f>IF(Table4[[#This Row],[A ID]]&gt;0,Table4[[#This Row],[A ID]],"")</f>
        <v>A03</v>
      </c>
      <c r="G7" s="49" t="str">
        <f>Table4[[#This Row],[Asset]]</f>
        <v>Smart medic (Stryker device) System Component</v>
      </c>
      <c r="H7" s="49" t="str">
        <f>IF(Table4[[#This Row],[Impact Description]]&gt;0,Table4[[#This Row],[Impact Description]],"")</f>
        <v xml:space="preserve">1) Malicious utilization of  computer resources 2) computing power  
3) denial of service attacks, 
4) ransomware attack 
5) Bitcoin mining, etc </v>
      </c>
      <c r="I7" s="59" t="str">
        <f>IF(Table4[[#This Row],[Safety Impact 
(Risk ID'# or N/A)]]&gt;0,Table4[[#This Row],[Safety Impact 
(Risk ID'# or N/A)]],"")</f>
        <v/>
      </c>
      <c r="J7" s="87" t="str">
        <f>Table4[[#This Row],[Security 
Risk 
Level]]</f>
        <v>LOW</v>
      </c>
      <c r="K7" s="59"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7" s="87" t="str">
        <f>Table4[[#This Row],[Security Risk LevelP]]</f>
        <v/>
      </c>
      <c r="M7" s="59" t="str">
        <f>IF(Table4[[#This Row],[Residual Security Risk Acceptability Justification]]&gt;0,Table4[[#This Row],[Residual Security Risk Acceptability Justification]],"")</f>
        <v/>
      </c>
      <c r="N7"/>
    </row>
    <row r="8" spans="1:14" s="53" customFormat="1" ht="112" x14ac:dyDescent="0.35">
      <c r="A8" s="203">
        <f>Table4[[#This Row],[
ID '#]]</f>
        <v>4</v>
      </c>
      <c r="B8" s="57" t="str">
        <f>IF(Table4[[#This Row],[T ID]]&gt;0,Table4[[#This Row],[T ID]],"")</f>
        <v>T01</v>
      </c>
      <c r="C8" s="195" t="str">
        <f>Table4[[#This Row],[Threat Event(s)]]</f>
        <v>Deliver undirected malware
(CAPEC-185)</v>
      </c>
      <c r="D8" s="204" t="str">
        <f>IF(Table4[[#This Row],[V ID]]&gt;0,Table4[[#This Row],[V ID]],"")</f>
        <v>V02</v>
      </c>
      <c r="E8" s="195" t="str">
        <f>Table4[[#This Row],[Vulnerabilities]]</f>
        <v>External communications and exposure for communciation channels from and to application and devices like tablet and smartmedic device.</v>
      </c>
      <c r="F8" s="205" t="str">
        <f>IF(Table4[[#This Row],[A ID]]&gt;0,Table4[[#This Row],[A ID]],"")</f>
        <v>A01</v>
      </c>
      <c r="G8" s="195" t="str">
        <f>Table4[[#This Row],[Asset]]</f>
        <v>Tablet Resources - web cam, microphone, OTG devices, Removable USB, Tablet Application, Network interfaces (Bluetooth, Wifi)</v>
      </c>
      <c r="H8" s="208" t="str">
        <f>IF(Table4[[#This Row],[Impact Description]]&gt;0,Table4[[#This Row],[Impact Description]],"")</f>
        <v xml:space="preserve">1) Malicious utilization of  computer resources 2) computing power  
3) denial of service attacks, 
4) ransomware attack 
5) Bitcoin mining, etc </v>
      </c>
      <c r="I8" s="204" t="str">
        <f>IF(Table4[[#This Row],[Safety Impact 
(Risk ID'# or N/A)]]&gt;0,Table4[[#This Row],[Safety Impact 
(Risk ID'# or N/A)]],"")</f>
        <v/>
      </c>
      <c r="J8" s="199" t="str">
        <f>Table4[[#This Row],[Security 
Risk 
Level]]</f>
        <v>LOW</v>
      </c>
      <c r="K8"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8" s="202" t="str">
        <f>Table4[[#This Row],[Security Risk LevelP]]</f>
        <v/>
      </c>
      <c r="M8" s="204" t="str">
        <f>IF(Table4[[#This Row],[Residual Security Risk Acceptability Justification]]&gt;0,Table4[[#This Row],[Residual Security Risk Acceptability Justification]],"")</f>
        <v/>
      </c>
      <c r="N8"/>
    </row>
    <row r="9" spans="1:14" s="53" customFormat="1" ht="70" x14ac:dyDescent="0.35">
      <c r="A9" s="203">
        <f>Table4[[#This Row],[
ID '#]]</f>
        <v>5</v>
      </c>
      <c r="B9" s="57" t="str">
        <f>IF(Table4[[#This Row],[T ID]]&gt;0,Table4[[#This Row],[T ID]],"")</f>
        <v>T01</v>
      </c>
      <c r="C9" s="195" t="str">
        <f>Table4[[#This Row],[Threat Event(s)]]</f>
        <v>Deliver undirected malware
(CAPEC-185)</v>
      </c>
      <c r="D9" s="204" t="str">
        <f>IF(Table4[[#This Row],[V ID]]&gt;0,Table4[[#This Row],[V ID]],"")</f>
        <v>V22</v>
      </c>
      <c r="E9" s="195" t="str">
        <f>Table4[[#This Row],[Vulnerabilities]]</f>
        <v>Legacy system identification if any</v>
      </c>
      <c r="F9" s="205" t="str">
        <f>IF(Table4[[#This Row],[A ID]]&gt;0,Table4[[#This Row],[A ID]],"")</f>
        <v>A03</v>
      </c>
      <c r="G9" s="195" t="str">
        <f>Table4[[#This Row],[Asset]]</f>
        <v>Smart medic (Stryker device) System Component</v>
      </c>
      <c r="H9" s="208" t="str">
        <f>IF(Table4[[#This Row],[Impact Description]]&gt;0,Table4[[#This Row],[Impact Description]],"")</f>
        <v xml:space="preserve">1) Malicious utilization of  computer resources 2) computing power  
3) denial of service attacks, 
4) ransomware attack 
5) Bitcoin mining, etc </v>
      </c>
      <c r="I9" s="204" t="str">
        <f>IF(Table4[[#This Row],[Safety Impact 
(Risk ID'# or N/A)]]&gt;0,Table4[[#This Row],[Safety Impact 
(Risk ID'# or N/A)]],"")</f>
        <v/>
      </c>
      <c r="J9" s="199" t="str">
        <f>Table4[[#This Row],[Security 
Risk 
Level]]</f>
        <v>LOW</v>
      </c>
      <c r="K9"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9" s="202" t="str">
        <f>Table4[[#This Row],[Security Risk LevelP]]</f>
        <v/>
      </c>
      <c r="M9" s="204" t="str">
        <f>IF(Table4[[#This Row],[Residual Security Risk Acceptability Justification]]&gt;0,Table4[[#This Row],[Residual Security Risk Acceptability Justification]],"")</f>
        <v/>
      </c>
      <c r="N9"/>
    </row>
    <row r="10" spans="1:14" s="53" customFormat="1" ht="70" x14ac:dyDescent="0.35">
      <c r="A10" s="203">
        <f>Table4[[#This Row],[
ID '#]]</f>
        <v>6</v>
      </c>
      <c r="B10" s="57" t="str">
        <f>IF(Table4[[#This Row],[T ID]]&gt;0,Table4[[#This Row],[T ID]],"")</f>
        <v>T01</v>
      </c>
      <c r="C10" s="195" t="str">
        <f>Table4[[#This Row],[Threat Event(s)]]</f>
        <v>Deliver undirected malware
(CAPEC-185)</v>
      </c>
      <c r="D10" s="204" t="str">
        <f>IF(Table4[[#This Row],[V ID]]&gt;0,Table4[[#This Row],[V ID]],"")</f>
        <v>V22</v>
      </c>
      <c r="E10" s="195" t="str">
        <f>Table4[[#This Row],[Vulnerabilities]]</f>
        <v>Legacy system identification if any</v>
      </c>
      <c r="F10" s="205" t="str">
        <f>IF(Table4[[#This Row],[A ID]]&gt;0,Table4[[#This Row],[A ID]],"")</f>
        <v>A01</v>
      </c>
      <c r="G10" s="195" t="str">
        <f>Table4[[#This Row],[Asset]]</f>
        <v>Tablet Resources - web cam, microphone, OTG devices, Removable USB, Tablet Application, Network interfaces (Bluetooth, Wifi)</v>
      </c>
      <c r="H10" s="208" t="str">
        <f>IF(Table4[[#This Row],[Impact Description]]&gt;0,Table4[[#This Row],[Impact Description]],"")</f>
        <v xml:space="preserve">1) Malicious utilization of  computer resources 2) computing power  
3) denial of service attacks, 
4) ransomware attack 
5) Bitcoin mining, etc </v>
      </c>
      <c r="I10" s="204" t="str">
        <f>IF(Table4[[#This Row],[Safety Impact 
(Risk ID'# or N/A)]]&gt;0,Table4[[#This Row],[Safety Impact 
(Risk ID'# or N/A)]],"")</f>
        <v/>
      </c>
      <c r="J10" s="199" t="str">
        <f>Table4[[#This Row],[Security 
Risk 
Level]]</f>
        <v>LOW</v>
      </c>
      <c r="K10"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0" s="202" t="str">
        <f>Table4[[#This Row],[Security Risk LevelP]]</f>
        <v/>
      </c>
      <c r="M10" s="204" t="str">
        <f>IF(Table4[[#This Row],[Residual Security Risk Acceptability Justification]]&gt;0,Table4[[#This Row],[Residual Security Risk Acceptability Justification]],"")</f>
        <v/>
      </c>
      <c r="N10"/>
    </row>
    <row r="11" spans="1:14" s="53" customFormat="1" ht="70" x14ac:dyDescent="0.35">
      <c r="A11" s="203">
        <f>Table4[[#This Row],[
ID '#]]</f>
        <v>7</v>
      </c>
      <c r="B11" s="57" t="str">
        <f>IF(Table4[[#This Row],[T ID]]&gt;0,Table4[[#This Row],[T ID]],"")</f>
        <v>T01</v>
      </c>
      <c r="C11" s="195" t="str">
        <f>Table4[[#This Row],[Threat Event(s)]]</f>
        <v>Deliver undirected malware
(CAPEC-185)</v>
      </c>
      <c r="D11" s="204" t="str">
        <f>IF(Table4[[#This Row],[V ID]]&gt;0,Table4[[#This Row],[V ID]],"")</f>
        <v>V08</v>
      </c>
      <c r="E11" s="195" t="str">
        <f>Table4[[#This Row],[Vulnerabilities]]</f>
        <v>Ineffective patch management of firware, OS and applications thoughout the information system plan</v>
      </c>
      <c r="F11" s="205" t="str">
        <f>IF(Table4[[#This Row],[A ID]]&gt;0,Table4[[#This Row],[A ID]],"")</f>
        <v>A05</v>
      </c>
      <c r="G11" s="195" t="str">
        <f>Table4[[#This Row],[Asset]]</f>
        <v>Device Maintainence tool (Hardware/Software)</v>
      </c>
      <c r="H11" s="208" t="str">
        <f>IF(Table4[[#This Row],[Impact Description]]&gt;0,Table4[[#This Row],[Impact Description]],"")</f>
        <v xml:space="preserve">1) Malicious utilization of  computer resources 2) computing power  
3) denial of service attacks, 
4) ransomware attack 
5) Bitcoin mining, etc </v>
      </c>
      <c r="I11" s="204" t="str">
        <f>IF(Table4[[#This Row],[Safety Impact 
(Risk ID'# or N/A)]]&gt;0,Table4[[#This Row],[Safety Impact 
(Risk ID'# or N/A)]],"")</f>
        <v/>
      </c>
      <c r="J11" s="199" t="str">
        <f>Table4[[#This Row],[Security 
Risk 
Level]]</f>
        <v>LOW</v>
      </c>
      <c r="K11"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1" s="202" t="str">
        <f>Table4[[#This Row],[Security Risk LevelP]]</f>
        <v/>
      </c>
      <c r="M11" s="204" t="str">
        <f>IF(Table4[[#This Row],[Residual Security Risk Acceptability Justification]]&gt;0,Table4[[#This Row],[Residual Security Risk Acceptability Justification]],"")</f>
        <v/>
      </c>
      <c r="N11"/>
    </row>
    <row r="12" spans="1:14" s="53" customFormat="1" ht="70" x14ac:dyDescent="0.35">
      <c r="A12" s="203">
        <f>Table4[[#This Row],[
ID '#]]</f>
        <v>8</v>
      </c>
      <c r="B12" s="57" t="str">
        <f>IF(Table4[[#This Row],[T ID]]&gt;0,Table4[[#This Row],[T ID]],"")</f>
        <v>T01</v>
      </c>
      <c r="C12" s="195" t="str">
        <f>Table4[[#This Row],[Threat Event(s)]]</f>
        <v>Deliver undirected malware
(CAPEC-185)</v>
      </c>
      <c r="D12" s="204" t="str">
        <f>IF(Table4[[#This Row],[V ID]]&gt;0,Table4[[#This Row],[V ID]],"")</f>
        <v>V08</v>
      </c>
      <c r="E12" s="195" t="str">
        <f>Table4[[#This Row],[Vulnerabilities]]</f>
        <v>Ineffective patch management of firware, OS and applications thoughout the information system plan</v>
      </c>
      <c r="F12" s="205" t="str">
        <f>IF(Table4[[#This Row],[A ID]]&gt;0,Table4[[#This Row],[A ID]],"")</f>
        <v>A01</v>
      </c>
      <c r="G12" s="195" t="str">
        <f>Table4[[#This Row],[Asset]]</f>
        <v>Tablet Resources - web cam, microphone, OTG devices, Removable USB, Tablet Application, Network interfaces (Bluetooth, Wifi)</v>
      </c>
      <c r="H12" s="208" t="str">
        <f>IF(Table4[[#This Row],[Impact Description]]&gt;0,Table4[[#This Row],[Impact Description]],"")</f>
        <v xml:space="preserve">1) Malicious utilization of  computer resources 2) computing power  
3) denial of service attacks, 
4) ransomware attack 
5) Bitcoin mining, etc </v>
      </c>
      <c r="I12" s="204" t="str">
        <f>IF(Table4[[#This Row],[Safety Impact 
(Risk ID'# or N/A)]]&gt;0,Table4[[#This Row],[Safety Impact 
(Risk ID'# or N/A)]],"")</f>
        <v/>
      </c>
      <c r="J12" s="199" t="str">
        <f>Table4[[#This Row],[Security 
Risk 
Level]]</f>
        <v>LOW</v>
      </c>
      <c r="K12"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2" s="202" t="str">
        <f>Table4[[#This Row],[Security Risk LevelP]]</f>
        <v/>
      </c>
      <c r="M12" s="204" t="str">
        <f>IF(Table4[[#This Row],[Residual Security Risk Acceptability Justification]]&gt;0,Table4[[#This Row],[Residual Security Risk Acceptability Justification]],"")</f>
        <v/>
      </c>
      <c r="N12"/>
    </row>
    <row r="13" spans="1:14" s="53" customFormat="1" ht="70" x14ac:dyDescent="0.35">
      <c r="A13" s="203">
        <f>Table4[[#This Row],[
ID '#]]</f>
        <v>9</v>
      </c>
      <c r="B13" s="57" t="str">
        <f>IF(Table4[[#This Row],[T ID]]&gt;0,Table4[[#This Row],[T ID]],"")</f>
        <v>T01</v>
      </c>
      <c r="C13" s="195" t="str">
        <f>Table4[[#This Row],[Threat Event(s)]]</f>
        <v>Deliver undirected malware
(CAPEC-185)</v>
      </c>
      <c r="D13" s="204" t="str">
        <f>IF(Table4[[#This Row],[V ID]]&gt;0,Table4[[#This Row],[V ID]],"")</f>
        <v>V08</v>
      </c>
      <c r="E13" s="195" t="str">
        <f>Table4[[#This Row],[Vulnerabilities]]</f>
        <v>Ineffective patch management of firware, OS and applications thoughout the information system plan</v>
      </c>
      <c r="F13" s="205" t="str">
        <f>IF(Table4[[#This Row],[A ID]]&gt;0,Table4[[#This Row],[A ID]],"")</f>
        <v>A03</v>
      </c>
      <c r="G13" s="195" t="str">
        <f>Table4[[#This Row],[Asset]]</f>
        <v>Smart medic (Stryker device) System Component</v>
      </c>
      <c r="H13" s="208" t="str">
        <f>IF(Table4[[#This Row],[Impact Description]]&gt;0,Table4[[#This Row],[Impact Description]],"")</f>
        <v xml:space="preserve">1) Malicious utilization of  computer resources 2) computing power  
3) denial of service attacks, 
4) ransomware attack 
5) Bitcoin mining, etc </v>
      </c>
      <c r="I13" s="204" t="str">
        <f>IF(Table4[[#This Row],[Safety Impact 
(Risk ID'# or N/A)]]&gt;0,Table4[[#This Row],[Safety Impact 
(Risk ID'# or N/A)]],"")</f>
        <v/>
      </c>
      <c r="J13" s="199" t="str">
        <f>Table4[[#This Row],[Security 
Risk 
Level]]</f>
        <v>LOW</v>
      </c>
      <c r="K13"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3" s="202" t="str">
        <f>Table4[[#This Row],[Security Risk LevelP]]</f>
        <v/>
      </c>
      <c r="M13" s="204" t="str">
        <f>IF(Table4[[#This Row],[Residual Security Risk Acceptability Justification]]&gt;0,Table4[[#This Row],[Residual Security Risk Acceptability Justification]],"")</f>
        <v/>
      </c>
      <c r="N13"/>
    </row>
    <row r="14" spans="1:14" s="53" customFormat="1" ht="70" x14ac:dyDescent="0.35">
      <c r="A14" s="203">
        <f>Table4[[#This Row],[
ID '#]]</f>
        <v>10</v>
      </c>
      <c r="B14" s="57" t="str">
        <f>IF(Table4[[#This Row],[T ID]]&gt;0,Table4[[#This Row],[T ID]],"")</f>
        <v>T01</v>
      </c>
      <c r="C14" s="195" t="str">
        <f>Table4[[#This Row],[Threat Event(s)]]</f>
        <v>Deliver undirected malware
(CAPEC-185)</v>
      </c>
      <c r="D14" s="204" t="str">
        <f>IF(Table4[[#This Row],[V ID]]&gt;0,Table4[[#This Row],[V ID]],"")</f>
        <v>V09</v>
      </c>
      <c r="E14" s="195" t="str">
        <f>Table4[[#This Row],[Vulnerabilities]]</f>
        <v xml:space="preserve">Lack of plan for periodic Software Vulnerability Management </v>
      </c>
      <c r="F14" s="205" t="str">
        <f>IF(Table4[[#This Row],[A ID]]&gt;0,Table4[[#This Row],[A ID]],"")</f>
        <v>A05</v>
      </c>
      <c r="G14" s="195" t="str">
        <f>Table4[[#This Row],[Asset]]</f>
        <v>Device Maintainence tool (Hardware/Software)</v>
      </c>
      <c r="H14" s="208" t="str">
        <f>IF(Table4[[#This Row],[Impact Description]]&gt;0,Table4[[#This Row],[Impact Description]],"")</f>
        <v xml:space="preserve">1) Malicious utilization of  computer resources 2) computing power  
3) denial of service attacks, 
4) ransomware attack 
5) Bitcoin mining, etc </v>
      </c>
      <c r="I14" s="204" t="str">
        <f>IF(Table4[[#This Row],[Safety Impact 
(Risk ID'# or N/A)]]&gt;0,Table4[[#This Row],[Safety Impact 
(Risk ID'# or N/A)]],"")</f>
        <v/>
      </c>
      <c r="J14" s="199" t="str">
        <f>Table4[[#This Row],[Security 
Risk 
Level]]</f>
        <v>LOW</v>
      </c>
      <c r="K14"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4" s="202" t="str">
        <f>Table4[[#This Row],[Security Risk LevelP]]</f>
        <v/>
      </c>
      <c r="M14" s="204" t="str">
        <f>IF(Table4[[#This Row],[Residual Security Risk Acceptability Justification]]&gt;0,Table4[[#This Row],[Residual Security Risk Acceptability Justification]],"")</f>
        <v/>
      </c>
      <c r="N14"/>
    </row>
    <row r="15" spans="1:14" s="53" customFormat="1" ht="70" x14ac:dyDescent="0.35">
      <c r="A15" s="203">
        <f>Table4[[#This Row],[
ID '#]]</f>
        <v>11</v>
      </c>
      <c r="B15" s="57" t="str">
        <f>IF(Table4[[#This Row],[T ID]]&gt;0,Table4[[#This Row],[T ID]],"")</f>
        <v>T01</v>
      </c>
      <c r="C15" s="195" t="str">
        <f>Table4[[#This Row],[Threat Event(s)]]</f>
        <v>Deliver undirected malware
(CAPEC-185)</v>
      </c>
      <c r="D15" s="204" t="str">
        <f>IF(Table4[[#This Row],[V ID]]&gt;0,Table4[[#This Row],[V ID]],"")</f>
        <v>V09</v>
      </c>
      <c r="E15" s="195" t="str">
        <f>Table4[[#This Row],[Vulnerabilities]]</f>
        <v xml:space="preserve">Lack of plan for periodic Software Vulnerability Management </v>
      </c>
      <c r="F15" s="205" t="str">
        <f>IF(Table4[[#This Row],[A ID]]&gt;0,Table4[[#This Row],[A ID]],"")</f>
        <v>A01</v>
      </c>
      <c r="G15" s="195" t="str">
        <f>Table4[[#This Row],[Asset]]</f>
        <v>Tablet Resources - web cam, microphone, OTG devices, Removable USB, Tablet Application, Network interfaces (Bluetooth, Wifi)</v>
      </c>
      <c r="H15" s="208" t="str">
        <f>IF(Table4[[#This Row],[Impact Description]]&gt;0,Table4[[#This Row],[Impact Description]],"")</f>
        <v xml:space="preserve">1) Malicious utilization of  computer resources 2) computing power  
3) denial of service attacks, 
4) ransomware attack 
5) Bitcoin mining, etc </v>
      </c>
      <c r="I15" s="204" t="str">
        <f>IF(Table4[[#This Row],[Safety Impact 
(Risk ID'# or N/A)]]&gt;0,Table4[[#This Row],[Safety Impact 
(Risk ID'# or N/A)]],"")</f>
        <v/>
      </c>
      <c r="J15" s="199" t="str">
        <f>Table4[[#This Row],[Security 
Risk 
Level]]</f>
        <v>LOW</v>
      </c>
      <c r="K15"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5" s="202" t="str">
        <f>Table4[[#This Row],[Security Risk LevelP]]</f>
        <v/>
      </c>
      <c r="M15" s="204" t="str">
        <f>IF(Table4[[#This Row],[Residual Security Risk Acceptability Justification]]&gt;0,Table4[[#This Row],[Residual Security Risk Acceptability Justification]],"")</f>
        <v/>
      </c>
      <c r="N15"/>
    </row>
    <row r="16" spans="1:14" s="53" customFormat="1" ht="70" x14ac:dyDescent="0.35">
      <c r="A16" s="203">
        <f>Table4[[#This Row],[
ID '#]]</f>
        <v>12</v>
      </c>
      <c r="B16" s="57" t="str">
        <f>IF(Table4[[#This Row],[T ID]]&gt;0,Table4[[#This Row],[T ID]],"")</f>
        <v>T01</v>
      </c>
      <c r="C16" s="195" t="str">
        <f>Table4[[#This Row],[Threat Event(s)]]</f>
        <v>Deliver undirected malware
(CAPEC-185)</v>
      </c>
      <c r="D16" s="204" t="str">
        <f>IF(Table4[[#This Row],[V ID]]&gt;0,Table4[[#This Row],[V ID]],"")</f>
        <v>V09</v>
      </c>
      <c r="E16" s="195" t="str">
        <f>Table4[[#This Row],[Vulnerabilities]]</f>
        <v xml:space="preserve">Lack of plan for periodic Software Vulnerability Management </v>
      </c>
      <c r="F16" s="205" t="str">
        <f>IF(Table4[[#This Row],[A ID]]&gt;0,Table4[[#This Row],[A ID]],"")</f>
        <v>A03</v>
      </c>
      <c r="G16" s="195" t="str">
        <f>Table4[[#This Row],[Asset]]</f>
        <v>Smart medic (Stryker device) System Component</v>
      </c>
      <c r="H16" s="208" t="str">
        <f>IF(Table4[[#This Row],[Impact Description]]&gt;0,Table4[[#This Row],[Impact Description]],"")</f>
        <v xml:space="preserve">1) Malicious utilization of  computer resources 2) computing power  
3) denial of service attacks, 
4) ransomware attack 
5) Bitcoin mining, etc </v>
      </c>
      <c r="I16" s="204" t="str">
        <f>IF(Table4[[#This Row],[Safety Impact 
(Risk ID'# or N/A)]]&gt;0,Table4[[#This Row],[Safety Impact 
(Risk ID'# or N/A)]],"")</f>
        <v/>
      </c>
      <c r="J16" s="199" t="str">
        <f>Table4[[#This Row],[Security 
Risk 
Level]]</f>
        <v>LOW</v>
      </c>
      <c r="K16"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6" s="202" t="str">
        <f>Table4[[#This Row],[Security Risk LevelP]]</f>
        <v/>
      </c>
      <c r="M16" s="204" t="str">
        <f>IF(Table4[[#This Row],[Residual Security Risk Acceptability Justification]]&gt;0,Table4[[#This Row],[Residual Security Risk Acceptability Justification]],"")</f>
        <v/>
      </c>
      <c r="N16"/>
    </row>
    <row r="17" spans="1:14" s="53" customFormat="1" ht="70" x14ac:dyDescent="0.35">
      <c r="A17" s="203">
        <f>Table4[[#This Row],[
ID '#]]</f>
        <v>13</v>
      </c>
      <c r="B17" s="57" t="str">
        <f>IF(Table4[[#This Row],[T ID]]&gt;0,Table4[[#This Row],[T ID]],"")</f>
        <v>T01</v>
      </c>
      <c r="C17" s="195" t="str">
        <f>Table4[[#This Row],[Threat Event(s)]]</f>
        <v>Deliver undirected malware
(CAPEC-185)</v>
      </c>
      <c r="D17" s="204" t="str">
        <f>IF(Table4[[#This Row],[V ID]]&gt;0,Table4[[#This Row],[V ID]],"")</f>
        <v>V12</v>
      </c>
      <c r="E17" s="195" t="str">
        <f>Table4[[#This Row],[Vulnerabilities]]</f>
        <v>Unprotected network port(s) on network devices and connection points</v>
      </c>
      <c r="F17" s="205" t="str">
        <f>IF(Table4[[#This Row],[A ID]]&gt;0,Table4[[#This Row],[A ID]],"")</f>
        <v>A01</v>
      </c>
      <c r="G17" s="195" t="str">
        <f>Table4[[#This Row],[Asset]]</f>
        <v>Tablet Resources - web cam, microphone, OTG devices, Removable USB, Tablet Application, Network interfaces (Bluetooth, Wifi)</v>
      </c>
      <c r="H17" s="208" t="str">
        <f>IF(Table4[[#This Row],[Impact Description]]&gt;0,Table4[[#This Row],[Impact Description]],"")</f>
        <v xml:space="preserve">1) Malicious utilization of  computer resources 2) computing power  
3) denial of service attacks, 
4) ransomware attack 
5) Bitcoin mining, etc </v>
      </c>
      <c r="I17" s="204" t="str">
        <f>IF(Table4[[#This Row],[Safety Impact 
(Risk ID'# or N/A)]]&gt;0,Table4[[#This Row],[Safety Impact 
(Risk ID'# or N/A)]],"")</f>
        <v/>
      </c>
      <c r="J17" s="199" t="str">
        <f>Table4[[#This Row],[Security 
Risk 
Level]]</f>
        <v>LOW</v>
      </c>
      <c r="K17"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7" s="202" t="str">
        <f>Table4[[#This Row],[Security Risk LevelP]]</f>
        <v/>
      </c>
      <c r="M17" s="204" t="str">
        <f>IF(Table4[[#This Row],[Residual Security Risk Acceptability Justification]]&gt;0,Table4[[#This Row],[Residual Security Risk Acceptability Justification]],"")</f>
        <v/>
      </c>
      <c r="N17"/>
    </row>
    <row r="18" spans="1:14" s="53" customFormat="1" ht="70" x14ac:dyDescent="0.35">
      <c r="A18" s="203">
        <f>Table4[[#This Row],[
ID '#]]</f>
        <v>14</v>
      </c>
      <c r="B18" s="57" t="str">
        <f>IF(Table4[[#This Row],[T ID]]&gt;0,Table4[[#This Row],[T ID]],"")</f>
        <v>T01</v>
      </c>
      <c r="C18" s="195" t="str">
        <f>Table4[[#This Row],[Threat Event(s)]]</f>
        <v>Deliver undirected malware
(CAPEC-185)</v>
      </c>
      <c r="D18" s="204" t="str">
        <f>IF(Table4[[#This Row],[V ID]]&gt;0,Table4[[#This Row],[V ID]],"")</f>
        <v>V12</v>
      </c>
      <c r="E18" s="195" t="str">
        <f>Table4[[#This Row],[Vulnerabilities]]</f>
        <v>Unprotected network port(s) on network devices and connection points</v>
      </c>
      <c r="F18" s="205" t="str">
        <f>IF(Table4[[#This Row],[A ID]]&gt;0,Table4[[#This Row],[A ID]],"")</f>
        <v>A03</v>
      </c>
      <c r="G18" s="195" t="str">
        <f>Table4[[#This Row],[Asset]]</f>
        <v>Smart medic (Stryker device) System Component</v>
      </c>
      <c r="H18" s="208" t="str">
        <f>IF(Table4[[#This Row],[Impact Description]]&gt;0,Table4[[#This Row],[Impact Description]],"")</f>
        <v xml:space="preserve">1) Malicious utilization of  computer resources 2) computing power  
3) denial of service attacks, 
4) ransomware attack 
5) Bitcoin mining, etc </v>
      </c>
      <c r="I18" s="204" t="str">
        <f>IF(Table4[[#This Row],[Safety Impact 
(Risk ID'# or N/A)]]&gt;0,Table4[[#This Row],[Safety Impact 
(Risk ID'# or N/A)]],"")</f>
        <v/>
      </c>
      <c r="J18" s="199" t="str">
        <f>Table4[[#This Row],[Security 
Risk 
Level]]</f>
        <v>LOW</v>
      </c>
      <c r="K18"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8" s="202" t="str">
        <f>Table4[[#This Row],[Security Risk LevelP]]</f>
        <v/>
      </c>
      <c r="M18" s="204" t="str">
        <f>IF(Table4[[#This Row],[Residual Security Risk Acceptability Justification]]&gt;0,Table4[[#This Row],[Residual Security Risk Acceptability Justification]],"")</f>
        <v/>
      </c>
      <c r="N18"/>
    </row>
    <row r="19" spans="1:14" s="53" customFormat="1" ht="70" x14ac:dyDescent="0.35">
      <c r="A19" s="203">
        <f>Table4[[#This Row],[
ID '#]]</f>
        <v>15</v>
      </c>
      <c r="B19" s="57" t="str">
        <f>IF(Table4[[#This Row],[T ID]]&gt;0,Table4[[#This Row],[T ID]],"")</f>
        <v>T01</v>
      </c>
      <c r="C19" s="195" t="str">
        <f>Table4[[#This Row],[Threat Event(s)]]</f>
        <v>Deliver undirected malware
(CAPEC-185)</v>
      </c>
      <c r="D19" s="204" t="str">
        <f>IF(Table4[[#This Row],[V ID]]&gt;0,Table4[[#This Row],[V ID]],"")</f>
        <v>V16</v>
      </c>
      <c r="E19" s="195" t="str">
        <f>Table4[[#This Row],[Vulnerabilities]]</f>
        <v>Unencrypted data at rest in all possible locations</v>
      </c>
      <c r="F19" s="205" t="str">
        <f>IF(Table4[[#This Row],[A ID]]&gt;0,Table4[[#This Row],[A ID]],"")</f>
        <v>A01</v>
      </c>
      <c r="G19" s="195" t="str">
        <f>Table4[[#This Row],[Asset]]</f>
        <v>Tablet Resources - web cam, microphone, OTG devices, Removable USB, Tablet Application, Network interfaces (Bluetooth, Wifi)</v>
      </c>
      <c r="H19" s="208" t="str">
        <f>IF(Table4[[#This Row],[Impact Description]]&gt;0,Table4[[#This Row],[Impact Description]],"")</f>
        <v xml:space="preserve">1) Malicious utilization of  computer resources 2) computing power  
3) denial of service attacks, 
4) ransomware attack 
5) Bitcoin mining, etc </v>
      </c>
      <c r="I19" s="204" t="str">
        <f>IF(Table4[[#This Row],[Safety Impact 
(Risk ID'# or N/A)]]&gt;0,Table4[[#This Row],[Safety Impact 
(Risk ID'# or N/A)]],"")</f>
        <v/>
      </c>
      <c r="J19" s="199" t="str">
        <f>Table4[[#This Row],[Security 
Risk 
Level]]</f>
        <v>LOW</v>
      </c>
      <c r="K19"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19" s="202" t="str">
        <f>Table4[[#This Row],[Security Risk LevelP]]</f>
        <v/>
      </c>
      <c r="M19" s="204" t="str">
        <f>IF(Table4[[#This Row],[Residual Security Risk Acceptability Justification]]&gt;0,Table4[[#This Row],[Residual Security Risk Acceptability Justification]],"")</f>
        <v/>
      </c>
      <c r="N19"/>
    </row>
    <row r="20" spans="1:14" s="53" customFormat="1" ht="70" x14ac:dyDescent="0.35">
      <c r="A20" s="203">
        <f>Table4[[#This Row],[
ID '#]]</f>
        <v>16</v>
      </c>
      <c r="B20" s="57" t="str">
        <f>IF(Table4[[#This Row],[T ID]]&gt;0,Table4[[#This Row],[T ID]],"")</f>
        <v>T01</v>
      </c>
      <c r="C20" s="195" t="str">
        <f>Table4[[#This Row],[Threat Event(s)]]</f>
        <v>Deliver undirected malware
(CAPEC-185)</v>
      </c>
      <c r="D20" s="204" t="str">
        <f>IF(Table4[[#This Row],[V ID]]&gt;0,Table4[[#This Row],[V ID]],"")</f>
        <v>V17</v>
      </c>
      <c r="E20" s="195" t="str">
        <f>Table4[[#This Row],[Vulnerabilities]]</f>
        <v>Unencrypted data in transit in all flowchannels</v>
      </c>
      <c r="F20" s="205" t="str">
        <f>IF(Table4[[#This Row],[A ID]]&gt;0,Table4[[#This Row],[A ID]],"")</f>
        <v>A03</v>
      </c>
      <c r="G20" s="195" t="str">
        <f>Table4[[#This Row],[Asset]]</f>
        <v>Smart medic (Stryker device) System Component</v>
      </c>
      <c r="H20" s="208" t="str">
        <f>IF(Table4[[#This Row],[Impact Description]]&gt;0,Table4[[#This Row],[Impact Description]],"")</f>
        <v xml:space="preserve">1) Malicious utilization of  computer resources 2) computing power  
3) denial of service attacks, 
4) ransomware attack 
5) Bitcoin mining, etc </v>
      </c>
      <c r="I20" s="204" t="str">
        <f>IF(Table4[[#This Row],[Safety Impact 
(Risk ID'# or N/A)]]&gt;0,Table4[[#This Row],[Safety Impact 
(Risk ID'# or N/A)]],"")</f>
        <v/>
      </c>
      <c r="J20" s="199" t="str">
        <f>Table4[[#This Row],[Security 
Risk 
Level]]</f>
        <v>LOW</v>
      </c>
      <c r="K20"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0" s="202" t="str">
        <f>Table4[[#This Row],[Security Risk LevelP]]</f>
        <v/>
      </c>
      <c r="M20" s="204" t="str">
        <f>IF(Table4[[#This Row],[Residual Security Risk Acceptability Justification]]&gt;0,Table4[[#This Row],[Residual Security Risk Acceptability Justification]],"")</f>
        <v/>
      </c>
      <c r="N20"/>
    </row>
    <row r="21" spans="1:14" s="53" customFormat="1" ht="70" x14ac:dyDescent="0.35">
      <c r="A21" s="203">
        <f>Table4[[#This Row],[
ID '#]]</f>
        <v>17</v>
      </c>
      <c r="B21" s="57" t="str">
        <f>IF(Table4[[#This Row],[T ID]]&gt;0,Table4[[#This Row],[T ID]],"")</f>
        <v>T01</v>
      </c>
      <c r="C21" s="195" t="str">
        <f>Table4[[#This Row],[Threat Event(s)]]</f>
        <v>Deliver undirected malware
(CAPEC-185)</v>
      </c>
      <c r="D21" s="204" t="str">
        <f>IF(Table4[[#This Row],[V ID]]&gt;0,Table4[[#This Row],[V ID]],"")</f>
        <v>V17</v>
      </c>
      <c r="E21" s="195" t="str">
        <f>Table4[[#This Row],[Vulnerabilities]]</f>
        <v>Unencrypted data in transit in all flowchannels</v>
      </c>
      <c r="F21" s="205" t="str">
        <f>IF(Table4[[#This Row],[A ID]]&gt;0,Table4[[#This Row],[A ID]],"")</f>
        <v>A01</v>
      </c>
      <c r="G21" s="195" t="str">
        <f>Table4[[#This Row],[Asset]]</f>
        <v>Tablet Resources - web cam, microphone, OTG devices, Removable USB, Tablet Application, Network interfaces (Bluetooth, Wifi)</v>
      </c>
      <c r="H21" s="208" t="str">
        <f>IF(Table4[[#This Row],[Impact Description]]&gt;0,Table4[[#This Row],[Impact Description]],"")</f>
        <v xml:space="preserve">1) Malicious utilization of  computer resources 2) computing power  
3) denial of service attacks, 
4) ransomware attack 
5) Bitcoin mining, etc </v>
      </c>
      <c r="I21" s="204" t="str">
        <f>IF(Table4[[#This Row],[Safety Impact 
(Risk ID'# or N/A)]]&gt;0,Table4[[#This Row],[Safety Impact 
(Risk ID'# or N/A)]],"")</f>
        <v/>
      </c>
      <c r="J21" s="199" t="str">
        <f>Table4[[#This Row],[Security 
Risk 
Level]]</f>
        <v>LOW</v>
      </c>
      <c r="K21"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1" s="202" t="str">
        <f>Table4[[#This Row],[Security Risk LevelP]]</f>
        <v/>
      </c>
      <c r="M21" s="204" t="str">
        <f>IF(Table4[[#This Row],[Residual Security Risk Acceptability Justification]]&gt;0,Table4[[#This Row],[Residual Security Risk Acceptability Justification]],"")</f>
        <v/>
      </c>
      <c r="N21"/>
    </row>
    <row r="22" spans="1:14" s="53" customFormat="1" ht="70" x14ac:dyDescent="0.35">
      <c r="A22" s="203">
        <f>Table4[[#This Row],[
ID '#]]</f>
        <v>18</v>
      </c>
      <c r="B22" s="57" t="str">
        <f>IF(Table4[[#This Row],[T ID]]&gt;0,Table4[[#This Row],[T ID]],"")</f>
        <v>T01</v>
      </c>
      <c r="C22" s="195" t="str">
        <f>Table4[[#This Row],[Threat Event(s)]]</f>
        <v>Deliver undirected malware
(CAPEC-185)</v>
      </c>
      <c r="D22" s="204" t="str">
        <f>IF(Table4[[#This Row],[V ID]]&gt;0,Table4[[#This Row],[V ID]],"")</f>
        <v>V23</v>
      </c>
      <c r="E22" s="195" t="str">
        <f>Table4[[#This Row],[Vulnerabilities]]</f>
        <v>Outdated  - Software/Hardware</v>
      </c>
      <c r="F22" s="205" t="str">
        <f>IF(Table4[[#This Row],[A ID]]&gt;0,Table4[[#This Row],[A ID]],"")</f>
        <v>A05</v>
      </c>
      <c r="G22" s="195" t="str">
        <f>Table4[[#This Row],[Asset]]</f>
        <v>Device Maintainence tool (Hardware/Software)</v>
      </c>
      <c r="H22" s="208" t="str">
        <f>IF(Table4[[#This Row],[Impact Description]]&gt;0,Table4[[#This Row],[Impact Description]],"")</f>
        <v xml:space="preserve">1) Malicious utilization of  computer resources 2) computing power  
3) denial of service attacks, 
4) ransomware attack 
5) Bitcoin mining, etc </v>
      </c>
      <c r="I22" s="204" t="str">
        <f>IF(Table4[[#This Row],[Safety Impact 
(Risk ID'# or N/A)]]&gt;0,Table4[[#This Row],[Safety Impact 
(Risk ID'# or N/A)]],"")</f>
        <v/>
      </c>
      <c r="J22" s="199" t="str">
        <f>Table4[[#This Row],[Security 
Risk 
Level]]</f>
        <v>LOW</v>
      </c>
      <c r="K22"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2" s="202" t="str">
        <f>Table4[[#This Row],[Security Risk LevelP]]</f>
        <v/>
      </c>
      <c r="M22" s="204" t="str">
        <f>IF(Table4[[#This Row],[Residual Security Risk Acceptability Justification]]&gt;0,Table4[[#This Row],[Residual Security Risk Acceptability Justification]],"")</f>
        <v/>
      </c>
      <c r="N22"/>
    </row>
    <row r="23" spans="1:14" s="53" customFormat="1" ht="70" x14ac:dyDescent="0.35">
      <c r="A23" s="203">
        <f>Table4[[#This Row],[
ID '#]]</f>
        <v>19</v>
      </c>
      <c r="B23" s="57" t="str">
        <f>IF(Table4[[#This Row],[T ID]]&gt;0,Table4[[#This Row],[T ID]],"")</f>
        <v>T01</v>
      </c>
      <c r="C23" s="195" t="str">
        <f>Table4[[#This Row],[Threat Event(s)]]</f>
        <v>Deliver undirected malware
(CAPEC-185)</v>
      </c>
      <c r="D23" s="204" t="str">
        <f>IF(Table4[[#This Row],[V ID]]&gt;0,Table4[[#This Row],[V ID]],"")</f>
        <v>V23</v>
      </c>
      <c r="E23" s="195" t="str">
        <f>Table4[[#This Row],[Vulnerabilities]]</f>
        <v>Outdated  - Software/Hardware</v>
      </c>
      <c r="F23" s="205" t="str">
        <f>IF(Table4[[#This Row],[A ID]]&gt;0,Table4[[#This Row],[A ID]],"")</f>
        <v>A03</v>
      </c>
      <c r="G23" s="195" t="str">
        <f>Table4[[#This Row],[Asset]]</f>
        <v>Smart medic (Stryker device) System Component</v>
      </c>
      <c r="H23" s="208" t="str">
        <f>IF(Table4[[#This Row],[Impact Description]]&gt;0,Table4[[#This Row],[Impact Description]],"")</f>
        <v xml:space="preserve">1) Malicious utilization of  computer resources 2) computing power  
3) denial of service attacks, 
4) ransomware attack 
5) Bitcoin mining, etc </v>
      </c>
      <c r="I23" s="204" t="str">
        <f>IF(Table4[[#This Row],[Safety Impact 
(Risk ID'# or N/A)]]&gt;0,Table4[[#This Row],[Safety Impact 
(Risk ID'# or N/A)]],"")</f>
        <v/>
      </c>
      <c r="J23" s="199" t="str">
        <f>Table4[[#This Row],[Security 
Risk 
Level]]</f>
        <v>LOW</v>
      </c>
      <c r="K23"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3" s="202" t="str">
        <f>Table4[[#This Row],[Security Risk LevelP]]</f>
        <v/>
      </c>
      <c r="M23" s="204" t="str">
        <f>IF(Table4[[#This Row],[Residual Security Risk Acceptability Justification]]&gt;0,Table4[[#This Row],[Residual Security Risk Acceptability Justification]],"")</f>
        <v/>
      </c>
      <c r="N23"/>
    </row>
    <row r="24" spans="1:14" s="53" customFormat="1" ht="70" x14ac:dyDescent="0.35">
      <c r="A24" s="203">
        <f>Table4[[#This Row],[
ID '#]]</f>
        <v>20</v>
      </c>
      <c r="B24" s="57" t="str">
        <f>IF(Table4[[#This Row],[T ID]]&gt;0,Table4[[#This Row],[T ID]],"")</f>
        <v>T01</v>
      </c>
      <c r="C24" s="195" t="str">
        <f>Table4[[#This Row],[Threat Event(s)]]</f>
        <v>Deliver undirected malware
(CAPEC-185)</v>
      </c>
      <c r="D24" s="204" t="str">
        <f>IF(Table4[[#This Row],[V ID]]&gt;0,Table4[[#This Row],[V ID]],"")</f>
        <v>V23</v>
      </c>
      <c r="E24" s="195" t="str">
        <f>Table4[[#This Row],[Vulnerabilities]]</f>
        <v>Outdated  - Software/Hardware</v>
      </c>
      <c r="F24" s="205" t="str">
        <f>IF(Table4[[#This Row],[A ID]]&gt;0,Table4[[#This Row],[A ID]],"")</f>
        <v>A01</v>
      </c>
      <c r="G24" s="195" t="str">
        <f>Table4[[#This Row],[Asset]]</f>
        <v>Tablet Resources - web cam, microphone, OTG devices, Removable USB, Tablet Application, Network interfaces (Bluetooth, Wifi)</v>
      </c>
      <c r="H24" s="208" t="str">
        <f>IF(Table4[[#This Row],[Impact Description]]&gt;0,Table4[[#This Row],[Impact Description]],"")</f>
        <v xml:space="preserve">1) Malicious utilization of  computer resources 2) computing power  
3) denial of service attacks, 
4) ransomware attack 
5) Bitcoin mining, etc </v>
      </c>
      <c r="I24" s="204" t="str">
        <f>IF(Table4[[#This Row],[Safety Impact 
(Risk ID'# or N/A)]]&gt;0,Table4[[#This Row],[Safety Impact 
(Risk ID'# or N/A)]],"")</f>
        <v/>
      </c>
      <c r="J24" s="199" t="str">
        <f>Table4[[#This Row],[Security 
Risk 
Level]]</f>
        <v>LOW</v>
      </c>
      <c r="K24"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4" s="202" t="str">
        <f>Table4[[#This Row],[Security Risk LevelP]]</f>
        <v/>
      </c>
      <c r="M24" s="204" t="str">
        <f>IF(Table4[[#This Row],[Residual Security Risk Acceptability Justification]]&gt;0,Table4[[#This Row],[Residual Security Risk Acceptability Justification]],"")</f>
        <v/>
      </c>
      <c r="N24"/>
    </row>
    <row r="25" spans="1:14" s="53" customFormat="1" ht="70" x14ac:dyDescent="0.35">
      <c r="A25" s="203">
        <f>Table4[[#This Row],[
ID '#]]</f>
        <v>21</v>
      </c>
      <c r="B25" s="57" t="str">
        <f>IF(Table4[[#This Row],[T ID]]&gt;0,Table4[[#This Row],[T ID]],"")</f>
        <v>T02</v>
      </c>
      <c r="C25" s="195" t="str">
        <f>Table4[[#This Row],[Threat Event(s)]]</f>
        <v>Deliver directed malware
(CAPEC-185)</v>
      </c>
      <c r="D25" s="204" t="str">
        <f>IF(Table4[[#This Row],[V ID]]&gt;0,Table4[[#This Row],[V ID]],"")</f>
        <v>V21</v>
      </c>
      <c r="E25" s="195" t="str">
        <f>Table4[[#This Row],[Vulnerabilities]]</f>
        <v>InSecure Configuration for Software/OS on Mobile Devices, Laptops, Workstations, and Servers</v>
      </c>
      <c r="F25" s="205" t="str">
        <f>IF(Table4[[#This Row],[A ID]]&gt;0,Table4[[#This Row],[A ID]],"")</f>
        <v>A05</v>
      </c>
      <c r="G25" s="195" t="str">
        <f>Table4[[#This Row],[Asset]]</f>
        <v>Device Maintainence tool (Hardware/Software)</v>
      </c>
      <c r="H25" s="208" t="str">
        <f>IF(Table4[[#This Row],[Impact Description]]&gt;0,Table4[[#This Row],[Impact Description]],"")</f>
        <v xml:space="preserve">1) Malicious utilization of  computer resources 2) computing power  
3) denial of service attacks, 
4) ransomware attack 
5) Bitcoin mining, etc </v>
      </c>
      <c r="I25" s="204" t="str">
        <f>IF(Table4[[#This Row],[Safety Impact 
(Risk ID'# or N/A)]]&gt;0,Table4[[#This Row],[Safety Impact 
(Risk ID'# or N/A)]],"")</f>
        <v/>
      </c>
      <c r="J25" s="199" t="str">
        <f>Table4[[#This Row],[Security 
Risk 
Level]]</f>
        <v>LOW</v>
      </c>
      <c r="K25"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5" s="202" t="str">
        <f>Table4[[#This Row],[Security Risk LevelP]]</f>
        <v>MEDIUM</v>
      </c>
      <c r="M25" s="204" t="str">
        <f>IF(Table4[[#This Row],[Residual Security Risk Acceptability Justification]]&gt;0,Table4[[#This Row],[Residual Security Risk Acceptability Justification]],"")</f>
        <v>Justification</v>
      </c>
      <c r="N25"/>
    </row>
    <row r="26" spans="1:14" s="53" customFormat="1" ht="70" x14ac:dyDescent="0.35">
      <c r="A26" s="203">
        <f>Table4[[#This Row],[
ID '#]]</f>
        <v>22</v>
      </c>
      <c r="B26" s="57" t="str">
        <f>IF(Table4[[#This Row],[T ID]]&gt;0,Table4[[#This Row],[T ID]],"")</f>
        <v>T02</v>
      </c>
      <c r="C26" s="195" t="str">
        <f>Table4[[#This Row],[Threat Event(s)]]</f>
        <v>Deliver directed malware
(CAPEC-185)</v>
      </c>
      <c r="D26" s="204" t="str">
        <f>IF(Table4[[#This Row],[V ID]]&gt;0,Table4[[#This Row],[V ID]],"")</f>
        <v>V21</v>
      </c>
      <c r="E26" s="195" t="str">
        <f>Table4[[#This Row],[Vulnerabilities]]</f>
        <v>InSecure Configuration for Software/OS on Mobile Devices, Laptops, Workstations, and Servers</v>
      </c>
      <c r="F26" s="205" t="str">
        <f>IF(Table4[[#This Row],[A ID]]&gt;0,Table4[[#This Row],[A ID]],"")</f>
        <v>A03</v>
      </c>
      <c r="G26" s="195" t="str">
        <f>Table4[[#This Row],[Asset]]</f>
        <v>Smart medic (Stryker device) System Component</v>
      </c>
      <c r="H26" s="208" t="str">
        <f>IF(Table4[[#This Row],[Impact Description]]&gt;0,Table4[[#This Row],[Impact Description]],"")</f>
        <v xml:space="preserve">1) Malicious utilization of  computer resources 2) computing power  
3) denial of service attacks, 
4) ransomware attack 
5) Bitcoin mining, etc </v>
      </c>
      <c r="I26" s="204" t="str">
        <f>IF(Table4[[#This Row],[Safety Impact 
(Risk ID'# or N/A)]]&gt;0,Table4[[#This Row],[Safety Impact 
(Risk ID'# or N/A)]],"")</f>
        <v/>
      </c>
      <c r="J26" s="199" t="str">
        <f>Table4[[#This Row],[Security 
Risk 
Level]]</f>
        <v>LOW</v>
      </c>
      <c r="K26"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6" s="202" t="str">
        <f>Table4[[#This Row],[Security Risk LevelP]]</f>
        <v/>
      </c>
      <c r="M26" s="204" t="str">
        <f>IF(Table4[[#This Row],[Residual Security Risk Acceptability Justification]]&gt;0,Table4[[#This Row],[Residual Security Risk Acceptability Justification]],"")</f>
        <v/>
      </c>
      <c r="N26"/>
    </row>
    <row r="27" spans="1:14" s="53" customFormat="1" ht="70" x14ac:dyDescent="0.35">
      <c r="A27" s="203">
        <f>Table4[[#This Row],[
ID '#]]</f>
        <v>23</v>
      </c>
      <c r="B27" s="57" t="str">
        <f>IF(Table4[[#This Row],[T ID]]&gt;0,Table4[[#This Row],[T ID]],"")</f>
        <v>T02</v>
      </c>
      <c r="C27" s="195" t="str">
        <f>Table4[[#This Row],[Threat Event(s)]]</f>
        <v>Deliver directed malware
(CAPEC-185)</v>
      </c>
      <c r="D27" s="204" t="str">
        <f>IF(Table4[[#This Row],[V ID]]&gt;0,Table4[[#This Row],[V ID]],"")</f>
        <v>V21</v>
      </c>
      <c r="E27" s="195" t="str">
        <f>Table4[[#This Row],[Vulnerabilities]]</f>
        <v>InSecure Configuration for Software/OS on Mobile Devices, Laptops, Workstations, and Servers</v>
      </c>
      <c r="F27" s="205" t="str">
        <f>IF(Table4[[#This Row],[A ID]]&gt;0,Table4[[#This Row],[A ID]],"")</f>
        <v>A01</v>
      </c>
      <c r="G27" s="195" t="str">
        <f>Table4[[#This Row],[Asset]]</f>
        <v>Tablet Resources - web cam, microphone, OTG devices, Removable USB, Tablet Application, Network interfaces (Bluetooth, Wifi)</v>
      </c>
      <c r="H27" s="208" t="str">
        <f>IF(Table4[[#This Row],[Impact Description]]&gt;0,Table4[[#This Row],[Impact Description]],"")</f>
        <v xml:space="preserve">1) Malicious utilization of  computer resources 2) computing power  
3) denial of service attacks, 
4) ransomware attack 
5) Bitcoin mining, etc </v>
      </c>
      <c r="I27" s="204" t="str">
        <f>IF(Table4[[#This Row],[Safety Impact 
(Risk ID'# or N/A)]]&gt;0,Table4[[#This Row],[Safety Impact 
(Risk ID'# or N/A)]],"")</f>
        <v/>
      </c>
      <c r="J27" s="199" t="str">
        <f>Table4[[#This Row],[Security 
Risk 
Level]]</f>
        <v>LOW</v>
      </c>
      <c r="K27"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7" s="202" t="str">
        <f>Table4[[#This Row],[Security Risk LevelP]]</f>
        <v/>
      </c>
      <c r="M27" s="204" t="str">
        <f>IF(Table4[[#This Row],[Residual Security Risk Acceptability Justification]]&gt;0,Table4[[#This Row],[Residual Security Risk Acceptability Justification]],"")</f>
        <v/>
      </c>
      <c r="N27"/>
    </row>
    <row r="28" spans="1:14" s="53" customFormat="1" ht="70" x14ac:dyDescent="0.35">
      <c r="A28" s="203">
        <f>Table4[[#This Row],[
ID '#]]</f>
        <v>24</v>
      </c>
      <c r="B28" s="57" t="str">
        <f>IF(Table4[[#This Row],[T ID]]&gt;0,Table4[[#This Row],[T ID]],"")</f>
        <v>T02</v>
      </c>
      <c r="C28" s="195" t="str">
        <f>Table4[[#This Row],[Threat Event(s)]]</f>
        <v>Deliver directed malware
(CAPEC-185)</v>
      </c>
      <c r="D28" s="204" t="str">
        <f>IF(Table4[[#This Row],[V ID]]&gt;0,Table4[[#This Row],[V ID]],"")</f>
        <v>V13</v>
      </c>
      <c r="E28" s="195" t="str">
        <f>Table4[[#This Row],[Vulnerabilities]]</f>
        <v>Unprotected external USB Port on the tablet/devices.</v>
      </c>
      <c r="F28" s="205" t="str">
        <f>IF(Table4[[#This Row],[A ID]]&gt;0,Table4[[#This Row],[A ID]],"")</f>
        <v>A08</v>
      </c>
      <c r="G28" s="195" t="str">
        <f>Table4[[#This Row],[Asset]]</f>
        <v>Wireless Network device (Scope of HDO)</v>
      </c>
      <c r="H28" s="208" t="str">
        <f>IF(Table4[[#This Row],[Impact Description]]&gt;0,Table4[[#This Row],[Impact Description]],"")</f>
        <v xml:space="preserve">1) Malicious utilization of  computer resources 2) computing power  
3) denial of service attacks, 
4) ransomware attack 
5) Bitcoin mining, etc </v>
      </c>
      <c r="I28" s="204" t="str">
        <f>IF(Table4[[#This Row],[Safety Impact 
(Risk ID'# or N/A)]]&gt;0,Table4[[#This Row],[Safety Impact 
(Risk ID'# or N/A)]],"")</f>
        <v/>
      </c>
      <c r="J28" s="199" t="str">
        <f>Table4[[#This Row],[Security 
Risk 
Level]]</f>
        <v>LOW</v>
      </c>
      <c r="K28" s="204" t="str">
        <f>IF(Table4[[#This Row],[Security Risk Control Measures]]&gt;0,Table4[[#This Row],[Security Risk Control Measures]],"")</f>
        <v>SOM responsibility
1. Statefull Firewall
2. Maintain access control list</v>
      </c>
      <c r="L28" s="202" t="str">
        <f>Table4[[#This Row],[Security Risk LevelP]]</f>
        <v/>
      </c>
      <c r="M28" s="204" t="str">
        <f>IF(Table4[[#This Row],[Residual Security Risk Acceptability Justification]]&gt;0,Table4[[#This Row],[Residual Security Risk Acceptability Justification]],"")</f>
        <v/>
      </c>
      <c r="N28"/>
    </row>
    <row r="29" spans="1:14" s="53" customFormat="1" ht="70" x14ac:dyDescent="0.35">
      <c r="A29" s="203">
        <f>Table4[[#This Row],[
ID '#]]</f>
        <v>25</v>
      </c>
      <c r="B29" s="57" t="str">
        <f>IF(Table4[[#This Row],[T ID]]&gt;0,Table4[[#This Row],[T ID]],"")</f>
        <v>T02</v>
      </c>
      <c r="C29" s="195" t="str">
        <f>Table4[[#This Row],[Threat Event(s)]]</f>
        <v>Deliver directed malware
(CAPEC-185)</v>
      </c>
      <c r="D29" s="204" t="str">
        <f>IF(Table4[[#This Row],[V ID]]&gt;0,Table4[[#This Row],[V ID]],"")</f>
        <v>V13</v>
      </c>
      <c r="E29" s="195" t="str">
        <f>Table4[[#This Row],[Vulnerabilities]]</f>
        <v>Unprotected external USB Port on the tablet/devices.</v>
      </c>
      <c r="F29" s="205" t="str">
        <f>IF(Table4[[#This Row],[A ID]]&gt;0,Table4[[#This Row],[A ID]],"")</f>
        <v>A01</v>
      </c>
      <c r="G29" s="195" t="str">
        <f>Table4[[#This Row],[Asset]]</f>
        <v>Tablet Resources - web cam, microphone, OTG devices, Removable USB, Tablet Application, Network interfaces (Bluetooth, Wifi)</v>
      </c>
      <c r="H29" s="208" t="str">
        <f>IF(Table4[[#This Row],[Impact Description]]&gt;0,Table4[[#This Row],[Impact Description]],"")</f>
        <v xml:space="preserve">1) Malicious utilization of  computer resources 2) computing power  
3) denial of service attacks, 
4) ransomware attack 
5) Bitcoin mining, etc </v>
      </c>
      <c r="I29" s="204" t="str">
        <f>IF(Table4[[#This Row],[Safety Impact 
(Risk ID'# or N/A)]]&gt;0,Table4[[#This Row],[Safety Impact 
(Risk ID'# or N/A)]],"")</f>
        <v/>
      </c>
      <c r="J29" s="199" t="str">
        <f>Table4[[#This Row],[Security 
Risk 
Level]]</f>
        <v>LOW</v>
      </c>
      <c r="K29"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29" s="202" t="str">
        <f>Table4[[#This Row],[Security Risk LevelP]]</f>
        <v/>
      </c>
      <c r="M29" s="204" t="str">
        <f>IF(Table4[[#This Row],[Residual Security Risk Acceptability Justification]]&gt;0,Table4[[#This Row],[Residual Security Risk Acceptability Justification]],"")</f>
        <v/>
      </c>
      <c r="N29"/>
    </row>
    <row r="30" spans="1:14" s="53" customFormat="1" ht="70" x14ac:dyDescent="0.35">
      <c r="A30" s="203">
        <f>Table4[[#This Row],[
ID '#]]</f>
        <v>26</v>
      </c>
      <c r="B30" s="57" t="str">
        <f>IF(Table4[[#This Row],[T ID]]&gt;0,Table4[[#This Row],[T ID]],"")</f>
        <v>T02</v>
      </c>
      <c r="C30" s="195" t="str">
        <f>Table4[[#This Row],[Threat Event(s)]]</f>
        <v>Deliver directed malware
(CAPEC-185)</v>
      </c>
      <c r="D30" s="204" t="str">
        <f>IF(Table4[[#This Row],[V ID]]&gt;0,Table4[[#This Row],[V ID]],"")</f>
        <v>V13</v>
      </c>
      <c r="E30" s="195" t="str">
        <f>Table4[[#This Row],[Vulnerabilities]]</f>
        <v>Unprotected external USB Port on the tablet/devices.</v>
      </c>
      <c r="F30" s="205" t="str">
        <f>IF(Table4[[#This Row],[A ID]]&gt;0,Table4[[#This Row],[A ID]],"")</f>
        <v>A11</v>
      </c>
      <c r="G30" s="195" t="str">
        <f>Table4[[#This Row],[Asset]]</f>
        <v>Smart medic app (Stryker Admin Web Application)</v>
      </c>
      <c r="H30" s="208" t="str">
        <f>IF(Table4[[#This Row],[Impact Description]]&gt;0,Table4[[#This Row],[Impact Description]],"")</f>
        <v xml:space="preserve">1) Malicious utilization of  computer resources 2) computing power  
3) denial of service attacks, 
4) ransomware attack 
5) Bitcoin mining, etc </v>
      </c>
      <c r="I30" s="204" t="str">
        <f>IF(Table4[[#This Row],[Safety Impact 
(Risk ID'# or N/A)]]&gt;0,Table4[[#This Row],[Safety Impact 
(Risk ID'# or N/A)]],"")</f>
        <v/>
      </c>
      <c r="J30" s="199" t="str">
        <f>Table4[[#This Row],[Security 
Risk 
Level]]</f>
        <v>LOW</v>
      </c>
      <c r="K30"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30" s="202" t="str">
        <f>Table4[[#This Row],[Security Risk LevelP]]</f>
        <v/>
      </c>
      <c r="M30" s="204" t="str">
        <f>IF(Table4[[#This Row],[Residual Security Risk Acceptability Justification]]&gt;0,Table4[[#This Row],[Residual Security Risk Acceptability Justification]],"")</f>
        <v/>
      </c>
      <c r="N30"/>
    </row>
    <row r="31" spans="1:14" s="53" customFormat="1" ht="112" x14ac:dyDescent="0.35">
      <c r="A31" s="203">
        <f>Table4[[#This Row],[
ID '#]]</f>
        <v>27</v>
      </c>
      <c r="B31" s="57" t="str">
        <f>IF(Table4[[#This Row],[T ID]]&gt;0,Table4[[#This Row],[T ID]],"")</f>
        <v>T02</v>
      </c>
      <c r="C31" s="195" t="str">
        <f>Table4[[#This Row],[Threat Event(s)]]</f>
        <v>Deliver directed malware
(CAPEC-185)</v>
      </c>
      <c r="D31" s="204" t="str">
        <f>IF(Table4[[#This Row],[V ID]]&gt;0,Table4[[#This Row],[V ID]],"")</f>
        <v>V02</v>
      </c>
      <c r="E31" s="195" t="str">
        <f>Table4[[#This Row],[Vulnerabilities]]</f>
        <v>External communications and exposure for communciation channels from and to application and devices like tablet and smartmedic device.</v>
      </c>
      <c r="F31" s="205" t="str">
        <f>IF(Table4[[#This Row],[A ID]]&gt;0,Table4[[#This Row],[A ID]],"")</f>
        <v>A01</v>
      </c>
      <c r="G31" s="195" t="str">
        <f>Table4[[#This Row],[Asset]]</f>
        <v>Tablet Resources - web cam, microphone, OTG devices, Removable USB, Tablet Application, Network interfaces (Bluetooth, Wifi)</v>
      </c>
      <c r="H31" s="208" t="str">
        <f>IF(Table4[[#This Row],[Impact Description]]&gt;0,Table4[[#This Row],[Impact Description]],"")</f>
        <v xml:space="preserve">1) Malicious utilization of  computer resources 2) computing power  
3) denial of service attacks, 
4) ransomware attack 
5) Bitcoin mining, etc </v>
      </c>
      <c r="I31" s="204" t="str">
        <f>IF(Table4[[#This Row],[Safety Impact 
(Risk ID'# or N/A)]]&gt;0,Table4[[#This Row],[Safety Impact 
(Risk ID'# or N/A)]],"")</f>
        <v/>
      </c>
      <c r="J31" s="199" t="str">
        <f>Table4[[#This Row],[Security 
Risk 
Level]]</f>
        <v>MEDIUM</v>
      </c>
      <c r="K31" s="204" t="str">
        <f>IF(Table4[[#This Row],[Security Risk Control Measures]]&gt;0,Table4[[#This Row],[Security Risk Control Measures]],"")</f>
        <v xml:space="preserve">1. Only stryker made/authenticated devices should communicate with smart medic device
2. Asset should be behind stateful firewall
3.  Use secure tunnel communications channel </v>
      </c>
      <c r="L31" s="202" t="str">
        <f>Table4[[#This Row],[Security Risk LevelP]]</f>
        <v/>
      </c>
      <c r="M31" s="204" t="str">
        <f>IF(Table4[[#This Row],[Residual Security Risk Acceptability Justification]]&gt;0,Table4[[#This Row],[Residual Security Risk Acceptability Justification]],"")</f>
        <v/>
      </c>
      <c r="N31"/>
    </row>
    <row r="32" spans="1:14" s="53" customFormat="1" ht="70" x14ac:dyDescent="0.35">
      <c r="A32" s="203">
        <f>Table4[[#This Row],[
ID '#]]</f>
        <v>28</v>
      </c>
      <c r="B32" s="57" t="str">
        <f>IF(Table4[[#This Row],[T ID]]&gt;0,Table4[[#This Row],[T ID]],"")</f>
        <v>T02</v>
      </c>
      <c r="C32" s="195" t="str">
        <f>Table4[[#This Row],[Threat Event(s)]]</f>
        <v>Deliver directed malware
(CAPEC-185)</v>
      </c>
      <c r="D32" s="204" t="str">
        <f>IF(Table4[[#This Row],[V ID]]&gt;0,Table4[[#This Row],[V ID]],"")</f>
        <v>V08</v>
      </c>
      <c r="E32" s="195" t="str">
        <f>Table4[[#This Row],[Vulnerabilities]]</f>
        <v>Ineffective patch management of firware, OS and applications thoughout the information system plan</v>
      </c>
      <c r="F32" s="205" t="str">
        <f>IF(Table4[[#This Row],[A ID]]&gt;0,Table4[[#This Row],[A ID]],"")</f>
        <v>A05</v>
      </c>
      <c r="G32" s="195" t="str">
        <f>Table4[[#This Row],[Asset]]</f>
        <v>Device Maintainence tool (Hardware/Software)</v>
      </c>
      <c r="H32" s="208" t="str">
        <f>IF(Table4[[#This Row],[Impact Description]]&gt;0,Table4[[#This Row],[Impact Description]],"")</f>
        <v xml:space="preserve">1) Malicious utilization of  computer resources 2) computing power  
3) denial of service attacks, 
4) ransomware attack 
5) Bitcoin mining, etc </v>
      </c>
      <c r="I32" s="204" t="str">
        <f>IF(Table4[[#This Row],[Safety Impact 
(Risk ID'# or N/A)]]&gt;0,Table4[[#This Row],[Safety Impact 
(Risk ID'# or N/A)]],"")</f>
        <v/>
      </c>
      <c r="J32" s="199" t="str">
        <f>Table4[[#This Row],[Security 
Risk 
Level]]</f>
        <v>LOW</v>
      </c>
      <c r="K32"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32" s="202" t="str">
        <f>Table4[[#This Row],[Security Risk LevelP]]</f>
        <v/>
      </c>
      <c r="M32" s="204" t="str">
        <f>IF(Table4[[#This Row],[Residual Security Risk Acceptability Justification]]&gt;0,Table4[[#This Row],[Residual Security Risk Acceptability Justification]],"")</f>
        <v/>
      </c>
      <c r="N32"/>
    </row>
    <row r="33" spans="1:14" s="53" customFormat="1" ht="70" x14ac:dyDescent="0.35">
      <c r="A33" s="203">
        <f>Table4[[#This Row],[
ID '#]]</f>
        <v>29</v>
      </c>
      <c r="B33" s="57" t="str">
        <f>IF(Table4[[#This Row],[T ID]]&gt;0,Table4[[#This Row],[T ID]],"")</f>
        <v>T02</v>
      </c>
      <c r="C33" s="195" t="str">
        <f>Table4[[#This Row],[Threat Event(s)]]</f>
        <v>Deliver directed malware
(CAPEC-185)</v>
      </c>
      <c r="D33" s="204" t="str">
        <f>IF(Table4[[#This Row],[V ID]]&gt;0,Table4[[#This Row],[V ID]],"")</f>
        <v>V08</v>
      </c>
      <c r="E33" s="195" t="str">
        <f>Table4[[#This Row],[Vulnerabilities]]</f>
        <v>Ineffective patch management of firware, OS and applications thoughout the information system plan</v>
      </c>
      <c r="F33" s="205" t="str">
        <f>IF(Table4[[#This Row],[A ID]]&gt;0,Table4[[#This Row],[A ID]],"")</f>
        <v>A03</v>
      </c>
      <c r="G33" s="195" t="str">
        <f>Table4[[#This Row],[Asset]]</f>
        <v>Smart medic (Stryker device) System Component</v>
      </c>
      <c r="H33" s="208" t="str">
        <f>IF(Table4[[#This Row],[Impact Description]]&gt;0,Table4[[#This Row],[Impact Description]],"")</f>
        <v xml:space="preserve">1) Malicious utilization of  computer resources 2) computing power  
3) denial of service attacks, 
4) ransomware attack 
5) Bitcoin mining, etc </v>
      </c>
      <c r="I33" s="204" t="str">
        <f>IF(Table4[[#This Row],[Safety Impact 
(Risk ID'# or N/A)]]&gt;0,Table4[[#This Row],[Safety Impact 
(Risk ID'# or N/A)]],"")</f>
        <v/>
      </c>
      <c r="J33" s="199" t="str">
        <f>Table4[[#This Row],[Security 
Risk 
Level]]</f>
        <v>LOW</v>
      </c>
      <c r="K33"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33" s="202" t="str">
        <f>Table4[[#This Row],[Security Risk LevelP]]</f>
        <v/>
      </c>
      <c r="M33" s="204" t="str">
        <f>IF(Table4[[#This Row],[Residual Security Risk Acceptability Justification]]&gt;0,Table4[[#This Row],[Residual Security Risk Acceptability Justification]],"")</f>
        <v/>
      </c>
      <c r="N33"/>
    </row>
    <row r="34" spans="1:14" s="53" customFormat="1" ht="70" x14ac:dyDescent="0.35">
      <c r="A34" s="203">
        <f>Table4[[#This Row],[
ID '#]]</f>
        <v>30</v>
      </c>
      <c r="B34" s="57" t="str">
        <f>IF(Table4[[#This Row],[T ID]]&gt;0,Table4[[#This Row],[T ID]],"")</f>
        <v>T02</v>
      </c>
      <c r="C34" s="195" t="str">
        <f>Table4[[#This Row],[Threat Event(s)]]</f>
        <v>Deliver directed malware
(CAPEC-185)</v>
      </c>
      <c r="D34" s="204" t="str">
        <f>IF(Table4[[#This Row],[V ID]]&gt;0,Table4[[#This Row],[V ID]],"")</f>
        <v>V08</v>
      </c>
      <c r="E34" s="195" t="str">
        <f>Table4[[#This Row],[Vulnerabilities]]</f>
        <v>Ineffective patch management of firware, OS and applications thoughout the information system plan</v>
      </c>
      <c r="F34" s="205" t="str">
        <f>IF(Table4[[#This Row],[A ID]]&gt;0,Table4[[#This Row],[A ID]],"")</f>
        <v>A01</v>
      </c>
      <c r="G34" s="195" t="str">
        <f>Table4[[#This Row],[Asset]]</f>
        <v>Tablet Resources - web cam, microphone, OTG devices, Removable USB, Tablet Application, Network interfaces (Bluetooth, Wifi)</v>
      </c>
      <c r="H34" s="208" t="str">
        <f>IF(Table4[[#This Row],[Impact Description]]&gt;0,Table4[[#This Row],[Impact Description]],"")</f>
        <v xml:space="preserve">1) Malicious utilization of  computer resources 2) computing power  
3) denial of service attacks, 
4) ransomware attack 
5) Bitcoin mining, etc </v>
      </c>
      <c r="I34" s="204" t="str">
        <f>IF(Table4[[#This Row],[Safety Impact 
(Risk ID'# or N/A)]]&gt;0,Table4[[#This Row],[Safety Impact 
(Risk ID'# or N/A)]],"")</f>
        <v/>
      </c>
      <c r="J34" s="199" t="str">
        <f>Table4[[#This Row],[Security 
Risk 
Level]]</f>
        <v>LOW</v>
      </c>
      <c r="K34"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34" s="202" t="str">
        <f>Table4[[#This Row],[Security Risk LevelP]]</f>
        <v/>
      </c>
      <c r="M34" s="204" t="str">
        <f>IF(Table4[[#This Row],[Residual Security Risk Acceptability Justification]]&gt;0,Table4[[#This Row],[Residual Security Risk Acceptability Justification]],"")</f>
        <v/>
      </c>
      <c r="N34"/>
    </row>
    <row r="35" spans="1:14" s="53" customFormat="1" ht="84" x14ac:dyDescent="0.35">
      <c r="A35" s="203">
        <f>Table4[[#This Row],[
ID '#]]</f>
        <v>31</v>
      </c>
      <c r="B35" s="57" t="str">
        <f>IF(Table4[[#This Row],[T ID]]&gt;0,Table4[[#This Row],[T ID]],"")</f>
        <v>T02</v>
      </c>
      <c r="C35" s="195" t="str">
        <f>Table4[[#This Row],[Threat Event(s)]]</f>
        <v>Deliver directed malware
(CAPEC-185)</v>
      </c>
      <c r="D35" s="204" t="str">
        <f>IF(Table4[[#This Row],[V ID]]&gt;0,Table4[[#This Row],[V ID]],"")</f>
        <v>V12</v>
      </c>
      <c r="E35" s="195" t="str">
        <f>Table4[[#This Row],[Vulnerabilities]]</f>
        <v>Unprotected network port(s) on network devices and connection points</v>
      </c>
      <c r="F35" s="205" t="str">
        <f>IF(Table4[[#This Row],[A ID]]&gt;0,Table4[[#This Row],[A ID]],"")</f>
        <v>A03</v>
      </c>
      <c r="G35" s="195" t="str">
        <f>Table4[[#This Row],[Asset]]</f>
        <v>Smart medic (Stryker device) System Component</v>
      </c>
      <c r="H35" s="208" t="str">
        <f>IF(Table4[[#This Row],[Impact Description]]&gt;0,Table4[[#This Row],[Impact Description]],"")</f>
        <v xml:space="preserve">1) Malicious utilization of  computer resources 
2) computing power  
3) denial of service attacks, 
4) ransomware attack 
5) Bitcoin mining, etc </v>
      </c>
      <c r="I35" s="204" t="str">
        <f>IF(Table4[[#This Row],[Safety Impact 
(Risk ID'# or N/A)]]&gt;0,Table4[[#This Row],[Safety Impact 
(Risk ID'# or N/A)]],"")</f>
        <v/>
      </c>
      <c r="J35" s="199" t="str">
        <f>Table4[[#This Row],[Security 
Risk 
Level]]</f>
        <v>MEDIUM</v>
      </c>
      <c r="K35" s="204" t="str">
        <f>IF(Table4[[#This Row],[Security Risk Control Measures]]&gt;0,Table4[[#This Row],[Security Risk Control Measures]],"")</f>
        <v xml:space="preserve">1. Only stryker/HDO authenticated devices should communicate with smart medic device
2. Asset should be behind stateful firewall
3. Use secure tunnel communications channel </v>
      </c>
      <c r="L35" s="202" t="str">
        <f>Table4[[#This Row],[Security Risk LevelP]]</f>
        <v/>
      </c>
      <c r="M35" s="204" t="str">
        <f>IF(Table4[[#This Row],[Residual Security Risk Acceptability Justification]]&gt;0,Table4[[#This Row],[Residual Security Risk Acceptability Justification]],"")</f>
        <v/>
      </c>
      <c r="N35"/>
    </row>
    <row r="36" spans="1:14" s="53" customFormat="1" ht="84" x14ac:dyDescent="0.35">
      <c r="A36" s="203">
        <f>Table4[[#This Row],[
ID '#]]</f>
        <v>32</v>
      </c>
      <c r="B36" s="57" t="str">
        <f>IF(Table4[[#This Row],[T ID]]&gt;0,Table4[[#This Row],[T ID]],"")</f>
        <v>T02</v>
      </c>
      <c r="C36" s="195" t="str">
        <f>Table4[[#This Row],[Threat Event(s)]]</f>
        <v>Deliver directed malware
(CAPEC-185)</v>
      </c>
      <c r="D36" s="204" t="str">
        <f>IF(Table4[[#This Row],[V ID]]&gt;0,Table4[[#This Row],[V ID]],"")</f>
        <v>V12</v>
      </c>
      <c r="E36" s="195" t="str">
        <f>Table4[[#This Row],[Vulnerabilities]]</f>
        <v>Unprotected network port(s) on network devices and connection points</v>
      </c>
      <c r="F36" s="205" t="str">
        <f>IF(Table4[[#This Row],[A ID]]&gt;0,Table4[[#This Row],[A ID]],"")</f>
        <v>A01</v>
      </c>
      <c r="G36" s="195" t="str">
        <f>Table4[[#This Row],[Asset]]</f>
        <v>Tablet Resources - web cam, microphone, OTG devices, Removable USB, Tablet Application, Network interfaces (Bluetooth, Wifi)</v>
      </c>
      <c r="H36" s="208" t="str">
        <f>IF(Table4[[#This Row],[Impact Description]]&gt;0,Table4[[#This Row],[Impact Description]],"")</f>
        <v xml:space="preserve">1) Malicious utilization of  computer resources 
2) computing power  
3) denial of service attacks, 
4) ransomware attack 
5) Bitcoin mining, etc </v>
      </c>
      <c r="I36" s="204" t="str">
        <f>IF(Table4[[#This Row],[Safety Impact 
(Risk ID'# or N/A)]]&gt;0,Table4[[#This Row],[Safety Impact 
(Risk ID'# or N/A)]],"")</f>
        <v/>
      </c>
      <c r="J36" s="199" t="str">
        <f>Table4[[#This Row],[Security 
Risk 
Level]]</f>
        <v>LOW</v>
      </c>
      <c r="K36"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36" s="202" t="str">
        <f>Table4[[#This Row],[Security Risk LevelP]]</f>
        <v/>
      </c>
      <c r="M36" s="204" t="str">
        <f>IF(Table4[[#This Row],[Residual Security Risk Acceptability Justification]]&gt;0,Table4[[#This Row],[Residual Security Risk Acceptability Justification]],"")</f>
        <v/>
      </c>
      <c r="N36"/>
    </row>
    <row r="37" spans="1:14" s="53" customFormat="1" ht="84" x14ac:dyDescent="0.35">
      <c r="A37" s="203">
        <f>Table4[[#This Row],[
ID '#]]</f>
        <v>33</v>
      </c>
      <c r="B37" s="57" t="str">
        <f>IF(Table4[[#This Row],[T ID]]&gt;0,Table4[[#This Row],[T ID]],"")</f>
        <v>T02</v>
      </c>
      <c r="C37" s="195" t="str">
        <f>Table4[[#This Row],[Threat Event(s)]]</f>
        <v>Deliver directed malware
(CAPEC-185)</v>
      </c>
      <c r="D37" s="204" t="str">
        <f>IF(Table4[[#This Row],[V ID]]&gt;0,Table4[[#This Row],[V ID]],"")</f>
        <v>V21</v>
      </c>
      <c r="E37" s="195" t="str">
        <f>Table4[[#This Row],[Vulnerabilities]]</f>
        <v>InSecure Configuration for Software/OS on Mobile Devices, Laptops, Workstations, and Servers</v>
      </c>
      <c r="F37" s="205" t="str">
        <f>IF(Table4[[#This Row],[A ID]]&gt;0,Table4[[#This Row],[A ID]],"")</f>
        <v>A11</v>
      </c>
      <c r="G37" s="195" t="str">
        <f>Table4[[#This Row],[Asset]]</f>
        <v>Smart medic app (Stryker Admin Web Application)</v>
      </c>
      <c r="H37" s="208" t="str">
        <f>IF(Table4[[#This Row],[Impact Description]]&gt;0,Table4[[#This Row],[Impact Description]],"")</f>
        <v xml:space="preserve">1) Malicious utilization of  computer resources 
2) computing power  
3) denial of service attacks, 
4) ransomware attack 
5) Bitcoin mining, etc </v>
      </c>
      <c r="I37" s="204" t="str">
        <f>IF(Table4[[#This Row],[Safety Impact 
(Risk ID'# or N/A)]]&gt;0,Table4[[#This Row],[Safety Impact 
(Risk ID'# or N/A)]],"")</f>
        <v/>
      </c>
      <c r="J37" s="199" t="str">
        <f>Table4[[#This Row],[Security 
Risk 
Level]]</f>
        <v>LOW</v>
      </c>
      <c r="K37" s="204" t="str">
        <f>IF(Table4[[#This Row],[Security Risk Control Measures]]&gt;0,Table4[[#This Row],[Security Risk Control Measures]],"")</f>
        <v>1. Validate the currrent system configuration and prepare a secure configuration model
2. Deploy system configuration management tool
3. Implement automated configuration monitoring systems
4. Establish internal and external
information sources for threat
intelligence and vulnerability
data, monitoring them regularly
and taking appropriate action for
high-priority items
5. Use upgraded software, firmware
6 Never use credentials such as date of birth, spouse, or child’s or pet’s name
7. Stateful Firewall</v>
      </c>
      <c r="L37" s="202" t="str">
        <f>Table4[[#This Row],[Security Risk LevelP]]</f>
        <v/>
      </c>
      <c r="M37" s="204" t="str">
        <f>IF(Table4[[#This Row],[Residual Security Risk Acceptability Justification]]&gt;0,Table4[[#This Row],[Residual Security Risk Acceptability Justification]],"")</f>
        <v/>
      </c>
      <c r="N37"/>
    </row>
    <row r="38" spans="1:14" s="53" customFormat="1" ht="84" x14ac:dyDescent="0.35">
      <c r="A38" s="203">
        <f>Table4[[#This Row],[
ID '#]]</f>
        <v>34</v>
      </c>
      <c r="B38" s="57" t="str">
        <f>IF(Table4[[#This Row],[T ID]]&gt;0,Table4[[#This Row],[T ID]],"")</f>
        <v>T02</v>
      </c>
      <c r="C38" s="195" t="str">
        <f>Table4[[#This Row],[Threat Event(s)]]</f>
        <v>Deliver directed malware
(CAPEC-185)</v>
      </c>
      <c r="D38" s="204" t="str">
        <f>IF(Table4[[#This Row],[V ID]]&gt;0,Table4[[#This Row],[V ID]],"")</f>
        <v>V21</v>
      </c>
      <c r="E38" s="195" t="str">
        <f>Table4[[#This Row],[Vulnerabilities]]</f>
        <v>InSecure Configuration for Software/OS on Mobile Devices, Laptops, Workstations, and Servers</v>
      </c>
      <c r="F38" s="205" t="str">
        <f>IF(Table4[[#This Row],[A ID]]&gt;0,Table4[[#This Row],[A ID]],"")</f>
        <v>A01</v>
      </c>
      <c r="G38" s="195" t="str">
        <f>Table4[[#This Row],[Asset]]</f>
        <v>Tablet Resources - web cam, microphone, OTG devices, Removable USB, Tablet Application, Network interfaces (Bluetooth, Wifi)</v>
      </c>
      <c r="H38" s="208" t="str">
        <f>IF(Table4[[#This Row],[Impact Description]]&gt;0,Table4[[#This Row],[Impact Description]],"")</f>
        <v xml:space="preserve">1) Malicious utilization of  computer resources 
2) computing power  
3) denial of service attacks, 
4) ransomware attack 
5) Bitcoin mining, etc </v>
      </c>
      <c r="I38" s="204" t="str">
        <f>IF(Table4[[#This Row],[Safety Impact 
(Risk ID'# or N/A)]]&gt;0,Table4[[#This Row],[Safety Impact 
(Risk ID'# or N/A)]],"")</f>
        <v/>
      </c>
      <c r="J38" s="199" t="str">
        <f>Table4[[#This Row],[Security 
Risk 
Level]]</f>
        <v>LOW</v>
      </c>
      <c r="K38"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38" s="202" t="str">
        <f>Table4[[#This Row],[Security Risk LevelP]]</f>
        <v/>
      </c>
      <c r="M38" s="204" t="str">
        <f>IF(Table4[[#This Row],[Residual Security Risk Acceptability Justification]]&gt;0,Table4[[#This Row],[Residual Security Risk Acceptability Justification]],"")</f>
        <v/>
      </c>
      <c r="N38"/>
    </row>
    <row r="39" spans="1:14" s="53" customFormat="1" ht="84" x14ac:dyDescent="0.35">
      <c r="A39" s="203">
        <f>Table4[[#This Row],[
ID '#]]</f>
        <v>35</v>
      </c>
      <c r="B39" s="57" t="str">
        <f>IF(Table4[[#This Row],[T ID]]&gt;0,Table4[[#This Row],[T ID]],"")</f>
        <v>T02</v>
      </c>
      <c r="C39" s="195" t="str">
        <f>Table4[[#This Row],[Threat Event(s)]]</f>
        <v>Deliver directed malware
(CAPEC-185)</v>
      </c>
      <c r="D39" s="204" t="str">
        <f>IF(Table4[[#This Row],[V ID]]&gt;0,Table4[[#This Row],[V ID]],"")</f>
        <v>V16</v>
      </c>
      <c r="E39" s="195" t="str">
        <f>Table4[[#This Row],[Vulnerabilities]]</f>
        <v>Unencrypted data at rest in all possible locations</v>
      </c>
      <c r="F39" s="205" t="str">
        <f>IF(Table4[[#This Row],[A ID]]&gt;0,Table4[[#This Row],[A ID]],"")</f>
        <v>A01</v>
      </c>
      <c r="G39" s="195" t="str">
        <f>Table4[[#This Row],[Asset]]</f>
        <v>Tablet Resources - web cam, microphone, OTG devices, Removable USB, Tablet Application, Network interfaces (Bluetooth, Wifi)</v>
      </c>
      <c r="H39" s="208" t="str">
        <f>IF(Table4[[#This Row],[Impact Description]]&gt;0,Table4[[#This Row],[Impact Description]],"")</f>
        <v xml:space="preserve">1) Malicious utilization of  computer resources 
2) computing power  
3) denial of service attacks, 
4) ransomware attack 
5) Bitcoin mining, etc </v>
      </c>
      <c r="I39" s="204" t="str">
        <f>IF(Table4[[#This Row],[Safety Impact 
(Risk ID'# or N/A)]]&gt;0,Table4[[#This Row],[Safety Impact 
(Risk ID'# or N/A)]],"")</f>
        <v/>
      </c>
      <c r="J39" s="199" t="str">
        <f>Table4[[#This Row],[Security 
Risk 
Level]]</f>
        <v>LOW</v>
      </c>
      <c r="K39"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39" s="202" t="str">
        <f>Table4[[#This Row],[Security Risk LevelP]]</f>
        <v>LOW</v>
      </c>
      <c r="M39" s="204" t="str">
        <f>IF(Table4[[#This Row],[Residual Security Risk Acceptability Justification]]&gt;0,Table4[[#This Row],[Residual Security Risk Acceptability Justification]],"")</f>
        <v/>
      </c>
      <c r="N39"/>
    </row>
    <row r="40" spans="1:14" s="53" customFormat="1" ht="84" x14ac:dyDescent="0.35">
      <c r="A40" s="203">
        <f>Table4[[#This Row],[
ID '#]]</f>
        <v>36</v>
      </c>
      <c r="B40" s="57" t="str">
        <f>IF(Table4[[#This Row],[T ID]]&gt;0,Table4[[#This Row],[T ID]],"")</f>
        <v>T02</v>
      </c>
      <c r="C40" s="195" t="str">
        <f>Table4[[#This Row],[Threat Event(s)]]</f>
        <v>Deliver directed malware
(CAPEC-185)</v>
      </c>
      <c r="D40" s="204" t="str">
        <f>IF(Table4[[#This Row],[V ID]]&gt;0,Table4[[#This Row],[V ID]],"")</f>
        <v>V16</v>
      </c>
      <c r="E40" s="195" t="str">
        <f>Table4[[#This Row],[Vulnerabilities]]</f>
        <v>Unencrypted data at rest in all possible locations</v>
      </c>
      <c r="F40" s="205" t="str">
        <f>IF(Table4[[#This Row],[A ID]]&gt;0,Table4[[#This Row],[A ID]],"")</f>
        <v>A02</v>
      </c>
      <c r="G40" s="195" t="str">
        <f>Table4[[#This Row],[Asset]]</f>
        <v>Tablet OS/network details &amp; Tablet Application</v>
      </c>
      <c r="H40" s="208" t="str">
        <f>IF(Table4[[#This Row],[Impact Description]]&gt;0,Table4[[#This Row],[Impact Description]],"")</f>
        <v xml:space="preserve">1) Malicious utilization of  computer resources 
2) computing power  
3) denial of service attacks, 
4) ransomware attack 
5) Bitcoin mining, etc </v>
      </c>
      <c r="I40" s="204" t="str">
        <f>IF(Table4[[#This Row],[Safety Impact 
(Risk ID'# or N/A)]]&gt;0,Table4[[#This Row],[Safety Impact 
(Risk ID'# or N/A)]],"")</f>
        <v/>
      </c>
      <c r="J40" s="199" t="str">
        <f>Table4[[#This Row],[Security 
Risk 
Level]]</f>
        <v>LOW</v>
      </c>
      <c r="K40"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40" s="202" t="str">
        <f>Table4[[#This Row],[Security Risk LevelP]]</f>
        <v/>
      </c>
      <c r="M40" s="204" t="str">
        <f>IF(Table4[[#This Row],[Residual Security Risk Acceptability Justification]]&gt;0,Table4[[#This Row],[Residual Security Risk Acceptability Justification]],"")</f>
        <v/>
      </c>
      <c r="N40"/>
    </row>
    <row r="41" spans="1:14" s="53" customFormat="1" ht="84" x14ac:dyDescent="0.35">
      <c r="A41" s="203">
        <f>Table4[[#This Row],[
ID '#]]</f>
        <v>37</v>
      </c>
      <c r="B41" s="57" t="str">
        <f>IF(Table4[[#This Row],[T ID]]&gt;0,Table4[[#This Row],[T ID]],"")</f>
        <v>T02</v>
      </c>
      <c r="C41" s="195" t="str">
        <f>Table4[[#This Row],[Threat Event(s)]]</f>
        <v>Deliver directed malware
(CAPEC-185)</v>
      </c>
      <c r="D41" s="204" t="str">
        <f>IF(Table4[[#This Row],[V ID]]&gt;0,Table4[[#This Row],[V ID]],"")</f>
        <v>V16</v>
      </c>
      <c r="E41" s="195" t="str">
        <f>Table4[[#This Row],[Vulnerabilities]]</f>
        <v>Unencrypted data at rest in all possible locations</v>
      </c>
      <c r="F41" s="205" t="str">
        <f>IF(Table4[[#This Row],[A ID]]&gt;0,Table4[[#This Row],[A ID]],"")</f>
        <v>A11</v>
      </c>
      <c r="G41" s="195" t="str">
        <f>Table4[[#This Row],[Asset]]</f>
        <v>Smart medic app (Stryker Admin Web Application)</v>
      </c>
      <c r="H41" s="208" t="str">
        <f>IF(Table4[[#This Row],[Impact Description]]&gt;0,Table4[[#This Row],[Impact Description]],"")</f>
        <v xml:space="preserve">1) Malicious utilization of  computer resources 
2) computing power  
3) denial of service attacks, 
4) ransomware attack 
5) Bitcoin mining, etc </v>
      </c>
      <c r="I41" s="204" t="str">
        <f>IF(Table4[[#This Row],[Safety Impact 
(Risk ID'# or N/A)]]&gt;0,Table4[[#This Row],[Safety Impact 
(Risk ID'# or N/A)]],"")</f>
        <v/>
      </c>
      <c r="J41" s="199" t="str">
        <f>Table4[[#This Row],[Security 
Risk 
Level]]</f>
        <v>LOW</v>
      </c>
      <c r="K41" s="204"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list.
5. Use strong encrption algorithm </v>
      </c>
      <c r="L41" s="202" t="str">
        <f>Table4[[#This Row],[Security Risk LevelP]]</f>
        <v/>
      </c>
      <c r="M41" s="204" t="str">
        <f>IF(Table4[[#This Row],[Residual Security Risk Acceptability Justification]]&gt;0,Table4[[#This Row],[Residual Security Risk Acceptability Justification]],"")</f>
        <v/>
      </c>
      <c r="N41"/>
    </row>
    <row r="42" spans="1:14" s="53" customFormat="1" ht="70" x14ac:dyDescent="0.35">
      <c r="A42" s="203">
        <f>Table4[[#This Row],[
ID '#]]</f>
        <v>38</v>
      </c>
      <c r="B42" s="57" t="str">
        <f>IF(Table4[[#This Row],[T ID]]&gt;0,Table4[[#This Row],[T ID]],"")</f>
        <v>T03</v>
      </c>
      <c r="C42" s="195" t="str">
        <f>Table4[[#This Row],[Threat Event(s)]]</f>
        <v>Gaining Access
([S]TRID[E])</v>
      </c>
      <c r="D42" s="204" t="str">
        <f>IF(Table4[[#This Row],[V ID]]&gt;0,Table4[[#This Row],[V ID]],"")</f>
        <v>V12</v>
      </c>
      <c r="E42" s="195" t="str">
        <f>Table4[[#This Row],[Vulnerabilities]]</f>
        <v>Unprotected network port(s) on network devices and connection points</v>
      </c>
      <c r="F42" s="205" t="str">
        <f>IF(Table4[[#This Row],[A ID]]&gt;0,Table4[[#This Row],[A ID]],"")</f>
        <v>A02</v>
      </c>
      <c r="G42" s="195" t="str">
        <f>Table4[[#This Row],[Asset]]</f>
        <v>Tablet OS/network details &amp; Tablet Application</v>
      </c>
      <c r="H42" s="208" t="str">
        <f>IF(Table4[[#This Row],[Impact Description]]&gt;0,Table4[[#This Row],[Impact Description]],"")</f>
        <v>1)  Obtain knowledge about system internals
2)  Attempt to find attack vectors 
3)  Possibilities for exploitation of publicly known Vulnerabilities.</v>
      </c>
      <c r="I42" s="204" t="str">
        <f>IF(Table4[[#This Row],[Safety Impact 
(Risk ID'# or N/A)]]&gt;0,Table4[[#This Row],[Safety Impact 
(Risk ID'# or N/A)]],"")</f>
        <v/>
      </c>
      <c r="J42" s="199" t="str">
        <f>Table4[[#This Row],[Security 
Risk 
Level]]</f>
        <v>LOW</v>
      </c>
      <c r="K42"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42" s="202" t="str">
        <f>Table4[[#This Row],[Security Risk LevelP]]</f>
        <v/>
      </c>
      <c r="M42" s="204" t="str">
        <f>IF(Table4[[#This Row],[Residual Security Risk Acceptability Justification]]&gt;0,Table4[[#This Row],[Residual Security Risk Acceptability Justification]],"")</f>
        <v/>
      </c>
      <c r="N42"/>
    </row>
    <row r="43" spans="1:14" s="53" customFormat="1" ht="70" x14ac:dyDescent="0.35">
      <c r="A43" s="203">
        <f>Table4[[#This Row],[
ID '#]]</f>
        <v>39</v>
      </c>
      <c r="B43" s="57" t="str">
        <f>IF(Table4[[#This Row],[T ID]]&gt;0,Table4[[#This Row],[T ID]],"")</f>
        <v>T03</v>
      </c>
      <c r="C43" s="195" t="str">
        <f>Table4[[#This Row],[Threat Event(s)]]</f>
        <v>Gaining Access
([S]TRID[E])</v>
      </c>
      <c r="D43" s="204" t="str">
        <f>IF(Table4[[#This Row],[V ID]]&gt;0,Table4[[#This Row],[V ID]],"")</f>
        <v>V12</v>
      </c>
      <c r="E43" s="195" t="str">
        <f>Table4[[#This Row],[Vulnerabilities]]</f>
        <v>Unprotected network port(s) on network devices and connection points</v>
      </c>
      <c r="F43" s="205" t="str">
        <f>IF(Table4[[#This Row],[A ID]]&gt;0,Table4[[#This Row],[A ID]],"")</f>
        <v>A11</v>
      </c>
      <c r="G43" s="195" t="str">
        <f>Table4[[#This Row],[Asset]]</f>
        <v>Smart medic app (Stryker Admin Web Application)</v>
      </c>
      <c r="H43" s="208" t="str">
        <f>IF(Table4[[#This Row],[Impact Description]]&gt;0,Table4[[#This Row],[Impact Description]],"")</f>
        <v>1)  Obtain knowledge about system internals
2)  Attempt to find attack vectors 
3)  Possibilities for exploitation of publicly known Vulnerabilities.</v>
      </c>
      <c r="I43" s="204" t="str">
        <f>IF(Table4[[#This Row],[Safety Impact 
(Risk ID'# or N/A)]]&gt;0,Table4[[#This Row],[Safety Impact 
(Risk ID'# or N/A)]],"")</f>
        <v/>
      </c>
      <c r="J43" s="199" t="str">
        <f>Table4[[#This Row],[Security 
Risk 
Level]]</f>
        <v>MEDIUM</v>
      </c>
      <c r="K43" s="204"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List.
5. Stateful firewall</v>
      </c>
      <c r="L43" s="202" t="str">
        <f>Table4[[#This Row],[Security Risk LevelP]]</f>
        <v/>
      </c>
      <c r="M43" s="204" t="str">
        <f>IF(Table4[[#This Row],[Residual Security Risk Acceptability Justification]]&gt;0,Table4[[#This Row],[Residual Security Risk Acceptability Justification]],"")</f>
        <v/>
      </c>
      <c r="N43"/>
    </row>
    <row r="44" spans="1:14" s="53" customFormat="1" ht="70" x14ac:dyDescent="0.35">
      <c r="A44" s="203">
        <f>Table4[[#This Row],[
ID '#]]</f>
        <v>40</v>
      </c>
      <c r="B44" s="57" t="str">
        <f>IF(Table4[[#This Row],[T ID]]&gt;0,Table4[[#This Row],[T ID]],"")</f>
        <v>T03</v>
      </c>
      <c r="C44" s="195" t="str">
        <f>Table4[[#This Row],[Threat Event(s)]]</f>
        <v>Gaining Access
([S]TRID[E])</v>
      </c>
      <c r="D44" s="204" t="str">
        <f>IF(Table4[[#This Row],[V ID]]&gt;0,Table4[[#This Row],[V ID]],"")</f>
        <v>V12</v>
      </c>
      <c r="E44" s="195" t="str">
        <f>Table4[[#This Row],[Vulnerabilities]]</f>
        <v>Unprotected network port(s) on network devices and connection points</v>
      </c>
      <c r="F44" s="205" t="str">
        <f>IF(Table4[[#This Row],[A ID]]&gt;0,Table4[[#This Row],[A ID]],"")</f>
        <v>A01</v>
      </c>
      <c r="G44" s="195" t="str">
        <f>Table4[[#This Row],[Asset]]</f>
        <v>Tablet Resources - web cam, microphone, OTG devices, Removable USB, Tablet Application, Network interfaces (Bluetooth, Wifi)</v>
      </c>
      <c r="H44" s="208" t="str">
        <f>IF(Table4[[#This Row],[Impact Description]]&gt;0,Table4[[#This Row],[Impact Description]],"")</f>
        <v>1)  Obtain knowledge about system internals
2)  Attempt to find attack vectors 
3)  Possibilities for exploitation of publicly known Vulnerabilities.</v>
      </c>
      <c r="I44" s="204" t="str">
        <f>IF(Table4[[#This Row],[Safety Impact 
(Risk ID'# or N/A)]]&gt;0,Table4[[#This Row],[Safety Impact 
(Risk ID'# or N/A)]],"")</f>
        <v/>
      </c>
      <c r="J44" s="199" t="str">
        <f>Table4[[#This Row],[Security 
Risk 
Level]]</f>
        <v>LOW</v>
      </c>
      <c r="K44"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44" s="202" t="str">
        <f>Table4[[#This Row],[Security Risk LevelP]]</f>
        <v>LOW</v>
      </c>
      <c r="M44" s="204" t="str">
        <f>IF(Table4[[#This Row],[Residual Security Risk Acceptability Justification]]&gt;0,Table4[[#This Row],[Residual Security Risk Acceptability Justification]],"")</f>
        <v/>
      </c>
      <c r="N44"/>
    </row>
    <row r="45" spans="1:14" s="53" customFormat="1" ht="70" x14ac:dyDescent="0.35">
      <c r="A45" s="203">
        <f>Table4[[#This Row],[
ID '#]]</f>
        <v>41</v>
      </c>
      <c r="B45" s="57" t="str">
        <f>IF(Table4[[#This Row],[T ID]]&gt;0,Table4[[#This Row],[T ID]],"")</f>
        <v>T03</v>
      </c>
      <c r="C45" s="195" t="str">
        <f>Table4[[#This Row],[Threat Event(s)]]</f>
        <v>Gaining Access
([S]TRID[E])</v>
      </c>
      <c r="D45" s="204" t="str">
        <f>IF(Table4[[#This Row],[V ID]]&gt;0,Table4[[#This Row],[V ID]],"")</f>
        <v>V01</v>
      </c>
      <c r="E45" s="195" t="str">
        <f>Table4[[#This Row],[Vulnerabilities]]</f>
        <v>Devices with default passwords needs to be checked for bruteforce attacks</v>
      </c>
      <c r="F45" s="205" t="str">
        <f>IF(Table4[[#This Row],[A ID]]&gt;0,Table4[[#This Row],[A ID]],"")</f>
        <v>A04</v>
      </c>
      <c r="G45" s="195" t="str">
        <f>Table4[[#This Row],[Asset]]</f>
        <v>Authentication/Authorisation method of all device(s)/app</v>
      </c>
      <c r="H45" s="208" t="str">
        <f>IF(Table4[[#This Row],[Impact Description]]&gt;0,Table4[[#This Row],[Impact Description]],"")</f>
        <v>1)  Obtain knowledge about system internals
2)  Attempt to find attack vectors 
3)  Possibilities for exploitation of publicly known Vulnerabilities.</v>
      </c>
      <c r="I45" s="204" t="str">
        <f>IF(Table4[[#This Row],[Safety Impact 
(Risk ID'# or N/A)]]&gt;0,Table4[[#This Row],[Safety Impact 
(Risk ID'# or N/A)]],"")</f>
        <v/>
      </c>
      <c r="J45" s="199" t="str">
        <f>Table4[[#This Row],[Security 
Risk 
Level]]</f>
        <v>MEDIUM</v>
      </c>
      <c r="K45" s="204"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202" t="str">
        <f>Table4[[#This Row],[Security Risk LevelP]]</f>
        <v/>
      </c>
      <c r="M45" s="204" t="str">
        <f>IF(Table4[[#This Row],[Residual Security Risk Acceptability Justification]]&gt;0,Table4[[#This Row],[Residual Security Risk Acceptability Justification]],"")</f>
        <v/>
      </c>
      <c r="N45"/>
    </row>
    <row r="46" spans="1:14" s="53" customFormat="1" ht="70" x14ac:dyDescent="0.35">
      <c r="A46" s="203">
        <f>Table4[[#This Row],[
ID '#]]</f>
        <v>42</v>
      </c>
      <c r="B46" s="57" t="str">
        <f>IF(Table4[[#This Row],[T ID]]&gt;0,Table4[[#This Row],[T ID]],"")</f>
        <v>T03</v>
      </c>
      <c r="C46" s="195" t="str">
        <f>Table4[[#This Row],[Threat Event(s)]]</f>
        <v>Gaining Access
([S]TRID[E])</v>
      </c>
      <c r="D46" s="204" t="str">
        <f>IF(Table4[[#This Row],[V ID]]&gt;0,Table4[[#This Row],[V ID]],"")</f>
        <v>V01</v>
      </c>
      <c r="E46" s="195" t="str">
        <f>Table4[[#This Row],[Vulnerabilities]]</f>
        <v>Devices with default passwords needs to be checked for bruteforce attacks</v>
      </c>
      <c r="F46" s="205" t="str">
        <f>IF(Table4[[#This Row],[A ID]]&gt;0,Table4[[#This Row],[A ID]],"")</f>
        <v>A07</v>
      </c>
      <c r="G46" s="195" t="str">
        <f>Table4[[#This Row],[Asset]]</f>
        <v>Interface/API Communication</v>
      </c>
      <c r="H46" s="208" t="str">
        <f>IF(Table4[[#This Row],[Impact Description]]&gt;0,Table4[[#This Row],[Impact Description]],"")</f>
        <v>1)  Obtain knowledge about system internals
2)  Attempt to find attack vectors 
3)  Possibilities for exploitation of publicly known Vulnerabilities.</v>
      </c>
      <c r="I46" s="204" t="str">
        <f>IF(Table4[[#This Row],[Safety Impact 
(Risk ID'# or N/A)]]&gt;0,Table4[[#This Row],[Safety Impact 
(Risk ID'# or N/A)]],"")</f>
        <v/>
      </c>
      <c r="J46" s="199" t="str">
        <f>Table4[[#This Row],[Security 
Risk 
Level]]</f>
        <v>LOW</v>
      </c>
      <c r="K46" s="204"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Maintain Access Logs
5. Maintain Server Security Logs
6. Stronger authentication methods</v>
      </c>
      <c r="L46" s="202" t="str">
        <f>Table4[[#This Row],[Security Risk LevelP]]</f>
        <v/>
      </c>
      <c r="M46" s="204" t="str">
        <f>IF(Table4[[#This Row],[Residual Security Risk Acceptability Justification]]&gt;0,Table4[[#This Row],[Residual Security Risk Acceptability Justification]],"")</f>
        <v/>
      </c>
      <c r="N46"/>
    </row>
    <row r="47" spans="1:14" s="53" customFormat="1" ht="70" x14ac:dyDescent="0.35">
      <c r="A47" s="203">
        <f>Table4[[#This Row],[
ID '#]]</f>
        <v>43</v>
      </c>
      <c r="B47" s="57" t="str">
        <f>IF(Table4[[#This Row],[T ID]]&gt;0,Table4[[#This Row],[T ID]],"")</f>
        <v>T03</v>
      </c>
      <c r="C47" s="195" t="str">
        <f>Table4[[#This Row],[Threat Event(s)]]</f>
        <v>Gaining Access
([S]TRID[E])</v>
      </c>
      <c r="D47" s="204" t="str">
        <f>IF(Table4[[#This Row],[V ID]]&gt;0,Table4[[#This Row],[V ID]],"")</f>
        <v>V03</v>
      </c>
      <c r="E47" s="195" t="str">
        <f>Table4[[#This Row],[Vulnerabilities]]</f>
        <v>The password complexity or location vulnerability. Like weak passwords and hardcoded passwords.</v>
      </c>
      <c r="F47" s="205" t="str">
        <f>IF(Table4[[#This Row],[A ID]]&gt;0,Table4[[#This Row],[A ID]],"")</f>
        <v>A04</v>
      </c>
      <c r="G47" s="195" t="str">
        <f>Table4[[#This Row],[Asset]]</f>
        <v>Authentication/Authorisation method of all device(s)/app</v>
      </c>
      <c r="H47" s="208" t="str">
        <f>IF(Table4[[#This Row],[Impact Description]]&gt;0,Table4[[#This Row],[Impact Description]],"")</f>
        <v>1)  Obtain knowledge about system internals
2)  Attempt to find attack vectors 
3)  Possibilities for exploitation of publicly known Vulnerabilities.</v>
      </c>
      <c r="I47" s="204" t="str">
        <f>IF(Table4[[#This Row],[Safety Impact 
(Risk ID'# or N/A)]]&gt;0,Table4[[#This Row],[Safety Impact 
(Risk ID'# or N/A)]],"")</f>
        <v/>
      </c>
      <c r="J47" s="199" t="str">
        <f>Table4[[#This Row],[Security 
Risk 
Level]]</f>
        <v>MEDIUM</v>
      </c>
      <c r="K47" s="204"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Maintain Access Logs
5 Maintain Server Security Logs
6, Stronger authentication methods</v>
      </c>
      <c r="L47" s="202" t="str">
        <f>Table4[[#This Row],[Security Risk LevelP]]</f>
        <v/>
      </c>
      <c r="M47" s="204" t="str">
        <f>IF(Table4[[#This Row],[Residual Security Risk Acceptability Justification]]&gt;0,Table4[[#This Row],[Residual Security Risk Acceptability Justification]],"")</f>
        <v/>
      </c>
      <c r="N47"/>
    </row>
    <row r="48" spans="1:14" s="53" customFormat="1" ht="70" x14ac:dyDescent="0.35">
      <c r="A48" s="203">
        <f>Table4[[#This Row],[
ID '#]]</f>
        <v>44</v>
      </c>
      <c r="B48" s="57" t="str">
        <f>IF(Table4[[#This Row],[T ID]]&gt;0,Table4[[#This Row],[T ID]],"")</f>
        <v>T03</v>
      </c>
      <c r="C48" s="195" t="str">
        <f>Table4[[#This Row],[Threat Event(s)]]</f>
        <v>Gaining Access
([S]TRID[E])</v>
      </c>
      <c r="D48" s="204" t="str">
        <f>IF(Table4[[#This Row],[V ID]]&gt;0,Table4[[#This Row],[V ID]],"")</f>
        <v>V04</v>
      </c>
      <c r="E48" s="195" t="str">
        <f>Table4[[#This Row],[Vulnerabilities]]</f>
        <v>Checking authentication modes for possible hacks and bypasses</v>
      </c>
      <c r="F48" s="205" t="str">
        <f>IF(Table4[[#This Row],[A ID]]&gt;0,Table4[[#This Row],[A ID]],"")</f>
        <v>A04</v>
      </c>
      <c r="G48" s="195" t="str">
        <f>Table4[[#This Row],[Asset]]</f>
        <v>Authentication/Authorisation method of all device(s)/app</v>
      </c>
      <c r="H48" s="208" t="str">
        <f>IF(Table4[[#This Row],[Impact Description]]&gt;0,Table4[[#This Row],[Impact Description]],"")</f>
        <v>1)  Obtain knowledge about system internals
2)  Attempt to find attack vectors 
3)  Possibilities for exploitation of publicly known Vulnerabilities.</v>
      </c>
      <c r="I48" s="204" t="str">
        <f>IF(Table4[[#This Row],[Safety Impact 
(Risk ID'# or N/A)]]&gt;0,Table4[[#This Row],[Safety Impact 
(Risk ID'# or N/A)]],"")</f>
        <v/>
      </c>
      <c r="J48" s="199" t="str">
        <f>Table4[[#This Row],[Security 
Risk 
Level]]</f>
        <v>LOW</v>
      </c>
      <c r="K48" s="204"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202" t="str">
        <f>Table4[[#This Row],[Security Risk LevelP]]</f>
        <v/>
      </c>
      <c r="M48" s="204" t="str">
        <f>IF(Table4[[#This Row],[Residual Security Risk Acceptability Justification]]&gt;0,Table4[[#This Row],[Residual Security Risk Acceptability Justification]],"")</f>
        <v/>
      </c>
      <c r="N48"/>
    </row>
    <row r="49" spans="1:14" s="53" customFormat="1" ht="70" x14ac:dyDescent="0.35">
      <c r="A49" s="203">
        <f>Table4[[#This Row],[
ID '#]]</f>
        <v>45</v>
      </c>
      <c r="B49" s="57" t="str">
        <f>IF(Table4[[#This Row],[T ID]]&gt;0,Table4[[#This Row],[T ID]],"")</f>
        <v>T03</v>
      </c>
      <c r="C49" s="195" t="str">
        <f>Table4[[#This Row],[Threat Event(s)]]</f>
        <v>Gaining Access
([S]TRID[E])</v>
      </c>
      <c r="D49" s="204" t="str">
        <f>IF(Table4[[#This Row],[V ID]]&gt;0,Table4[[#This Row],[V ID]],"")</f>
        <v>V04</v>
      </c>
      <c r="E49" s="195" t="str">
        <f>Table4[[#This Row],[Vulnerabilities]]</f>
        <v>Checking authentication modes for possible hacks and bypasses</v>
      </c>
      <c r="F49" s="205" t="str">
        <f>IF(Table4[[#This Row],[A ID]]&gt;0,Table4[[#This Row],[A ID]],"")</f>
        <v>A11</v>
      </c>
      <c r="G49" s="195" t="str">
        <f>Table4[[#This Row],[Asset]]</f>
        <v>Smart medic app (Stryker Admin Web Application)</v>
      </c>
      <c r="H49" s="208" t="str">
        <f>IF(Table4[[#This Row],[Impact Description]]&gt;0,Table4[[#This Row],[Impact Description]],"")</f>
        <v>1)  Obtain knowledge about system internals
2)  Attempt to find attack vectors 
3)  Possibilities for exploitation of publicly known Vulnerabilities.</v>
      </c>
      <c r="I49" s="204" t="str">
        <f>IF(Table4[[#This Row],[Safety Impact 
(Risk ID'# or N/A)]]&gt;0,Table4[[#This Row],[Safety Impact 
(Risk ID'# or N/A)]],"")</f>
        <v/>
      </c>
      <c r="J49" s="199" t="str">
        <f>Table4[[#This Row],[Security 
Risk 
Level]]</f>
        <v>LOW</v>
      </c>
      <c r="K49" s="204"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202" t="str">
        <f>Table4[[#This Row],[Security Risk LevelP]]</f>
        <v/>
      </c>
      <c r="M49" s="204" t="str">
        <f>IF(Table4[[#This Row],[Residual Security Risk Acceptability Justification]]&gt;0,Table4[[#This Row],[Residual Security Risk Acceptability Justification]],"")</f>
        <v/>
      </c>
      <c r="N49"/>
    </row>
    <row r="50" spans="1:14" s="53" customFormat="1" ht="70" x14ac:dyDescent="0.35">
      <c r="A50" s="203">
        <f>Table4[[#This Row],[
ID '#]]</f>
        <v>46</v>
      </c>
      <c r="B50" s="57" t="str">
        <f>IF(Table4[[#This Row],[T ID]]&gt;0,Table4[[#This Row],[T ID]],"")</f>
        <v>T03</v>
      </c>
      <c r="C50" s="195" t="str">
        <f>Table4[[#This Row],[Threat Event(s)]]</f>
        <v>Gaining Access
([S]TRID[E])</v>
      </c>
      <c r="D50" s="204" t="str">
        <f>IF(Table4[[#This Row],[V ID]]&gt;0,Table4[[#This Row],[V ID]],"")</f>
        <v>V04</v>
      </c>
      <c r="E50" s="195" t="str">
        <f>Table4[[#This Row],[Vulnerabilities]]</f>
        <v>Checking authentication modes for possible hacks and bypasses</v>
      </c>
      <c r="F50" s="205" t="str">
        <f>IF(Table4[[#This Row],[A ID]]&gt;0,Table4[[#This Row],[A ID]],"")</f>
        <v>A12</v>
      </c>
      <c r="G50" s="195" t="str">
        <f>Table4[[#This Row],[Asset]]</f>
        <v>Smart medic app (Azure Portal Administrator)</v>
      </c>
      <c r="H50" s="208" t="str">
        <f>IF(Table4[[#This Row],[Impact Description]]&gt;0,Table4[[#This Row],[Impact Description]],"")</f>
        <v>1)  Obtain knowledge about system internals
2)  Attempt to find attack vectors 
3)  Possibilities for exploitation of publicly known Vulnerabilities.</v>
      </c>
      <c r="I50" s="204" t="str">
        <f>IF(Table4[[#This Row],[Safety Impact 
(Risk ID'# or N/A)]]&gt;0,Table4[[#This Row],[Safety Impact 
(Risk ID'# or N/A)]],"")</f>
        <v/>
      </c>
      <c r="J50" s="199" t="str">
        <f>Table4[[#This Row],[Security 
Risk 
Level]]</f>
        <v>LOW</v>
      </c>
      <c r="K50" s="204"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202" t="str">
        <f>Table4[[#This Row],[Security Risk LevelP]]</f>
        <v/>
      </c>
      <c r="M50" s="204" t="str">
        <f>IF(Table4[[#This Row],[Residual Security Risk Acceptability Justification]]&gt;0,Table4[[#This Row],[Residual Security Risk Acceptability Justification]],"")</f>
        <v/>
      </c>
      <c r="N50"/>
    </row>
    <row r="51" spans="1:14" s="53" customFormat="1" ht="70" x14ac:dyDescent="0.35">
      <c r="A51" s="203">
        <f>Table4[[#This Row],[
ID '#]]</f>
        <v>47</v>
      </c>
      <c r="B51" s="57" t="str">
        <f>IF(Table4[[#This Row],[T ID]]&gt;0,Table4[[#This Row],[T ID]],"")</f>
        <v>T03</v>
      </c>
      <c r="C51" s="195" t="str">
        <f>Table4[[#This Row],[Threat Event(s)]]</f>
        <v>Gaining Access
([S]TRID[E])</v>
      </c>
      <c r="D51" s="204" t="str">
        <f>IF(Table4[[#This Row],[V ID]]&gt;0,Table4[[#This Row],[V ID]],"")</f>
        <v>V13</v>
      </c>
      <c r="E51" s="195" t="str">
        <f>Table4[[#This Row],[Vulnerabilities]]</f>
        <v>Unprotected external USB Port on the tablet/devices.</v>
      </c>
      <c r="F51" s="205" t="str">
        <f>IF(Table4[[#This Row],[A ID]]&gt;0,Table4[[#This Row],[A ID]],"")</f>
        <v>A01</v>
      </c>
      <c r="G51" s="195" t="str">
        <f>Table4[[#This Row],[Asset]]</f>
        <v>Tablet Resources - web cam, microphone, OTG devices, Removable USB, Tablet Application, Network interfaces (Bluetooth, Wifi)</v>
      </c>
      <c r="H51" s="208" t="str">
        <f>IF(Table4[[#This Row],[Impact Description]]&gt;0,Table4[[#This Row],[Impact Description]],"")</f>
        <v>1)  Obtain knowledge about system internals
2)  Attempt to find attack vectors 
3)  Possibilities for exploitation of publicly known Vulnerabilities.</v>
      </c>
      <c r="I51" s="204" t="str">
        <f>IF(Table4[[#This Row],[Safety Impact 
(Risk ID'# or N/A)]]&gt;0,Table4[[#This Row],[Safety Impact 
(Risk ID'# or N/A)]],"")</f>
        <v/>
      </c>
      <c r="J51" s="199" t="str">
        <f>Table4[[#This Row],[Security 
Risk 
Level]]</f>
        <v>LOW</v>
      </c>
      <c r="K51"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1" s="202" t="str">
        <f>Table4[[#This Row],[Security Risk LevelP]]</f>
        <v/>
      </c>
      <c r="M51" s="204" t="str">
        <f>IF(Table4[[#This Row],[Residual Security Risk Acceptability Justification]]&gt;0,Table4[[#This Row],[Residual Security Risk Acceptability Justification]],"")</f>
        <v/>
      </c>
      <c r="N51"/>
    </row>
    <row r="52" spans="1:14" s="53" customFormat="1" ht="70" x14ac:dyDescent="0.35">
      <c r="A52" s="203">
        <f>Table4[[#This Row],[
ID '#]]</f>
        <v>48</v>
      </c>
      <c r="B52" s="57" t="str">
        <f>IF(Table4[[#This Row],[T ID]]&gt;0,Table4[[#This Row],[T ID]],"")</f>
        <v>T04</v>
      </c>
      <c r="C52" s="195" t="str">
        <f>Table4[[#This Row],[Threat Event(s)]]</f>
        <v>Maintaining Access
(TTP)</v>
      </c>
      <c r="D52" s="204" t="str">
        <f>IF(Table4[[#This Row],[V ID]]&gt;0,Table4[[#This Row],[V ID]],"")</f>
        <v>V01</v>
      </c>
      <c r="E52" s="195" t="str">
        <f>Table4[[#This Row],[Vulnerabilities]]</f>
        <v>Devices with default passwords needs to be checked for bruteforce attacks</v>
      </c>
      <c r="F52" s="205" t="str">
        <f>IF(Table4[[#This Row],[A ID]]&gt;0,Table4[[#This Row],[A ID]],"")</f>
        <v>A04</v>
      </c>
      <c r="G52" s="195" t="str">
        <f>Table4[[#This Row],[Asset]]</f>
        <v>Authentication/Authorisation method of all device(s)/app</v>
      </c>
      <c r="H52" s="208" t="str">
        <f>IF(Table4[[#This Row],[Impact Description]]&gt;0,Table4[[#This Row],[Impact Description]],"")</f>
        <v>1)  Obtain knowledge about system internals
2)  Attempt to find attack vectors 
3)  Possibilities for exploitation of publicly known Vulnerabilities.</v>
      </c>
      <c r="I52" s="204" t="str">
        <f>IF(Table4[[#This Row],[Safety Impact 
(Risk ID'# or N/A)]]&gt;0,Table4[[#This Row],[Safety Impact 
(Risk ID'# or N/A)]],"")</f>
        <v/>
      </c>
      <c r="J52" s="199" t="str">
        <f>Table4[[#This Row],[Security 
Risk 
Level]]</f>
        <v>LOW</v>
      </c>
      <c r="K52" s="204"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Maintain Access Logs
5. Maintain Server Security Logs
6. Stronger authentication methods</v>
      </c>
      <c r="L52" s="202" t="str">
        <f>Table4[[#This Row],[Security Risk LevelP]]</f>
        <v/>
      </c>
      <c r="M52" s="204" t="str">
        <f>IF(Table4[[#This Row],[Residual Security Risk Acceptability Justification]]&gt;0,Table4[[#This Row],[Residual Security Risk Acceptability Justification]],"")</f>
        <v/>
      </c>
      <c r="N52"/>
    </row>
    <row r="53" spans="1:14" s="53" customFormat="1" ht="70" x14ac:dyDescent="0.35">
      <c r="A53" s="203">
        <f>Table4[[#This Row],[
ID '#]]</f>
        <v>49</v>
      </c>
      <c r="B53" s="57" t="str">
        <f>IF(Table4[[#This Row],[T ID]]&gt;0,Table4[[#This Row],[T ID]],"")</f>
        <v>T04</v>
      </c>
      <c r="C53" s="195" t="str">
        <f>Table4[[#This Row],[Threat Event(s)]]</f>
        <v>Maintaining Access
(TTP)</v>
      </c>
      <c r="D53" s="204" t="str">
        <f>IF(Table4[[#This Row],[V ID]]&gt;0,Table4[[#This Row],[V ID]],"")</f>
        <v>V03</v>
      </c>
      <c r="E53" s="195" t="str">
        <f>Table4[[#This Row],[Vulnerabilities]]</f>
        <v>The password complexity or location vulnerability. Like weak passwords and hardcoded passwords.</v>
      </c>
      <c r="F53" s="205" t="str">
        <f>IF(Table4[[#This Row],[A ID]]&gt;0,Table4[[#This Row],[A ID]],"")</f>
        <v>A04</v>
      </c>
      <c r="G53" s="195" t="str">
        <f>Table4[[#This Row],[Asset]]</f>
        <v>Authentication/Authorisation method of all device(s)/app</v>
      </c>
      <c r="H53" s="208" t="str">
        <f>IF(Table4[[#This Row],[Impact Description]]&gt;0,Table4[[#This Row],[Impact Description]],"")</f>
        <v>1)  Obtain knowledge about system internals
2)  Attempt to find attack vectors 
3)  Possibilities for exploitation of publicly known Vulnerabilities.</v>
      </c>
      <c r="I53" s="204" t="str">
        <f>IF(Table4[[#This Row],[Safety Impact 
(Risk ID'# or N/A)]]&gt;0,Table4[[#This Row],[Safety Impact 
(Risk ID'# or N/A)]],"")</f>
        <v/>
      </c>
      <c r="J53" s="199" t="str">
        <f>Table4[[#This Row],[Security 
Risk 
Level]]</f>
        <v>LOW</v>
      </c>
      <c r="K53" s="204"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Maintain Access Logs
5. Maintain Server Security Logs
6. Stronger authentication methods</v>
      </c>
      <c r="L53" s="202" t="str">
        <f>Table4[[#This Row],[Security Risk LevelP]]</f>
        <v/>
      </c>
      <c r="M53" s="204" t="str">
        <f>IF(Table4[[#This Row],[Residual Security Risk Acceptability Justification]]&gt;0,Table4[[#This Row],[Residual Security Risk Acceptability Justification]],"")</f>
        <v/>
      </c>
      <c r="N53"/>
    </row>
    <row r="54" spans="1:14" s="53" customFormat="1" ht="112" x14ac:dyDescent="0.35">
      <c r="A54" s="203">
        <f>Table4[[#This Row],[
ID '#]]</f>
        <v>50</v>
      </c>
      <c r="B54" s="57" t="str">
        <f>IF(Table4[[#This Row],[T ID]]&gt;0,Table4[[#This Row],[T ID]],"")</f>
        <v>T05</v>
      </c>
      <c r="C54" s="195" t="str">
        <f>Table4[[#This Row],[Threat Event(s)]]</f>
        <v>Clearing Track
(TTP)</v>
      </c>
      <c r="D54" s="204" t="str">
        <f>IF(Table4[[#This Row],[V ID]]&gt;0,Table4[[#This Row],[V ID]],"")</f>
        <v>V21</v>
      </c>
      <c r="E54" s="195" t="str">
        <f>Table4[[#This Row],[Vulnerabilities]]</f>
        <v>InSecure Configuration for Software/OS on Mobile Devices, Laptops, Workstations, and Servers</v>
      </c>
      <c r="F54" s="205" t="str">
        <f>IF(Table4[[#This Row],[A ID]]&gt;0,Table4[[#This Row],[A ID]],"")</f>
        <v>A01</v>
      </c>
      <c r="G54" s="195" t="str">
        <f>Table4[[#This Row],[Asset]]</f>
        <v>Tablet Resources - web cam, microphone, OTG devices, Removable USB, Tablet Application, Network interfaces (Bluetooth, Wifi)</v>
      </c>
      <c r="H54"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204" t="str">
        <f>IF(Table4[[#This Row],[Safety Impact 
(Risk ID'# or N/A)]]&gt;0,Table4[[#This Row],[Safety Impact 
(Risk ID'# or N/A)]],"")</f>
        <v/>
      </c>
      <c r="J54" s="199" t="str">
        <f>Table4[[#This Row],[Security 
Risk 
Level]]</f>
        <v>LOW</v>
      </c>
      <c r="K54"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4" s="202" t="str">
        <f>Table4[[#This Row],[Security Risk LevelP]]</f>
        <v/>
      </c>
      <c r="M54" s="204" t="str">
        <f>IF(Table4[[#This Row],[Residual Security Risk Acceptability Justification]]&gt;0,Table4[[#This Row],[Residual Security Risk Acceptability Justification]],"")</f>
        <v/>
      </c>
      <c r="N54"/>
    </row>
    <row r="55" spans="1:14" s="53" customFormat="1" ht="112" x14ac:dyDescent="0.35">
      <c r="A55" s="203">
        <f>Table4[[#This Row],[
ID '#]]</f>
        <v>51</v>
      </c>
      <c r="B55" s="57" t="str">
        <f>IF(Table4[[#This Row],[T ID]]&gt;0,Table4[[#This Row],[T ID]],"")</f>
        <v>T05</v>
      </c>
      <c r="C55" s="195" t="str">
        <f>Table4[[#This Row],[Threat Event(s)]]</f>
        <v>Clearing Track
(TTP)</v>
      </c>
      <c r="D55" s="204" t="str">
        <f>IF(Table4[[#This Row],[V ID]]&gt;0,Table4[[#This Row],[V ID]],"")</f>
        <v>V23</v>
      </c>
      <c r="E55" s="195" t="str">
        <f>Table4[[#This Row],[Vulnerabilities]]</f>
        <v>Outdated  - Software/Hardware</v>
      </c>
      <c r="F55" s="205" t="str">
        <f>IF(Table4[[#This Row],[A ID]]&gt;0,Table4[[#This Row],[A ID]],"")</f>
        <v>A01</v>
      </c>
      <c r="G55" s="195" t="str">
        <f>Table4[[#This Row],[Asset]]</f>
        <v>Tablet Resources - web cam, microphone, OTG devices, Removable USB, Tablet Application, Network interfaces (Bluetooth, Wifi)</v>
      </c>
      <c r="H55"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204" t="str">
        <f>IF(Table4[[#This Row],[Safety Impact 
(Risk ID'# or N/A)]]&gt;0,Table4[[#This Row],[Safety Impact 
(Risk ID'# or N/A)]],"")</f>
        <v/>
      </c>
      <c r="J55" s="199" t="str">
        <f>Table4[[#This Row],[Security 
Risk 
Level]]</f>
        <v>LOW</v>
      </c>
      <c r="K55"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5" s="202" t="str">
        <f>Table4[[#This Row],[Security Risk LevelP]]</f>
        <v/>
      </c>
      <c r="M55" s="204" t="str">
        <f>IF(Table4[[#This Row],[Residual Security Risk Acceptability Justification]]&gt;0,Table4[[#This Row],[Residual Security Risk Acceptability Justification]],"")</f>
        <v/>
      </c>
      <c r="N55"/>
    </row>
    <row r="56" spans="1:14" s="53" customFormat="1" ht="112" x14ac:dyDescent="0.35">
      <c r="A56" s="203">
        <f>Table4[[#This Row],[
ID '#]]</f>
        <v>52</v>
      </c>
      <c r="B56" s="57" t="str">
        <f>IF(Table4[[#This Row],[T ID]]&gt;0,Table4[[#This Row],[T ID]],"")</f>
        <v>T05</v>
      </c>
      <c r="C56" s="195" t="str">
        <f>Table4[[#This Row],[Threat Event(s)]]</f>
        <v>Clearing Track
(TTP)</v>
      </c>
      <c r="D56" s="204" t="str">
        <f>IF(Table4[[#This Row],[V ID]]&gt;0,Table4[[#This Row],[V ID]],"")</f>
        <v>V07</v>
      </c>
      <c r="E56" s="195" t="str">
        <f>Table4[[#This Row],[Vulnerabilities]]</f>
        <v>Lack of configuration controls for IT assets in the informaion system plan</v>
      </c>
      <c r="F56" s="205" t="str">
        <f>IF(Table4[[#This Row],[A ID]]&gt;0,Table4[[#This Row],[A ID]],"")</f>
        <v>A01</v>
      </c>
      <c r="G56" s="195" t="str">
        <f>Table4[[#This Row],[Asset]]</f>
        <v>Tablet Resources - web cam, microphone, OTG devices, Removable USB, Tablet Application, Network interfaces (Bluetooth, Wifi)</v>
      </c>
      <c r="H56"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204" t="str">
        <f>IF(Table4[[#This Row],[Safety Impact 
(Risk ID'# or N/A)]]&gt;0,Table4[[#This Row],[Safety Impact 
(Risk ID'# or N/A)]],"")</f>
        <v/>
      </c>
      <c r="J56" s="199" t="str">
        <f>Table4[[#This Row],[Security 
Risk 
Level]]</f>
        <v>LOW</v>
      </c>
      <c r="K56"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6" s="202" t="str">
        <f>Table4[[#This Row],[Security Risk LevelP]]</f>
        <v/>
      </c>
      <c r="M56" s="204" t="str">
        <f>IF(Table4[[#This Row],[Residual Security Risk Acceptability Justification]]&gt;0,Table4[[#This Row],[Residual Security Risk Acceptability Justification]],"")</f>
        <v/>
      </c>
      <c r="N56"/>
    </row>
    <row r="57" spans="1:14" s="53" customFormat="1" ht="112" x14ac:dyDescent="0.35">
      <c r="A57" s="203">
        <f>Table4[[#This Row],[
ID '#]]</f>
        <v>53</v>
      </c>
      <c r="B57" s="57" t="str">
        <f>IF(Table4[[#This Row],[T ID]]&gt;0,Table4[[#This Row],[T ID]],"")</f>
        <v>T05</v>
      </c>
      <c r="C57" s="195" t="str">
        <f>Table4[[#This Row],[Threat Event(s)]]</f>
        <v>Clearing Track
(TTP)</v>
      </c>
      <c r="D57" s="204" t="str">
        <f>IF(Table4[[#This Row],[V ID]]&gt;0,Table4[[#This Row],[V ID]],"")</f>
        <v>V07</v>
      </c>
      <c r="E57" s="195" t="str">
        <f>Table4[[#This Row],[Vulnerabilities]]</f>
        <v>Lack of configuration controls for IT assets in the informaion system plan</v>
      </c>
      <c r="F57" s="205" t="str">
        <f>IF(Table4[[#This Row],[A ID]]&gt;0,Table4[[#This Row],[A ID]],"")</f>
        <v>A05</v>
      </c>
      <c r="G57" s="195" t="str">
        <f>Table4[[#This Row],[Asset]]</f>
        <v>Device Maintainence tool (Hardware/Software)</v>
      </c>
      <c r="H57"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204" t="str">
        <f>IF(Table4[[#This Row],[Safety Impact 
(Risk ID'# or N/A)]]&gt;0,Table4[[#This Row],[Safety Impact 
(Risk ID'# or N/A)]],"")</f>
        <v/>
      </c>
      <c r="J57" s="199" t="str">
        <f>Table4[[#This Row],[Security 
Risk 
Level]]</f>
        <v>LOW</v>
      </c>
      <c r="K57"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7" s="202" t="str">
        <f>Table4[[#This Row],[Security Risk LevelP]]</f>
        <v/>
      </c>
      <c r="M57" s="204" t="str">
        <f>IF(Table4[[#This Row],[Residual Security Risk Acceptability Justification]]&gt;0,Table4[[#This Row],[Residual Security Risk Acceptability Justification]],"")</f>
        <v/>
      </c>
      <c r="N57"/>
    </row>
    <row r="58" spans="1:14" s="53" customFormat="1" ht="112" x14ac:dyDescent="0.35">
      <c r="A58" s="203">
        <f>Table4[[#This Row],[
ID '#]]</f>
        <v>54</v>
      </c>
      <c r="B58" s="57" t="str">
        <f>IF(Table4[[#This Row],[T ID]]&gt;0,Table4[[#This Row],[T ID]],"")</f>
        <v>T05</v>
      </c>
      <c r="C58" s="195" t="str">
        <f>Table4[[#This Row],[Threat Event(s)]]</f>
        <v>Clearing Track
(TTP)</v>
      </c>
      <c r="D58" s="204" t="str">
        <f>IF(Table4[[#This Row],[V ID]]&gt;0,Table4[[#This Row],[V ID]],"")</f>
        <v>V08</v>
      </c>
      <c r="E58" s="195" t="str">
        <f>Table4[[#This Row],[Vulnerabilities]]</f>
        <v>Ineffective patch management of firware, OS and applications thoughout the information system plan</v>
      </c>
      <c r="F58" s="205" t="str">
        <f>IF(Table4[[#This Row],[A ID]]&gt;0,Table4[[#This Row],[A ID]],"")</f>
        <v>A01</v>
      </c>
      <c r="G58" s="195" t="str">
        <f>Table4[[#This Row],[Asset]]</f>
        <v>Tablet Resources - web cam, microphone, OTG devices, Removable USB, Tablet Application, Network interfaces (Bluetooth, Wifi)</v>
      </c>
      <c r="H58"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204" t="str">
        <f>IF(Table4[[#This Row],[Safety Impact 
(Risk ID'# or N/A)]]&gt;0,Table4[[#This Row],[Safety Impact 
(Risk ID'# or N/A)]],"")</f>
        <v/>
      </c>
      <c r="J58" s="199" t="str">
        <f>Table4[[#This Row],[Security 
Risk 
Level]]</f>
        <v>LOW</v>
      </c>
      <c r="K58"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8" s="202" t="str">
        <f>Table4[[#This Row],[Security Risk LevelP]]</f>
        <v/>
      </c>
      <c r="M58" s="204" t="str">
        <f>IF(Table4[[#This Row],[Residual Security Risk Acceptability Justification]]&gt;0,Table4[[#This Row],[Residual Security Risk Acceptability Justification]],"")</f>
        <v/>
      </c>
      <c r="N58"/>
    </row>
    <row r="59" spans="1:14" s="53" customFormat="1" ht="112" x14ac:dyDescent="0.35">
      <c r="A59" s="203">
        <f>Table4[[#This Row],[
ID '#]]</f>
        <v>55</v>
      </c>
      <c r="B59" s="57" t="str">
        <f>IF(Table4[[#This Row],[T ID]]&gt;0,Table4[[#This Row],[T ID]],"")</f>
        <v>T05</v>
      </c>
      <c r="C59" s="195" t="str">
        <f>Table4[[#This Row],[Threat Event(s)]]</f>
        <v>Clearing Track
(TTP)</v>
      </c>
      <c r="D59" s="204" t="str">
        <f>IF(Table4[[#This Row],[V ID]]&gt;0,Table4[[#This Row],[V ID]],"")</f>
        <v>V08</v>
      </c>
      <c r="E59" s="195" t="str">
        <f>Table4[[#This Row],[Vulnerabilities]]</f>
        <v>Ineffective patch management of firware, OS and applications thoughout the information system plan</v>
      </c>
      <c r="F59" s="205" t="str">
        <f>IF(Table4[[#This Row],[A ID]]&gt;0,Table4[[#This Row],[A ID]],"")</f>
        <v>A05</v>
      </c>
      <c r="G59" s="195" t="str">
        <f>Table4[[#This Row],[Asset]]</f>
        <v>Device Maintainence tool (Hardware/Software)</v>
      </c>
      <c r="H59"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204" t="str">
        <f>IF(Table4[[#This Row],[Safety Impact 
(Risk ID'# or N/A)]]&gt;0,Table4[[#This Row],[Safety Impact 
(Risk ID'# or N/A)]],"")</f>
        <v/>
      </c>
      <c r="J59" s="199" t="str">
        <f>Table4[[#This Row],[Security 
Risk 
Level]]</f>
        <v>LOW</v>
      </c>
      <c r="K59"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59" s="202" t="str">
        <f>Table4[[#This Row],[Security Risk LevelP]]</f>
        <v/>
      </c>
      <c r="M59" s="204" t="str">
        <f>IF(Table4[[#This Row],[Residual Security Risk Acceptability Justification]]&gt;0,Table4[[#This Row],[Residual Security Risk Acceptability Justification]],"")</f>
        <v/>
      </c>
      <c r="N59"/>
    </row>
    <row r="60" spans="1:14" s="53" customFormat="1" ht="112" x14ac:dyDescent="0.35">
      <c r="A60" s="203">
        <f>Table4[[#This Row],[
ID '#]]</f>
        <v>56</v>
      </c>
      <c r="B60" s="57" t="str">
        <f>IF(Table4[[#This Row],[T ID]]&gt;0,Table4[[#This Row],[T ID]],"")</f>
        <v>T05</v>
      </c>
      <c r="C60" s="195" t="str">
        <f>Table4[[#This Row],[Threat Event(s)]]</f>
        <v>Clearing Track
(TTP)</v>
      </c>
      <c r="D60" s="204" t="str">
        <f>IF(Table4[[#This Row],[V ID]]&gt;0,Table4[[#This Row],[V ID]],"")</f>
        <v>V08</v>
      </c>
      <c r="E60" s="195" t="str">
        <f>Table4[[#This Row],[Vulnerabilities]]</f>
        <v>Ineffective patch management of firware, OS and applications thoughout the information system plan</v>
      </c>
      <c r="F60" s="205" t="str">
        <f>IF(Table4[[#This Row],[A ID]]&gt;0,Table4[[#This Row],[A ID]],"")</f>
        <v>A02</v>
      </c>
      <c r="G60" s="195" t="str">
        <f>Table4[[#This Row],[Asset]]</f>
        <v>Tablet OS/network details &amp; Tablet Application</v>
      </c>
      <c r="H60"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204" t="str">
        <f>IF(Table4[[#This Row],[Safety Impact 
(Risk ID'# or N/A)]]&gt;0,Table4[[#This Row],[Safety Impact 
(Risk ID'# or N/A)]],"")</f>
        <v/>
      </c>
      <c r="J60" s="199" t="str">
        <f>Table4[[#This Row],[Security 
Risk 
Level]]</f>
        <v>LOW</v>
      </c>
      <c r="K60"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60" s="202" t="str">
        <f>Table4[[#This Row],[Security Risk LevelP]]</f>
        <v/>
      </c>
      <c r="M60" s="204" t="str">
        <f>IF(Table4[[#This Row],[Residual Security Risk Acceptability Justification]]&gt;0,Table4[[#This Row],[Residual Security Risk Acceptability Justification]],"")</f>
        <v/>
      </c>
      <c r="N60"/>
    </row>
    <row r="61" spans="1:14" s="53" customFormat="1" ht="112" x14ac:dyDescent="0.35">
      <c r="A61" s="203">
        <f>Table4[[#This Row],[
ID '#]]</f>
        <v>57</v>
      </c>
      <c r="B61" s="57" t="str">
        <f>IF(Table4[[#This Row],[T ID]]&gt;0,Table4[[#This Row],[T ID]],"")</f>
        <v>T05</v>
      </c>
      <c r="C61" s="195" t="str">
        <f>Table4[[#This Row],[Threat Event(s)]]</f>
        <v>Clearing Track
(TTP)</v>
      </c>
      <c r="D61" s="204" t="str">
        <f>IF(Table4[[#This Row],[V ID]]&gt;0,Table4[[#This Row],[V ID]],"")</f>
        <v>V10</v>
      </c>
      <c r="E61" s="195" t="str">
        <f>Table4[[#This Row],[Vulnerabilities]]</f>
        <v>The  static connection digaram between devices and applications with provision for periodic updation as per changes</v>
      </c>
      <c r="F61" s="205" t="str">
        <f>IF(Table4[[#This Row],[A ID]]&gt;0,Table4[[#This Row],[A ID]],"")</f>
        <v>A05</v>
      </c>
      <c r="G61" s="195" t="str">
        <f>Table4[[#This Row],[Asset]]</f>
        <v>Device Maintainence tool (Hardware/Software)</v>
      </c>
      <c r="H61"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204" t="str">
        <f>IF(Table4[[#This Row],[Safety Impact 
(Risk ID'# or N/A)]]&gt;0,Table4[[#This Row],[Safety Impact 
(Risk ID'# or N/A)]],"")</f>
        <v/>
      </c>
      <c r="J61" s="199" t="str">
        <f>Table4[[#This Row],[Security 
Risk 
Level]]</f>
        <v>LOW</v>
      </c>
      <c r="K61"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61" s="202" t="str">
        <f>Table4[[#This Row],[Security Risk LevelP]]</f>
        <v/>
      </c>
      <c r="M61" s="204" t="str">
        <f>IF(Table4[[#This Row],[Residual Security Risk Acceptability Justification]]&gt;0,Table4[[#This Row],[Residual Security Risk Acceptability Justification]],"")</f>
        <v/>
      </c>
      <c r="N61"/>
    </row>
    <row r="62" spans="1:14" s="53" customFormat="1" ht="112" x14ac:dyDescent="0.35">
      <c r="A62" s="203">
        <f>Table4[[#This Row],[
ID '#]]</f>
        <v>58</v>
      </c>
      <c r="B62" s="57" t="str">
        <f>IF(Table4[[#This Row],[T ID]]&gt;0,Table4[[#This Row],[T ID]],"")</f>
        <v>T05</v>
      </c>
      <c r="C62" s="195" t="str">
        <f>Table4[[#This Row],[Threat Event(s)]]</f>
        <v>Clearing Track
(TTP)</v>
      </c>
      <c r="D62" s="204" t="str">
        <f>IF(Table4[[#This Row],[V ID]]&gt;0,Table4[[#This Row],[V ID]],"")</f>
        <v>V10</v>
      </c>
      <c r="E62" s="195" t="str">
        <f>Table4[[#This Row],[Vulnerabilities]]</f>
        <v>The  static connection digaram between devices and applications with provision for periodic updation as per changes</v>
      </c>
      <c r="F62" s="205" t="str">
        <f>IF(Table4[[#This Row],[A ID]]&gt;0,Table4[[#This Row],[A ID]],"")</f>
        <v>A01</v>
      </c>
      <c r="G62" s="195" t="str">
        <f>Table4[[#This Row],[Asset]]</f>
        <v>Tablet Resources - web cam, microphone, OTG devices, Removable USB, Tablet Application, Network interfaces (Bluetooth, Wifi)</v>
      </c>
      <c r="H62"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204" t="str">
        <f>IF(Table4[[#This Row],[Safety Impact 
(Risk ID'# or N/A)]]&gt;0,Table4[[#This Row],[Safety Impact 
(Risk ID'# or N/A)]],"")</f>
        <v/>
      </c>
      <c r="J62" s="199" t="str">
        <f>Table4[[#This Row],[Security 
Risk 
Level]]</f>
        <v>LOW</v>
      </c>
      <c r="K62"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62" s="202" t="str">
        <f>Table4[[#This Row],[Security Risk LevelP]]</f>
        <v/>
      </c>
      <c r="M62" s="204" t="str">
        <f>IF(Table4[[#This Row],[Residual Security Risk Acceptability Justification]]&gt;0,Table4[[#This Row],[Residual Security Risk Acceptability Justification]],"")</f>
        <v/>
      </c>
      <c r="N62"/>
    </row>
    <row r="63" spans="1:14" s="53" customFormat="1" ht="56" x14ac:dyDescent="0.35">
      <c r="A63" s="203">
        <f>Table4[[#This Row],[
ID '#]]</f>
        <v>59</v>
      </c>
      <c r="B63" s="57" t="str">
        <f>IF(Table4[[#This Row],[T ID]]&gt;0,Table4[[#This Row],[T ID]],"")</f>
        <v>T06</v>
      </c>
      <c r="C63" s="195" t="str">
        <f>Table4[[#This Row],[Threat Event(s)]]</f>
        <v>Elevation of privilege
(STRID[E])</v>
      </c>
      <c r="D63" s="204" t="str">
        <f>IF(Table4[[#This Row],[V ID]]&gt;0,Table4[[#This Row],[V ID]],"")</f>
        <v>V15</v>
      </c>
      <c r="E63" s="195" t="str">
        <f>Table4[[#This Row],[Vulnerabilities]]</f>
        <v>Controlled Use of Administrative Privileges over the network</v>
      </c>
      <c r="F63" s="205" t="str">
        <f>IF(Table4[[#This Row],[A ID]]&gt;0,Table4[[#This Row],[A ID]],"")</f>
        <v>A04</v>
      </c>
      <c r="G63" s="195" t="str">
        <f>Table4[[#This Row],[Asset]]</f>
        <v>Authentication/Authorisation method of all device(s)/app</v>
      </c>
      <c r="H63" s="208" t="str">
        <f>IF(Table4[[#This Row],[Impact Description]]&gt;0,Table4[[#This Row],[Impact Description]],"")</f>
        <v>1) Gaining access to the portal 
2) Accessing confidential data, 
3) Lead misuse of confidential data
4)  Company defamation</v>
      </c>
      <c r="I63" s="204" t="str">
        <f>IF(Table4[[#This Row],[Safety Impact 
(Risk ID'# or N/A)]]&gt;0,Table4[[#This Row],[Safety Impact 
(Risk ID'# or N/A)]],"")</f>
        <v/>
      </c>
      <c r="J63" s="199" t="str">
        <f>Table4[[#This Row],[Security 
Risk 
Level]]</f>
        <v>LOW</v>
      </c>
      <c r="K63" s="204"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Change all default credentials for applications, operating systems, routers, firewalls, wireless access points</v>
      </c>
      <c r="L63" s="202" t="str">
        <f>Table4[[#This Row],[Security Risk LevelP]]</f>
        <v/>
      </c>
      <c r="M63" s="204" t="str">
        <f>IF(Table4[[#This Row],[Residual Security Risk Acceptability Justification]]&gt;0,Table4[[#This Row],[Residual Security Risk Acceptability Justification]],"")</f>
        <v/>
      </c>
      <c r="N63"/>
    </row>
    <row r="64" spans="1:14" s="53" customFormat="1" ht="56" x14ac:dyDescent="0.35">
      <c r="A64" s="203">
        <f>Table4[[#This Row],[
ID '#]]</f>
        <v>60</v>
      </c>
      <c r="B64" s="57" t="str">
        <f>IF(Table4[[#This Row],[T ID]]&gt;0,Table4[[#This Row],[T ID]],"")</f>
        <v>T06</v>
      </c>
      <c r="C64" s="195" t="str">
        <f>Table4[[#This Row],[Threat Event(s)]]</f>
        <v>Elevation of privilege
(STRID[E])</v>
      </c>
      <c r="D64" s="204" t="str">
        <f>IF(Table4[[#This Row],[V ID]]&gt;0,Table4[[#This Row],[V ID]],"")</f>
        <v>V15</v>
      </c>
      <c r="E64" s="195" t="str">
        <f>Table4[[#This Row],[Vulnerabilities]]</f>
        <v>Controlled Use of Administrative Privileges over the network</v>
      </c>
      <c r="F64" s="205" t="str">
        <f>IF(Table4[[#This Row],[A ID]]&gt;0,Table4[[#This Row],[A ID]],"")</f>
        <v>A12</v>
      </c>
      <c r="G64" s="195" t="str">
        <f>Table4[[#This Row],[Asset]]</f>
        <v>Smart medic app (Azure Portal Administrator)</v>
      </c>
      <c r="H64" s="208" t="str">
        <f>IF(Table4[[#This Row],[Impact Description]]&gt;0,Table4[[#This Row],[Impact Description]],"")</f>
        <v>1) Gaining access to the portal 
2) Accessing confidential data, 
3) Lead misuse of confidential data
4)  Company defamation</v>
      </c>
      <c r="I64" s="204" t="str">
        <f>IF(Table4[[#This Row],[Safety Impact 
(Risk ID'# or N/A)]]&gt;0,Table4[[#This Row],[Safety Impact 
(Risk ID'# or N/A)]],"")</f>
        <v/>
      </c>
      <c r="J64" s="199" t="str">
        <f>Table4[[#This Row],[Security 
Risk 
Level]]</f>
        <v>MEDIUM</v>
      </c>
      <c r="K64" s="204"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Change all default credentials for applications, operating systems, routers, firewalls, wireless access points</v>
      </c>
      <c r="L64" s="202" t="str">
        <f>Table4[[#This Row],[Security Risk LevelP]]</f>
        <v/>
      </c>
      <c r="M64" s="204" t="str">
        <f>IF(Table4[[#This Row],[Residual Security Risk Acceptability Justification]]&gt;0,Table4[[#This Row],[Residual Security Risk Acceptability Justification]],"")</f>
        <v/>
      </c>
      <c r="N64"/>
    </row>
    <row r="65" spans="1:14" s="53" customFormat="1" ht="56" x14ac:dyDescent="0.35">
      <c r="A65" s="203">
        <f>Table4[[#This Row],[
ID '#]]</f>
        <v>61</v>
      </c>
      <c r="B65" s="57" t="str">
        <f>IF(Table4[[#This Row],[T ID]]&gt;0,Table4[[#This Row],[T ID]],"")</f>
        <v>T07</v>
      </c>
      <c r="C65" s="195" t="str">
        <f>Table4[[#This Row],[Threat Event(s)]]</f>
        <v>Denial of service
(STRI(D)E)</v>
      </c>
      <c r="D65" s="204" t="str">
        <f>IF(Table4[[#This Row],[V ID]]&gt;0,Table4[[#This Row],[V ID]],"")</f>
        <v>V12</v>
      </c>
      <c r="E65" s="195" t="str">
        <f>Table4[[#This Row],[Vulnerabilities]]</f>
        <v>Unprotected network port(s) on network devices and connection points</v>
      </c>
      <c r="F65" s="205" t="str">
        <f>IF(Table4[[#This Row],[A ID]]&gt;0,Table4[[#This Row],[A ID]],"")</f>
        <v>A02</v>
      </c>
      <c r="G65" s="195" t="str">
        <f>Table4[[#This Row],[Asset]]</f>
        <v>Tablet OS/network details &amp; Tablet Application</v>
      </c>
      <c r="H65" s="208" t="str">
        <f>IF(Table4[[#This Row],[Impact Description]]&gt;0,Table4[[#This Row],[Impact Description]],"")</f>
        <v>1) Bring down the service availability 
2) Blocking the end user usage</v>
      </c>
      <c r="I65" s="204" t="str">
        <f>IF(Table4[[#This Row],[Safety Impact 
(Risk ID'# or N/A)]]&gt;0,Table4[[#This Row],[Safety Impact 
(Risk ID'# or N/A)]],"")</f>
        <v/>
      </c>
      <c r="J65" s="199" t="str">
        <f>Table4[[#This Row],[Security 
Risk 
Level]]</f>
        <v>MEDIUM</v>
      </c>
      <c r="K65"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65" s="202" t="str">
        <f>Table4[[#This Row],[Security Risk LevelP]]</f>
        <v/>
      </c>
      <c r="M65" s="204" t="str">
        <f>IF(Table4[[#This Row],[Residual Security Risk Acceptability Justification]]&gt;0,Table4[[#This Row],[Residual Security Risk Acceptability Justification]],"")</f>
        <v/>
      </c>
      <c r="N65"/>
    </row>
    <row r="66" spans="1:14" s="53" customFormat="1" ht="42" x14ac:dyDescent="0.35">
      <c r="A66" s="203">
        <f>Table4[[#This Row],[
ID '#]]</f>
        <v>62</v>
      </c>
      <c r="B66" s="57" t="str">
        <f>IF(Table4[[#This Row],[T ID]]&gt;0,Table4[[#This Row],[T ID]],"")</f>
        <v>T08</v>
      </c>
      <c r="C66" s="195" t="str">
        <f>Table4[[#This Row],[Threat Event(s)]]</f>
        <v>Information disclosure
(STR(I)DE)</v>
      </c>
      <c r="D66" s="204" t="str">
        <f>IF(Table4[[#This Row],[V ID]]&gt;0,Table4[[#This Row],[V ID]],"")</f>
        <v>V16</v>
      </c>
      <c r="E66" s="195" t="str">
        <f>Table4[[#This Row],[Vulnerabilities]]</f>
        <v>Unencrypted data at rest in all possible locations</v>
      </c>
      <c r="F66" s="205" t="str">
        <f>IF(Table4[[#This Row],[A ID]]&gt;0,Table4[[#This Row],[A ID]],"")</f>
        <v>A09</v>
      </c>
      <c r="G66" s="195" t="str">
        <f>Table4[[#This Row],[Asset]]</f>
        <v>Data at Rest</v>
      </c>
      <c r="H66" s="208" t="str">
        <f>IF(Table4[[#This Row],[Impact Description]]&gt;0,Table4[[#This Row],[Impact Description]],"")</f>
        <v>Information of health data can be exploit and disclose with various means like network, tablet etc.  .</v>
      </c>
      <c r="I66" s="204" t="str">
        <f>IF(Table4[[#This Row],[Safety Impact 
(Risk ID'# or N/A)]]&gt;0,Table4[[#This Row],[Safety Impact 
(Risk ID'# or N/A)]],"")</f>
        <v/>
      </c>
      <c r="J66" s="199" t="str">
        <f>Table4[[#This Row],[Security 
Risk 
Level]]</f>
        <v>LOW</v>
      </c>
      <c r="K66" s="204"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list.
5. Use strong encrption algorithm </v>
      </c>
      <c r="L66" s="202" t="str">
        <f>Table4[[#This Row],[Security Risk LevelP]]</f>
        <v/>
      </c>
      <c r="M66" s="204" t="str">
        <f>IF(Table4[[#This Row],[Residual Security Risk Acceptability Justification]]&gt;0,Table4[[#This Row],[Residual Security Risk Acceptability Justification]],"")</f>
        <v/>
      </c>
      <c r="N66"/>
    </row>
    <row r="67" spans="1:14" s="53" customFormat="1" ht="42" x14ac:dyDescent="0.35">
      <c r="A67" s="203">
        <f>Table4[[#This Row],[
ID '#]]</f>
        <v>63</v>
      </c>
      <c r="B67" s="57" t="str">
        <f>IF(Table4[[#This Row],[T ID]]&gt;0,Table4[[#This Row],[T ID]],"")</f>
        <v>T08</v>
      </c>
      <c r="C67" s="195" t="str">
        <f>Table4[[#This Row],[Threat Event(s)]]</f>
        <v>Information disclosure
(STR(I)DE)</v>
      </c>
      <c r="D67" s="204" t="str">
        <f>IF(Table4[[#This Row],[V ID]]&gt;0,Table4[[#This Row],[V ID]],"")</f>
        <v>V17</v>
      </c>
      <c r="E67" s="195" t="str">
        <f>Table4[[#This Row],[Vulnerabilities]]</f>
        <v>Unencrypted data in transit in all flowchannels</v>
      </c>
      <c r="F67" s="205" t="str">
        <f>IF(Table4[[#This Row],[A ID]]&gt;0,Table4[[#This Row],[A ID]],"")</f>
        <v>A10</v>
      </c>
      <c r="G67" s="195" t="str">
        <f>Table4[[#This Row],[Asset]]</f>
        <v>Data in Transit</v>
      </c>
      <c r="H67" s="208" t="str">
        <f>IF(Table4[[#This Row],[Impact Description]]&gt;0,Table4[[#This Row],[Impact Description]],"")</f>
        <v>Information of health data can be exploit and disclose with various means like network, tablet etc.  .</v>
      </c>
      <c r="I67" s="204" t="str">
        <f>IF(Table4[[#This Row],[Safety Impact 
(Risk ID'# or N/A)]]&gt;0,Table4[[#This Row],[Safety Impact 
(Risk ID'# or N/A)]],"")</f>
        <v/>
      </c>
      <c r="J67" s="199" t="str">
        <f>Table4[[#This Row],[Security 
Risk 
Level]]</f>
        <v>LOW</v>
      </c>
      <c r="K67" s="204"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list.
5. For sensitive data proper encryption mechanism needs to be 
designed &amp; implemented</v>
      </c>
      <c r="L67" s="202" t="str">
        <f>Table4[[#This Row],[Security Risk LevelP]]</f>
        <v/>
      </c>
      <c r="M67" s="204" t="str">
        <f>IF(Table4[[#This Row],[Residual Security Risk Acceptability Justification]]&gt;0,Table4[[#This Row],[Residual Security Risk Acceptability Justification]],"")</f>
        <v/>
      </c>
      <c r="N67"/>
    </row>
    <row r="68" spans="1:14" s="53" customFormat="1" ht="56" x14ac:dyDescent="0.35">
      <c r="A68" s="203">
        <f>Table4[[#This Row],[
ID '#]]</f>
        <v>64</v>
      </c>
      <c r="B68" s="57" t="str">
        <f>IF(Table4[[#This Row],[T ID]]&gt;0,Table4[[#This Row],[T ID]],"")</f>
        <v>T08</v>
      </c>
      <c r="C68" s="195" t="str">
        <f>Table4[[#This Row],[Threat Event(s)]]</f>
        <v>Information disclosure
(STR(I)DE)</v>
      </c>
      <c r="D68" s="204" t="str">
        <f>IF(Table4[[#This Row],[V ID]]&gt;0,Table4[[#This Row],[V ID]],"")</f>
        <v>V18</v>
      </c>
      <c r="E68" s="195" t="str">
        <f>Table4[[#This Row],[Vulnerabilities]]</f>
        <v>Weak Encryption Implementaion in data at rest and in transit tactical and design wise</v>
      </c>
      <c r="F68" s="205" t="str">
        <f>IF(Table4[[#This Row],[A ID]]&gt;0,Table4[[#This Row],[A ID]],"")</f>
        <v>A09</v>
      </c>
      <c r="G68" s="195" t="str">
        <f>Table4[[#This Row],[Asset]]</f>
        <v>Data at Rest</v>
      </c>
      <c r="H68" s="208" t="str">
        <f>IF(Table4[[#This Row],[Impact Description]]&gt;0,Table4[[#This Row],[Impact Description]],"")</f>
        <v>Information of health data can be exploit and disclose with various means like network, tablet etc.  .</v>
      </c>
      <c r="I68" s="204" t="str">
        <f>IF(Table4[[#This Row],[Safety Impact 
(Risk ID'# or N/A)]]&gt;0,Table4[[#This Row],[Safety Impact 
(Risk ID'# or N/A)]],"")</f>
        <v/>
      </c>
      <c r="J68" s="199" t="str">
        <f>Table4[[#This Row],[Security 
Risk 
Level]]</f>
        <v>LOW</v>
      </c>
      <c r="K68" s="204" t="str">
        <f>IF(Table4[[#This Row],[Security Risk Control Measures]]&gt;0,Table4[[#This Row],[Security Risk Control Measures]],"")</f>
        <v>1. Implement server-side encryption using Service-Managed keys (provided for azure)
2. Proper way of network access control 
3. Encryption for sensitive data in transit, for ex: when files are moved to cloud storage, etc..
4. Transfer over encrypted tunnel
5. Use strong encryption algorithm</v>
      </c>
      <c r="L68" s="202" t="str">
        <f>Table4[[#This Row],[Security Risk LevelP]]</f>
        <v/>
      </c>
      <c r="M68" s="204" t="str">
        <f>IF(Table4[[#This Row],[Residual Security Risk Acceptability Justification]]&gt;0,Table4[[#This Row],[Residual Security Risk Acceptability Justification]],"")</f>
        <v/>
      </c>
      <c r="N68"/>
    </row>
    <row r="69" spans="1:14" s="53" customFormat="1" ht="56" x14ac:dyDescent="0.35">
      <c r="A69" s="203">
        <f>Table4[[#This Row],[
ID '#]]</f>
        <v>65</v>
      </c>
      <c r="B69" s="57" t="str">
        <f>IF(Table4[[#This Row],[T ID]]&gt;0,Table4[[#This Row],[T ID]],"")</f>
        <v>T08</v>
      </c>
      <c r="C69" s="195" t="str">
        <f>Table4[[#This Row],[Threat Event(s)]]</f>
        <v>Information disclosure
(STR(I)DE)</v>
      </c>
      <c r="D69" s="204" t="str">
        <f>IF(Table4[[#This Row],[V ID]]&gt;0,Table4[[#This Row],[V ID]],"")</f>
        <v>V18</v>
      </c>
      <c r="E69" s="195" t="str">
        <f>Table4[[#This Row],[Vulnerabilities]]</f>
        <v>Weak Encryption Implementaion in data at rest and in transit tactical and design wise</v>
      </c>
      <c r="F69" s="205" t="str">
        <f>IF(Table4[[#This Row],[A ID]]&gt;0,Table4[[#This Row],[A ID]],"")</f>
        <v>A10</v>
      </c>
      <c r="G69" s="195" t="str">
        <f>Table4[[#This Row],[Asset]]</f>
        <v>Data in Transit</v>
      </c>
      <c r="H69" s="208" t="str">
        <f>IF(Table4[[#This Row],[Impact Description]]&gt;0,Table4[[#This Row],[Impact Description]],"")</f>
        <v>Information of health data can be exploit and disclose with various means like network, tablet etc.  .</v>
      </c>
      <c r="I69" s="204" t="str">
        <f>IF(Table4[[#This Row],[Safety Impact 
(Risk ID'# or N/A)]]&gt;0,Table4[[#This Row],[Safety Impact 
(Risk ID'# or N/A)]],"")</f>
        <v/>
      </c>
      <c r="J69" s="199" t="str">
        <f>Table4[[#This Row],[Security 
Risk 
Level]]</f>
        <v>LOW</v>
      </c>
      <c r="K69" s="204"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202" t="str">
        <f>Table4[[#This Row],[Security Risk LevelP]]</f>
        <v/>
      </c>
      <c r="M69" s="204" t="str">
        <f>IF(Table4[[#This Row],[Residual Security Risk Acceptability Justification]]&gt;0,Table4[[#This Row],[Residual Security Risk Acceptability Justification]],"")</f>
        <v/>
      </c>
      <c r="N69"/>
    </row>
    <row r="70" spans="1:14" s="53" customFormat="1" ht="42" x14ac:dyDescent="0.35">
      <c r="A70" s="203">
        <f>Table4[[#This Row],[
ID '#]]</f>
        <v>66</v>
      </c>
      <c r="B70" s="57" t="str">
        <f>IF(Table4[[#This Row],[T ID]]&gt;0,Table4[[#This Row],[T ID]],"")</f>
        <v>T08</v>
      </c>
      <c r="C70" s="195" t="str">
        <f>Table4[[#This Row],[Threat Event(s)]]</f>
        <v>Information disclosure
(STR(I)DE)</v>
      </c>
      <c r="D70" s="204" t="str">
        <f>IF(Table4[[#This Row],[V ID]]&gt;0,Table4[[#This Row],[V ID]],"")</f>
        <v>V19</v>
      </c>
      <c r="E70" s="195" t="str">
        <f>Table4[[#This Row],[Vulnerabilities]]</f>
        <v>Weak Algorthim implementation with respect cipher key size</v>
      </c>
      <c r="F70" s="205" t="str">
        <f>IF(Table4[[#This Row],[A ID]]&gt;0,Table4[[#This Row],[A ID]],"")</f>
        <v>A09</v>
      </c>
      <c r="G70" s="195" t="str">
        <f>Table4[[#This Row],[Asset]]</f>
        <v>Data at Rest</v>
      </c>
      <c r="H70" s="208" t="str">
        <f>IF(Table4[[#This Row],[Impact Description]]&gt;0,Table4[[#This Row],[Impact Description]],"")</f>
        <v>Information of health data can be exploit and disclose with various means like network, tablet etc.  .</v>
      </c>
      <c r="I70" s="204" t="str">
        <f>IF(Table4[[#This Row],[Safety Impact 
(Risk ID'# or N/A)]]&gt;0,Table4[[#This Row],[Safety Impact 
(Risk ID'# or N/A)]],"")</f>
        <v/>
      </c>
      <c r="J70" s="199" t="str">
        <f>Table4[[#This Row],[Security 
Risk 
Level]]</f>
        <v>LOW</v>
      </c>
      <c r="K70" s="204"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202" t="str">
        <f>Table4[[#This Row],[Security Risk LevelP]]</f>
        <v/>
      </c>
      <c r="M70" s="204" t="str">
        <f>IF(Table4[[#This Row],[Residual Security Risk Acceptability Justification]]&gt;0,Table4[[#This Row],[Residual Security Risk Acceptability Justification]],"")</f>
        <v/>
      </c>
      <c r="N70"/>
    </row>
    <row r="71" spans="1:14" s="53" customFormat="1" ht="42" x14ac:dyDescent="0.35">
      <c r="A71" s="203">
        <f>Table4[[#This Row],[
ID '#]]</f>
        <v>67</v>
      </c>
      <c r="B71" s="57" t="str">
        <f>IF(Table4[[#This Row],[T ID]]&gt;0,Table4[[#This Row],[T ID]],"")</f>
        <v>T08</v>
      </c>
      <c r="C71" s="195" t="str">
        <f>Table4[[#This Row],[Threat Event(s)]]</f>
        <v>Information disclosure
(STR(I)DE)</v>
      </c>
      <c r="D71" s="204" t="str">
        <f>IF(Table4[[#This Row],[V ID]]&gt;0,Table4[[#This Row],[V ID]],"")</f>
        <v>V19</v>
      </c>
      <c r="E71" s="195" t="str">
        <f>Table4[[#This Row],[Vulnerabilities]]</f>
        <v>Weak Algorthim implementation with respect cipher key size</v>
      </c>
      <c r="F71" s="205" t="str">
        <f>IF(Table4[[#This Row],[A ID]]&gt;0,Table4[[#This Row],[A ID]],"")</f>
        <v>A10</v>
      </c>
      <c r="G71" s="195" t="str">
        <f>Table4[[#This Row],[Asset]]</f>
        <v>Data in Transit</v>
      </c>
      <c r="H71" s="208" t="str">
        <f>IF(Table4[[#This Row],[Impact Description]]&gt;0,Table4[[#This Row],[Impact Description]],"")</f>
        <v>Information of health data can be exploit and disclose with various means like network, tablet etc.  .</v>
      </c>
      <c r="I71" s="204" t="str">
        <f>IF(Table4[[#This Row],[Safety Impact 
(Risk ID'# or N/A)]]&gt;0,Table4[[#This Row],[Safety Impact 
(Risk ID'# or N/A)]],"")</f>
        <v/>
      </c>
      <c r="J71" s="199" t="str">
        <f>Table4[[#This Row],[Security 
Risk 
Level]]</f>
        <v>LOW</v>
      </c>
      <c r="K71" s="204"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202" t="str">
        <f>Table4[[#This Row],[Security Risk LevelP]]</f>
        <v/>
      </c>
      <c r="M71" s="204" t="str">
        <f>IF(Table4[[#This Row],[Residual Security Risk Acceptability Justification]]&gt;0,Table4[[#This Row],[Residual Security Risk Acceptability Justification]],"")</f>
        <v/>
      </c>
      <c r="N71"/>
    </row>
    <row r="72" spans="1:14" s="53" customFormat="1" ht="70" x14ac:dyDescent="0.35">
      <c r="A72" s="203">
        <f>Table4[[#This Row],[
ID '#]]</f>
        <v>68</v>
      </c>
      <c r="B72" s="57" t="str">
        <f>IF(Table4[[#This Row],[T ID]]&gt;0,Table4[[#This Row],[T ID]],"")</f>
        <v>T08</v>
      </c>
      <c r="C72" s="195" t="str">
        <f>Table4[[#This Row],[Threat Event(s)]]</f>
        <v>Information disclosure
(STR(I)DE)</v>
      </c>
      <c r="D72" s="204" t="str">
        <f>IF(Table4[[#This Row],[V ID]]&gt;0,Table4[[#This Row],[V ID]],"")</f>
        <v>V21</v>
      </c>
      <c r="E72" s="195" t="str">
        <f>Table4[[#This Row],[Vulnerabilities]]</f>
        <v>InSecure Configuration for Software/OS on Mobile Devices, Laptops, Workstations, and Servers</v>
      </c>
      <c r="F72" s="205" t="str">
        <f>IF(Table4[[#This Row],[A ID]]&gt;0,Table4[[#This Row],[A ID]],"")</f>
        <v>A01</v>
      </c>
      <c r="G72" s="195" t="str">
        <f>Table4[[#This Row],[Asset]]</f>
        <v>Tablet Resources - web cam, microphone, OTG devices, Removable USB, Tablet Application, Network interfaces (Bluetooth, Wifi)</v>
      </c>
      <c r="H72" s="208" t="str">
        <f>IF(Table4[[#This Row],[Impact Description]]&gt;0,Table4[[#This Row],[Impact Description]],"")</f>
        <v>Information of health data can be exploit and disclose with various means like network, tablet etc.  .</v>
      </c>
      <c r="I72" s="204" t="str">
        <f>IF(Table4[[#This Row],[Safety Impact 
(Risk ID'# or N/A)]]&gt;0,Table4[[#This Row],[Safety Impact 
(Risk ID'# or N/A)]],"")</f>
        <v/>
      </c>
      <c r="J72" s="199" t="str">
        <f>Table4[[#This Row],[Security 
Risk 
Level]]</f>
        <v>LOW</v>
      </c>
      <c r="K72"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72" s="202" t="str">
        <f>Table4[[#This Row],[Security Risk LevelP]]</f>
        <v/>
      </c>
      <c r="M72" s="204" t="str">
        <f>IF(Table4[[#This Row],[Residual Security Risk Acceptability Justification]]&gt;0,Table4[[#This Row],[Residual Security Risk Acceptability Justification]],"")</f>
        <v/>
      </c>
      <c r="N72"/>
    </row>
    <row r="73" spans="1:14" s="53" customFormat="1" ht="42" x14ac:dyDescent="0.35">
      <c r="A73" s="203">
        <f>Table4[[#This Row],[
ID '#]]</f>
        <v>69</v>
      </c>
      <c r="B73" s="57" t="str">
        <f>IF(Table4[[#This Row],[T ID]]&gt;0,Table4[[#This Row],[T ID]],"")</f>
        <v>T08</v>
      </c>
      <c r="C73" s="195" t="str">
        <f>Table4[[#This Row],[Threat Event(s)]]</f>
        <v>Information disclosure
(STR(I)DE)</v>
      </c>
      <c r="D73" s="204" t="str">
        <f>IF(Table4[[#This Row],[V ID]]&gt;0,Table4[[#This Row],[V ID]],"")</f>
        <v>V14</v>
      </c>
      <c r="E73" s="195" t="str">
        <f>Table4[[#This Row],[Vulnerabilities]]</f>
        <v>Unencrypted Network segment through out the information flow</v>
      </c>
      <c r="F73" s="205" t="str">
        <f>IF(Table4[[#This Row],[A ID]]&gt;0,Table4[[#This Row],[A ID]],"")</f>
        <v>A10</v>
      </c>
      <c r="G73" s="195" t="str">
        <f>Table4[[#This Row],[Asset]]</f>
        <v>Data in Transit</v>
      </c>
      <c r="H73" s="208" t="str">
        <f>IF(Table4[[#This Row],[Impact Description]]&gt;0,Table4[[#This Row],[Impact Description]],"")</f>
        <v>Information of health data can be exploit and disclose with various means like network, tablet etc.  .</v>
      </c>
      <c r="I73" s="204" t="str">
        <f>IF(Table4[[#This Row],[Safety Impact 
(Risk ID'# or N/A)]]&gt;0,Table4[[#This Row],[Safety Impact 
(Risk ID'# or N/A)]],"")</f>
        <v/>
      </c>
      <c r="J73" s="199" t="str">
        <f>Table4[[#This Row],[Security 
Risk 
Level]]</f>
        <v>LOW</v>
      </c>
      <c r="K73" s="204" t="str">
        <f>IF(Table4[[#This Row],[Security Risk Control Measures]]&gt;0,Table4[[#This Row],[Security Risk Control Measures]],"")</f>
        <v>1. Anonymization/Pseudomyzation of patient details
2. Data encyrption
3. Mainitaing Access Logs
4. Maintain Server Security Logs</v>
      </c>
      <c r="L73" s="202" t="str">
        <f>Table4[[#This Row],[Security Risk LevelP]]</f>
        <v/>
      </c>
      <c r="M73" s="204" t="str">
        <f>IF(Table4[[#This Row],[Residual Security Risk Acceptability Justification]]&gt;0,Table4[[#This Row],[Residual Security Risk Acceptability Justification]],"")</f>
        <v/>
      </c>
      <c r="N73"/>
    </row>
    <row r="74" spans="1:14" s="53" customFormat="1" ht="42" x14ac:dyDescent="0.35">
      <c r="A74" s="203">
        <f>Table4[[#This Row],[
ID '#]]</f>
        <v>70</v>
      </c>
      <c r="B74" s="57" t="str">
        <f>IF(Table4[[#This Row],[T ID]]&gt;0,Table4[[#This Row],[T ID]],"")</f>
        <v>T08</v>
      </c>
      <c r="C74" s="195" t="str">
        <f>Table4[[#This Row],[Threat Event(s)]]</f>
        <v>Information disclosure
(STR(I)DE)</v>
      </c>
      <c r="D74" s="204" t="str">
        <f>IF(Table4[[#This Row],[V ID]]&gt;0,Table4[[#This Row],[V ID]],"")</f>
        <v>V05</v>
      </c>
      <c r="E74" s="195" t="str">
        <f>Table4[[#This Row],[Vulnerabilities]]</f>
        <v>Insecure communications in networks (hospital)</v>
      </c>
      <c r="F74" s="205" t="str">
        <f>IF(Table4[[#This Row],[A ID]]&gt;0,Table4[[#This Row],[A ID]],"")</f>
        <v>A10</v>
      </c>
      <c r="G74" s="195" t="str">
        <f>Table4[[#This Row],[Asset]]</f>
        <v>Data in Transit</v>
      </c>
      <c r="H74" s="208" t="str">
        <f>IF(Table4[[#This Row],[Impact Description]]&gt;0,Table4[[#This Row],[Impact Description]],"")</f>
        <v>Information of health data can be exploit and disclose with various means like network, tablet etc.  .</v>
      </c>
      <c r="I74" s="204" t="str">
        <f>IF(Table4[[#This Row],[Safety Impact 
(Risk ID'# or N/A)]]&gt;0,Table4[[#This Row],[Safety Impact 
(Risk ID'# or N/A)]],"")</f>
        <v/>
      </c>
      <c r="J74" s="199" t="str">
        <f>Table4[[#This Row],[Security 
Risk 
Level]]</f>
        <v>LOW</v>
      </c>
      <c r="K74" s="204"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202" t="str">
        <f>Table4[[#This Row],[Security Risk LevelP]]</f>
        <v/>
      </c>
      <c r="M74" s="204" t="str">
        <f>IF(Table4[[#This Row],[Residual Security Risk Acceptability Justification]]&gt;0,Table4[[#This Row],[Residual Security Risk Acceptability Justification]],"")</f>
        <v/>
      </c>
      <c r="N74"/>
    </row>
    <row r="75" spans="1:14" s="53" customFormat="1" ht="70" x14ac:dyDescent="0.35">
      <c r="A75" s="203">
        <f>Table4[[#This Row],[
ID '#]]</f>
        <v>71</v>
      </c>
      <c r="B75" s="57" t="str">
        <f>IF(Table4[[#This Row],[T ID]]&gt;0,Table4[[#This Row],[T ID]],"")</f>
        <v>T09</v>
      </c>
      <c r="C75" s="195" t="str">
        <f>Table4[[#This Row],[Threat Event(s)]]</f>
        <v>Data Access
(STR[I]DE)</v>
      </c>
      <c r="D75" s="204" t="str">
        <f>IF(Table4[[#This Row],[V ID]]&gt;0,Table4[[#This Row],[V ID]],"")</f>
        <v>V12</v>
      </c>
      <c r="E75" s="195" t="str">
        <f>Table4[[#This Row],[Vulnerabilities]]</f>
        <v>Unprotected network port(s) on network devices and connection points</v>
      </c>
      <c r="F75" s="205" t="str">
        <f>IF(Table4[[#This Row],[A ID]]&gt;0,Table4[[#This Row],[A ID]],"")</f>
        <v>A01</v>
      </c>
      <c r="G75" s="195" t="str">
        <f>Table4[[#This Row],[Asset]]</f>
        <v>Tablet Resources - web cam, microphone, OTG devices, Removable USB, Tablet Application, Network interfaces (Bluetooth, Wifi)</v>
      </c>
      <c r="H75" s="208" t="str">
        <f>IF(Table4[[#This Row],[Impact Description]]&gt;0,Table4[[#This Row],[Impact Description]],"")</f>
        <v>1) Allowing application or script to perform abnormal activites on the system.
2) Modifying the data, tampering the confidential data making it unavailable or challenging the integrity of data.</v>
      </c>
      <c r="I75" s="204" t="str">
        <f>IF(Table4[[#This Row],[Safety Impact 
(Risk ID'# or N/A)]]&gt;0,Table4[[#This Row],[Safety Impact 
(Risk ID'# or N/A)]],"")</f>
        <v/>
      </c>
      <c r="J75" s="199" t="str">
        <f>Table4[[#This Row],[Security 
Risk 
Level]]</f>
        <v>LOW</v>
      </c>
      <c r="K75"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75" s="202" t="str">
        <f>Table4[[#This Row],[Security Risk LevelP]]</f>
        <v/>
      </c>
      <c r="M75" s="204" t="str">
        <f>IF(Table4[[#This Row],[Residual Security Risk Acceptability Justification]]&gt;0,Table4[[#This Row],[Residual Security Risk Acceptability Justification]],"")</f>
        <v/>
      </c>
      <c r="N75"/>
    </row>
    <row r="76" spans="1:14" s="53" customFormat="1" ht="70" x14ac:dyDescent="0.35">
      <c r="A76" s="203">
        <f>Table4[[#This Row],[
ID '#]]</f>
        <v>72</v>
      </c>
      <c r="B76" s="57" t="str">
        <f>IF(Table4[[#This Row],[T ID]]&gt;0,Table4[[#This Row],[T ID]],"")</f>
        <v>T09</v>
      </c>
      <c r="C76" s="195" t="str">
        <f>Table4[[#This Row],[Threat Event(s)]]</f>
        <v>Data Access
(STR[I]DE)</v>
      </c>
      <c r="D76" s="204" t="str">
        <f>IF(Table4[[#This Row],[V ID]]&gt;0,Table4[[#This Row],[V ID]],"")</f>
        <v>V12</v>
      </c>
      <c r="E76" s="195" t="str">
        <f>Table4[[#This Row],[Vulnerabilities]]</f>
        <v>Unprotected network port(s) on network devices and connection points</v>
      </c>
      <c r="F76" s="205" t="str">
        <f>IF(Table4[[#This Row],[A ID]]&gt;0,Table4[[#This Row],[A ID]],"")</f>
        <v>A02</v>
      </c>
      <c r="G76" s="195" t="str">
        <f>Table4[[#This Row],[Asset]]</f>
        <v>Tablet OS/network details &amp; Tablet Application</v>
      </c>
      <c r="H76" s="208" t="str">
        <f>IF(Table4[[#This Row],[Impact Description]]&gt;0,Table4[[#This Row],[Impact Description]],"")</f>
        <v>1) Allowing application or script to perform abnormal activites on the system.
2) Modifying the data, tampering the confidential data making it unavailable or challenging the integrity of data.</v>
      </c>
      <c r="I76" s="204" t="str">
        <f>IF(Table4[[#This Row],[Safety Impact 
(Risk ID'# or N/A)]]&gt;0,Table4[[#This Row],[Safety Impact 
(Risk ID'# or N/A)]],"")</f>
        <v/>
      </c>
      <c r="J76" s="199" t="str">
        <f>Table4[[#This Row],[Security 
Risk 
Level]]</f>
        <v>LOW</v>
      </c>
      <c r="K76" s="204" t="str">
        <f>IF(Table4[[#This Row],[Security Risk Control Measures]]&gt;0,Table4[[#This Row],[Security Risk Control Measures]],"")</f>
        <v xml:space="preserve">1. Asset should be behind stateful firewall
2. Anti-virus with updated virus definitions
3. Audit log capturing any abnormal activity
4.  Use hardened interfaces (n/w) &amp; secure tunnel communications channel </v>
      </c>
      <c r="L76" s="202" t="str">
        <f>Table4[[#This Row],[Security Risk LevelP]]</f>
        <v/>
      </c>
      <c r="M76" s="204" t="str">
        <f>IF(Table4[[#This Row],[Residual Security Risk Acceptability Justification]]&gt;0,Table4[[#This Row],[Residual Security Risk Acceptability Justification]],"")</f>
        <v/>
      </c>
      <c r="N76"/>
    </row>
    <row r="77" spans="1:14" s="53" customFormat="1" x14ac:dyDescent="0.35">
      <c r="A77" s="203"/>
      <c r="B77" s="204"/>
      <c r="C77" s="195"/>
      <c r="D77" s="204"/>
      <c r="E77" s="195"/>
      <c r="F77" s="205"/>
      <c r="G77" s="195"/>
      <c r="H77" s="208"/>
      <c r="I77" s="204"/>
      <c r="J77" s="199"/>
      <c r="K77" s="204"/>
      <c r="L77" s="202"/>
      <c r="M77" s="204"/>
      <c r="N77"/>
    </row>
    <row r="78" spans="1:14" s="53" customFormat="1" x14ac:dyDescent="0.35">
      <c r="A78" s="203"/>
      <c r="B78" s="204"/>
      <c r="C78" s="195"/>
      <c r="D78" s="204"/>
      <c r="E78" s="195"/>
      <c r="F78" s="205"/>
      <c r="G78" s="195"/>
      <c r="H78" s="208"/>
      <c r="I78" s="204"/>
      <c r="J78" s="199"/>
      <c r="K78" s="204"/>
      <c r="L78" s="202"/>
      <c r="M78" s="204"/>
      <c r="N78"/>
    </row>
    <row r="79" spans="1:14" s="53" customFormat="1" x14ac:dyDescent="0.35">
      <c r="A79" s="203"/>
      <c r="B79" s="204"/>
      <c r="C79" s="195"/>
      <c r="D79" s="204"/>
      <c r="E79" s="195"/>
      <c r="F79" s="205"/>
      <c r="G79" s="195"/>
      <c r="H79" s="208"/>
      <c r="I79" s="204"/>
      <c r="J79" s="199"/>
      <c r="K79" s="204"/>
      <c r="L79" s="202"/>
      <c r="M79" s="204"/>
      <c r="N79"/>
    </row>
    <row r="80" spans="1:14" s="53" customFormat="1" x14ac:dyDescent="0.35">
      <c r="A80" s="203"/>
      <c r="B80" s="204"/>
      <c r="C80" s="195"/>
      <c r="D80" s="204"/>
      <c r="E80" s="195"/>
      <c r="F80" s="205"/>
      <c r="G80" s="195"/>
      <c r="H80" s="208"/>
      <c r="I80" s="204"/>
      <c r="J80" s="199"/>
      <c r="K80" s="204"/>
      <c r="L80" s="202"/>
      <c r="M80" s="204"/>
      <c r="N80"/>
    </row>
    <row r="81" spans="1:14" s="53" customFormat="1" x14ac:dyDescent="0.35">
      <c r="A81" s="203"/>
      <c r="B81" s="204"/>
      <c r="C81" s="195"/>
      <c r="D81" s="204"/>
      <c r="E81" s="195"/>
      <c r="F81" s="205"/>
      <c r="G81" s="195"/>
      <c r="H81" s="208"/>
      <c r="I81" s="204"/>
      <c r="J81" s="199"/>
      <c r="K81" s="204"/>
      <c r="L81" s="202"/>
      <c r="M81" s="204"/>
      <c r="N81"/>
    </row>
    <row r="82" spans="1:14" s="53" customFormat="1" x14ac:dyDescent="0.35">
      <c r="A82" s="203"/>
      <c r="B82" s="204"/>
      <c r="C82" s="195"/>
      <c r="D82" s="204"/>
      <c r="E82" s="195"/>
      <c r="F82" s="205"/>
      <c r="G82" s="195"/>
      <c r="H82" s="208"/>
      <c r="I82" s="204"/>
      <c r="J82" s="199"/>
      <c r="K82" s="204"/>
      <c r="L82" s="202"/>
      <c r="M82" s="204"/>
      <c r="N82"/>
    </row>
    <row r="83" spans="1:14" s="53" customFormat="1" x14ac:dyDescent="0.35">
      <c r="A83" s="203"/>
      <c r="B83" s="204"/>
      <c r="C83" s="195"/>
      <c r="D83" s="204"/>
      <c r="E83" s="195"/>
      <c r="F83" s="205"/>
      <c r="G83" s="195"/>
      <c r="H83" s="208"/>
      <c r="I83" s="204"/>
      <c r="J83" s="199"/>
      <c r="K83" s="204"/>
      <c r="L83" s="202"/>
      <c r="M83" s="204"/>
      <c r="N83"/>
    </row>
    <row r="84" spans="1:14" s="53" customFormat="1" x14ac:dyDescent="0.35">
      <c r="A84" s="69"/>
      <c r="B84" s="57"/>
      <c r="C84" s="49"/>
      <c r="D84" s="59"/>
      <c r="E84" s="49"/>
      <c r="F84" s="59"/>
      <c r="G84" s="49"/>
      <c r="H84" s="49"/>
      <c r="I84" s="59"/>
      <c r="J84" s="87"/>
      <c r="K84" s="59"/>
      <c r="L84" s="157"/>
      <c r="M84" s="59"/>
      <c r="N84"/>
    </row>
    <row r="85" spans="1:14" s="53" customFormat="1" x14ac:dyDescent="0.35">
      <c r="A85"/>
      <c r="B85"/>
      <c r="C85"/>
      <c r="D85"/>
      <c r="E85" s="207"/>
      <c r="F85"/>
      <c r="G85"/>
      <c r="H85"/>
      <c r="I85"/>
      <c r="J85"/>
      <c r="K85"/>
      <c r="L85"/>
      <c r="M85"/>
      <c r="N85"/>
    </row>
    <row r="86" spans="1:14" s="53" customFormat="1" x14ac:dyDescent="0.35">
      <c r="A86" s="24"/>
      <c r="B86" s="24"/>
      <c r="C86" s="25"/>
      <c r="D86" s="24"/>
      <c r="E86" s="209"/>
      <c r="F86" s="24"/>
      <c r="G86" s="24"/>
    </row>
    <row r="87" spans="1:14" s="53" customFormat="1" ht="14" x14ac:dyDescent="0.25">
      <c r="A87" s="29" t="s">
        <v>164</v>
      </c>
      <c r="C87" s="62"/>
      <c r="E87" s="32"/>
    </row>
    <row r="88" spans="1:14" s="53" customFormat="1" ht="32.25" customHeight="1" x14ac:dyDescent="0.25">
      <c r="B88" s="306" t="s">
        <v>165</v>
      </c>
      <c r="C88" s="306"/>
      <c r="D88" s="306"/>
      <c r="E88" s="306"/>
      <c r="F88" s="306"/>
      <c r="G88" s="306"/>
      <c r="H88" s="306"/>
    </row>
    <row r="89" spans="1:14" s="53" customFormat="1" x14ac:dyDescent="0.35">
      <c r="A89" s="24"/>
      <c r="B89" s="24"/>
      <c r="C89" s="25"/>
      <c r="D89" s="24"/>
      <c r="E89" s="209"/>
      <c r="F89" s="24"/>
      <c r="G89" s="24"/>
    </row>
    <row r="90" spans="1:14" s="53" customFormat="1" x14ac:dyDescent="0.35">
      <c r="A90" s="24"/>
      <c r="B90" s="24"/>
      <c r="C90" s="25"/>
      <c r="D90" s="24"/>
      <c r="E90" s="209"/>
      <c r="F90" s="24"/>
      <c r="G90" s="24"/>
    </row>
    <row r="91" spans="1:14" s="53" customFormat="1" x14ac:dyDescent="0.35">
      <c r="A91" s="24"/>
      <c r="B91" s="24"/>
      <c r="C91" s="25"/>
      <c r="D91" s="24"/>
      <c r="E91" s="209"/>
      <c r="F91" s="24"/>
      <c r="G91" s="24"/>
    </row>
    <row r="92" spans="1:14" s="53" customFormat="1" ht="32.25" customHeight="1" x14ac:dyDescent="0.25">
      <c r="A92" s="24"/>
      <c r="B92" s="24"/>
      <c r="C92" s="25"/>
      <c r="D92" s="24"/>
      <c r="E92" s="209"/>
      <c r="F92" s="24"/>
      <c r="G92" s="24"/>
      <c r="H92" s="185"/>
    </row>
  </sheetData>
  <mergeCells count="1">
    <mergeCell ref="B88:H88"/>
  </mergeCells>
  <conditionalFormatting sqref="L5:L84 J5:J84">
    <cfRule type="cellIs" dxfId="50" priority="1" operator="equal">
      <formula>"Critical"</formula>
    </cfRule>
    <cfRule type="cellIs" dxfId="49" priority="2" operator="equal">
      <formula>"HIGH"</formula>
    </cfRule>
    <cfRule type="cellIs" dxfId="48" priority="3" operator="equal">
      <formula>"Medium"</formula>
    </cfRule>
    <cfRule type="cellIs" dxfId="47" priority="4" operator="equal">
      <formula>"None"</formula>
    </cfRule>
    <cfRule type="cellIs" dxfId="46" priority="5"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election activeCell="B6" sqref="B6"/>
    </sheetView>
  </sheetViews>
  <sheetFormatPr defaultColWidth="9.1796875" defaultRowHeight="14.5" x14ac:dyDescent="0.35"/>
  <cols>
    <col min="1" max="1" width="2.26953125" customWidth="1"/>
    <col min="2" max="2" width="15.26953125" customWidth="1"/>
    <col min="4" max="4" width="5.26953125" customWidth="1"/>
    <col min="7" max="7" width="5.453125" customWidth="1"/>
    <col min="11" max="11" width="5.26953125" customWidth="1"/>
    <col min="14" max="14" width="5.1796875" customWidth="1"/>
    <col min="16" max="16" width="13.81640625" customWidth="1"/>
    <col min="17" max="17" width="11" customWidth="1"/>
    <col min="18" max="18" width="17" customWidth="1"/>
  </cols>
  <sheetData>
    <row r="1" spans="2:18" s="75" customFormat="1" ht="27.75" customHeight="1" x14ac:dyDescent="0.3">
      <c r="B1" s="90" t="s">
        <v>159</v>
      </c>
    </row>
    <row r="2" spans="2:18" s="75" customFormat="1" thickBot="1" x14ac:dyDescent="0.35"/>
    <row r="3" spans="2:18" s="75" customFormat="1" ht="18" thickBot="1" x14ac:dyDescent="0.4">
      <c r="B3" s="317" t="s">
        <v>82</v>
      </c>
      <c r="C3" s="318"/>
      <c r="D3" s="318"/>
      <c r="E3" s="318"/>
      <c r="F3" s="318"/>
      <c r="G3" s="318"/>
      <c r="H3" s="318"/>
      <c r="I3" s="318"/>
      <c r="J3" s="318"/>
      <c r="K3" s="318"/>
      <c r="L3" s="318"/>
      <c r="M3" s="318"/>
      <c r="N3" s="319"/>
      <c r="P3" s="317" t="s">
        <v>67</v>
      </c>
      <c r="Q3" s="318"/>
      <c r="R3" s="319"/>
    </row>
    <row r="4" spans="2:18" s="75" customFormat="1" ht="15.5" thickBot="1" x14ac:dyDescent="0.35">
      <c r="B4" s="324" t="s">
        <v>83</v>
      </c>
      <c r="C4" s="325"/>
      <c r="D4" s="326"/>
      <c r="E4" s="324" t="s">
        <v>84</v>
      </c>
      <c r="F4" s="325"/>
      <c r="G4" s="326"/>
      <c r="H4" s="324" t="s">
        <v>85</v>
      </c>
      <c r="I4" s="325"/>
      <c r="J4" s="325"/>
      <c r="K4" s="326"/>
      <c r="L4" s="327" t="s">
        <v>86</v>
      </c>
      <c r="M4" s="328"/>
      <c r="N4" s="329"/>
      <c r="P4" s="91"/>
      <c r="Q4" s="92" t="s">
        <v>133</v>
      </c>
      <c r="R4" s="93" t="s">
        <v>74</v>
      </c>
    </row>
    <row r="5" spans="2:18" s="75" customFormat="1" ht="15.5" thickBot="1" x14ac:dyDescent="0.35">
      <c r="B5" s="94" t="s">
        <v>87</v>
      </c>
      <c r="C5" s="94" t="s">
        <v>88</v>
      </c>
      <c r="D5" s="94" t="s">
        <v>89</v>
      </c>
      <c r="E5" s="94" t="s">
        <v>90</v>
      </c>
      <c r="F5" s="94" t="s">
        <v>88</v>
      </c>
      <c r="G5" s="94" t="s">
        <v>89</v>
      </c>
      <c r="H5" s="94" t="s">
        <v>87</v>
      </c>
      <c r="I5" s="331" t="s">
        <v>88</v>
      </c>
      <c r="J5" s="332"/>
      <c r="K5" s="94" t="s">
        <v>89</v>
      </c>
      <c r="L5" s="94" t="s">
        <v>87</v>
      </c>
      <c r="M5" s="94" t="s">
        <v>88</v>
      </c>
      <c r="N5" s="94" t="s">
        <v>89</v>
      </c>
      <c r="P5" s="95"/>
      <c r="Q5" s="96" t="s">
        <v>50</v>
      </c>
      <c r="R5" s="97">
        <v>0.04</v>
      </c>
    </row>
    <row r="6" spans="2:18" s="75" customFormat="1" ht="15" x14ac:dyDescent="0.3">
      <c r="B6" s="98" t="s">
        <v>79</v>
      </c>
      <c r="C6" s="99">
        <v>0.85</v>
      </c>
      <c r="D6" s="100" t="s">
        <v>59</v>
      </c>
      <c r="E6" s="98" t="s">
        <v>57</v>
      </c>
      <c r="F6" s="99">
        <v>0.77</v>
      </c>
      <c r="G6" s="101" t="s">
        <v>91</v>
      </c>
      <c r="H6" s="98" t="s">
        <v>78</v>
      </c>
      <c r="I6" s="102">
        <v>0.85</v>
      </c>
      <c r="J6" s="103">
        <v>0.85</v>
      </c>
      <c r="K6" s="100" t="s">
        <v>59</v>
      </c>
      <c r="L6" s="98" t="s">
        <v>78</v>
      </c>
      <c r="M6" s="104">
        <v>0.85</v>
      </c>
      <c r="N6" s="105" t="s">
        <v>59</v>
      </c>
      <c r="P6" s="95"/>
      <c r="Q6" s="106" t="s">
        <v>57</v>
      </c>
      <c r="R6" s="107">
        <v>0.2</v>
      </c>
    </row>
    <row r="7" spans="2:18" s="75" customFormat="1" ht="15" x14ac:dyDescent="0.3">
      <c r="B7" s="98" t="s">
        <v>81</v>
      </c>
      <c r="C7" s="108">
        <v>0.62</v>
      </c>
      <c r="D7" s="100" t="s">
        <v>92</v>
      </c>
      <c r="E7" s="98" t="s">
        <v>66</v>
      </c>
      <c r="F7" s="108">
        <v>0.44</v>
      </c>
      <c r="G7" s="101" t="s">
        <v>93</v>
      </c>
      <c r="H7" s="98" t="s">
        <v>57</v>
      </c>
      <c r="I7" s="109">
        <v>0.62</v>
      </c>
      <c r="J7" s="103">
        <v>0.68</v>
      </c>
      <c r="K7" s="100" t="s">
        <v>91</v>
      </c>
      <c r="L7" s="98" t="s">
        <v>77</v>
      </c>
      <c r="M7" s="110">
        <v>0.62</v>
      </c>
      <c r="N7" s="105" t="s">
        <v>94</v>
      </c>
      <c r="P7" s="95"/>
      <c r="Q7" s="111" t="s">
        <v>56</v>
      </c>
      <c r="R7" s="107">
        <v>0.5</v>
      </c>
    </row>
    <row r="8" spans="2:18" s="75" customFormat="1" ht="15" x14ac:dyDescent="0.3">
      <c r="B8" s="98" t="s">
        <v>80</v>
      </c>
      <c r="C8" s="108">
        <v>0.55000000000000004</v>
      </c>
      <c r="D8" s="100" t="s">
        <v>91</v>
      </c>
      <c r="E8" s="98"/>
      <c r="F8" s="108"/>
      <c r="G8" s="100"/>
      <c r="H8" s="98" t="s">
        <v>66</v>
      </c>
      <c r="I8" s="109">
        <v>0.27</v>
      </c>
      <c r="J8" s="103">
        <v>0.5</v>
      </c>
      <c r="K8" s="100" t="s">
        <v>93</v>
      </c>
      <c r="L8" s="98"/>
      <c r="M8" s="103"/>
      <c r="N8" s="105"/>
      <c r="P8" s="95"/>
      <c r="Q8" s="112" t="s">
        <v>66</v>
      </c>
      <c r="R8" s="107">
        <v>0.8</v>
      </c>
    </row>
    <row r="9" spans="2:18" s="75" customFormat="1" ht="15" x14ac:dyDescent="0.3">
      <c r="B9" s="98" t="s">
        <v>76</v>
      </c>
      <c r="C9" s="108">
        <v>0.2</v>
      </c>
      <c r="D9" s="105" t="s">
        <v>95</v>
      </c>
      <c r="E9" s="129"/>
      <c r="F9" s="128"/>
      <c r="G9" s="184"/>
      <c r="H9" s="98"/>
      <c r="I9" s="109"/>
      <c r="J9" s="103"/>
      <c r="K9" s="105"/>
      <c r="L9" s="98"/>
      <c r="M9" s="103"/>
      <c r="N9" s="105"/>
      <c r="P9" s="95"/>
      <c r="Q9" s="122" t="s">
        <v>106</v>
      </c>
      <c r="R9" s="107">
        <v>1</v>
      </c>
    </row>
    <row r="10" spans="2:18" s="75" customFormat="1" ht="15.5" thickBot="1" x14ac:dyDescent="0.35">
      <c r="B10" s="113"/>
      <c r="C10" s="114"/>
      <c r="D10" s="115"/>
      <c r="E10" s="116"/>
      <c r="F10" s="117"/>
      <c r="G10" s="118"/>
      <c r="H10" s="113"/>
      <c r="I10" s="119"/>
      <c r="J10" s="120"/>
      <c r="K10" s="115"/>
      <c r="L10" s="113"/>
      <c r="M10" s="120"/>
      <c r="N10" s="115"/>
      <c r="P10" s="121"/>
      <c r="R10" s="107"/>
    </row>
    <row r="11" spans="2:18" s="75" customFormat="1" thickBot="1" x14ac:dyDescent="0.35"/>
    <row r="12" spans="2:18" s="75" customFormat="1" ht="18" thickBot="1" x14ac:dyDescent="0.4">
      <c r="B12" s="317" t="s">
        <v>96</v>
      </c>
      <c r="C12" s="318"/>
      <c r="D12" s="318"/>
      <c r="E12" s="318"/>
      <c r="F12" s="318"/>
      <c r="G12" s="318"/>
      <c r="H12" s="318"/>
      <c r="I12" s="318"/>
      <c r="J12" s="318"/>
      <c r="K12" s="318"/>
      <c r="L12" s="318"/>
      <c r="M12" s="318"/>
      <c r="N12" s="319"/>
      <c r="P12" s="160" t="s">
        <v>170</v>
      </c>
      <c r="Q12" s="124" t="s">
        <v>131</v>
      </c>
    </row>
    <row r="13" spans="2:18" s="75" customFormat="1" ht="15.5" thickBot="1" x14ac:dyDescent="0.35">
      <c r="B13" s="320" t="s">
        <v>97</v>
      </c>
      <c r="C13" s="321"/>
      <c r="D13" s="321"/>
      <c r="E13" s="321"/>
      <c r="F13" s="321"/>
      <c r="G13" s="322"/>
      <c r="H13" s="321"/>
      <c r="I13" s="321"/>
      <c r="J13" s="321"/>
      <c r="K13" s="321"/>
      <c r="L13" s="321"/>
      <c r="M13" s="321"/>
      <c r="N13" s="323"/>
      <c r="P13" s="98"/>
      <c r="Q13" s="103" t="s">
        <v>171</v>
      </c>
    </row>
    <row r="14" spans="2:18" s="75" customFormat="1" thickBot="1" x14ac:dyDescent="0.35">
      <c r="B14" s="94" t="s">
        <v>87</v>
      </c>
      <c r="C14" s="94" t="s">
        <v>88</v>
      </c>
      <c r="D14" s="94" t="s">
        <v>89</v>
      </c>
      <c r="E14" s="123"/>
      <c r="F14" s="123"/>
      <c r="G14" s="123"/>
      <c r="H14" s="123"/>
      <c r="I14" s="123"/>
      <c r="J14" s="123"/>
      <c r="K14" s="123"/>
      <c r="L14" s="123"/>
      <c r="M14" s="123"/>
      <c r="N14" s="124"/>
      <c r="P14" s="113"/>
      <c r="Q14" s="120"/>
    </row>
    <row r="15" spans="2:18" s="75" customFormat="1" ht="16" x14ac:dyDescent="0.4">
      <c r="B15" s="125" t="s">
        <v>78</v>
      </c>
      <c r="C15" s="99">
        <v>0</v>
      </c>
      <c r="D15" s="126" t="s">
        <v>59</v>
      </c>
      <c r="E15" s="127" t="s">
        <v>166</v>
      </c>
      <c r="F15" s="128"/>
      <c r="G15" s="128"/>
      <c r="H15" s="128"/>
      <c r="J15" s="128"/>
      <c r="K15" s="128"/>
      <c r="L15" s="128"/>
      <c r="M15" s="128"/>
      <c r="N15" s="103"/>
    </row>
    <row r="16" spans="2:18" s="75" customFormat="1" ht="14" x14ac:dyDescent="0.3">
      <c r="B16" s="129" t="s">
        <v>57</v>
      </c>
      <c r="C16" s="108">
        <v>0.22</v>
      </c>
      <c r="D16" s="130" t="s">
        <v>91</v>
      </c>
      <c r="E16" s="128"/>
      <c r="F16" s="128"/>
      <c r="G16" s="128"/>
      <c r="H16" s="128"/>
      <c r="I16" s="128"/>
      <c r="J16" s="128"/>
      <c r="K16" s="128"/>
      <c r="L16" s="128"/>
      <c r="M16" s="128"/>
      <c r="N16" s="103"/>
    </row>
    <row r="17" spans="2:17" s="75" customFormat="1" ht="14" x14ac:dyDescent="0.3">
      <c r="B17" s="129" t="s">
        <v>66</v>
      </c>
      <c r="C17" s="108">
        <v>0.56000000000000005</v>
      </c>
      <c r="D17" s="130" t="s">
        <v>93</v>
      </c>
      <c r="E17" s="128"/>
      <c r="F17" s="128"/>
      <c r="G17" s="128"/>
      <c r="H17" s="128"/>
      <c r="I17" s="128"/>
      <c r="J17" s="128"/>
      <c r="K17" s="128"/>
      <c r="L17" s="128"/>
      <c r="M17" s="128"/>
      <c r="N17" s="103"/>
    </row>
    <row r="18" spans="2:17" s="75" customFormat="1" thickBot="1" x14ac:dyDescent="0.35">
      <c r="B18" s="116"/>
      <c r="C18" s="114"/>
      <c r="D18" s="131"/>
      <c r="E18" s="117"/>
      <c r="F18" s="117"/>
      <c r="G18" s="117"/>
      <c r="H18" s="117"/>
      <c r="I18" s="117"/>
      <c r="J18" s="117"/>
      <c r="K18" s="117"/>
      <c r="L18" s="117"/>
      <c r="M18" s="117"/>
      <c r="N18" s="120"/>
    </row>
    <row r="19" spans="2:17" s="75" customFormat="1" thickBot="1" x14ac:dyDescent="0.35"/>
    <row r="20" spans="2:17" s="75" customFormat="1" ht="18" thickBot="1" x14ac:dyDescent="0.4">
      <c r="B20" s="317" t="s">
        <v>70</v>
      </c>
      <c r="C20" s="318"/>
      <c r="D20" s="318"/>
      <c r="E20" s="318"/>
      <c r="F20" s="318"/>
      <c r="G20" s="318"/>
      <c r="H20" s="318"/>
      <c r="I20" s="318"/>
      <c r="J20" s="318"/>
      <c r="K20" s="318"/>
      <c r="L20" s="318"/>
      <c r="M20" s="318"/>
      <c r="N20" s="319"/>
    </row>
    <row r="21" spans="2:17" s="75" customFormat="1" ht="42.65" customHeight="1" thickBot="1" x14ac:dyDescent="0.35">
      <c r="B21" s="132" t="s">
        <v>75</v>
      </c>
      <c r="C21" s="333" t="s">
        <v>98</v>
      </c>
      <c r="D21" s="334"/>
      <c r="E21" s="334"/>
      <c r="F21" s="334"/>
      <c r="G21" s="334"/>
      <c r="H21" s="334"/>
      <c r="I21" s="334"/>
      <c r="J21" s="334"/>
      <c r="K21" s="334"/>
      <c r="L21" s="334"/>
      <c r="M21" s="335"/>
      <c r="N21" s="133" t="s">
        <v>99</v>
      </c>
    </row>
    <row r="22" spans="2:17" s="75" customFormat="1" ht="43.9" customHeight="1" thickBot="1" x14ac:dyDescent="0.35">
      <c r="B22" s="134" t="s">
        <v>100</v>
      </c>
      <c r="C22" s="336" t="s">
        <v>101</v>
      </c>
      <c r="D22" s="334"/>
      <c r="E22" s="334"/>
      <c r="F22" s="334"/>
      <c r="G22" s="334"/>
      <c r="H22" s="334"/>
      <c r="I22" s="334"/>
      <c r="J22" s="334"/>
      <c r="K22" s="334"/>
      <c r="L22" s="334"/>
      <c r="M22" s="335"/>
      <c r="N22" s="135" t="s">
        <v>102</v>
      </c>
      <c r="O22" s="136"/>
      <c r="P22" s="136"/>
      <c r="Q22" s="136"/>
    </row>
    <row r="23" spans="2:17" s="75" customFormat="1" ht="15.5" thickBot="1" x14ac:dyDescent="0.35">
      <c r="B23" s="134"/>
      <c r="C23" s="336"/>
      <c r="D23" s="334"/>
      <c r="E23" s="334"/>
      <c r="F23" s="334"/>
      <c r="G23" s="334"/>
      <c r="H23" s="334"/>
      <c r="I23" s="334"/>
      <c r="J23" s="334"/>
      <c r="K23" s="334"/>
      <c r="L23" s="334"/>
      <c r="M23" s="335"/>
      <c r="N23" s="135"/>
    </row>
    <row r="24" spans="2:17" s="75" customFormat="1" ht="14" x14ac:dyDescent="0.3"/>
    <row r="25" spans="2:17" s="75" customFormat="1" ht="14" x14ac:dyDescent="0.3">
      <c r="B25" s="75" t="s">
        <v>103</v>
      </c>
    </row>
    <row r="26" spans="2:17" s="75" customFormat="1" ht="262.5" customHeight="1" x14ac:dyDescent="0.3">
      <c r="B26" s="53" t="s">
        <v>104</v>
      </c>
      <c r="C26" s="330" t="s">
        <v>105</v>
      </c>
      <c r="D26" s="330"/>
      <c r="E26" s="330"/>
      <c r="F26" s="330"/>
      <c r="G26" s="330"/>
      <c r="H26" s="330"/>
      <c r="I26" s="330"/>
      <c r="J26" s="330"/>
    </row>
    <row r="29" spans="2:17" x14ac:dyDescent="0.35">
      <c r="B29" s="29" t="s">
        <v>164</v>
      </c>
    </row>
    <row r="30" spans="2:17" ht="48" customHeight="1" x14ac:dyDescent="0.35">
      <c r="C30" s="306" t="s">
        <v>165</v>
      </c>
      <c r="D30" s="306"/>
      <c r="E30" s="306"/>
      <c r="F30" s="306"/>
      <c r="G30" s="306"/>
      <c r="H30" s="306"/>
      <c r="I30" s="306"/>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16" sqref="B16"/>
    </sheetView>
  </sheetViews>
  <sheetFormatPr defaultColWidth="9.1796875" defaultRowHeight="14.5" x14ac:dyDescent="0.35"/>
  <cols>
    <col min="1" max="1" width="7.1796875" style="24" customWidth="1"/>
    <col min="2" max="2" width="34.81640625" style="24" customWidth="1"/>
    <col min="3" max="3" width="15.81640625" style="25" customWidth="1"/>
    <col min="4" max="4" width="2.81640625" style="24" customWidth="1"/>
    <col min="5" max="5" width="9.1796875" style="24"/>
    <col min="6" max="6" width="44.81640625" style="24" customWidth="1"/>
    <col min="7" max="7" width="15.81640625" style="24" customWidth="1"/>
    <col min="8" max="16384" width="9.1796875" style="24"/>
  </cols>
  <sheetData>
    <row r="1" spans="1:8" s="53" customFormat="1" ht="14" x14ac:dyDescent="0.35">
      <c r="A1" s="90" t="s">
        <v>160</v>
      </c>
      <c r="C1" s="62"/>
    </row>
    <row r="2" spans="1:8" s="53" customFormat="1" thickBot="1" x14ac:dyDescent="0.4">
      <c r="C2" s="62"/>
    </row>
    <row r="3" spans="1:8" s="53" customFormat="1" thickBot="1" x14ac:dyDescent="0.4">
      <c r="A3" s="337" t="s">
        <v>25</v>
      </c>
      <c r="B3" s="338"/>
      <c r="C3" s="338"/>
      <c r="E3" s="339" t="s">
        <v>27</v>
      </c>
      <c r="F3" s="340"/>
      <c r="G3" s="340"/>
    </row>
    <row r="4" spans="1:8" s="53" customFormat="1" ht="14" x14ac:dyDescent="0.35">
      <c r="A4" s="137" t="s">
        <v>41</v>
      </c>
      <c r="B4" s="138" t="s">
        <v>16</v>
      </c>
      <c r="C4" s="139" t="s">
        <v>26</v>
      </c>
      <c r="E4" s="140" t="s">
        <v>41</v>
      </c>
      <c r="F4" s="141" t="s">
        <v>28</v>
      </c>
      <c r="G4" s="142" t="s">
        <v>26</v>
      </c>
    </row>
    <row r="5" spans="1:8" s="53" customFormat="1" ht="42" x14ac:dyDescent="0.35">
      <c r="A5" s="143" t="s">
        <v>48</v>
      </c>
      <c r="B5" s="144" t="s">
        <v>29</v>
      </c>
      <c r="C5" s="145" t="s">
        <v>58</v>
      </c>
      <c r="E5" s="143" t="s">
        <v>60</v>
      </c>
      <c r="F5" s="146" t="s">
        <v>35</v>
      </c>
      <c r="G5" s="147" t="s">
        <v>58</v>
      </c>
    </row>
    <row r="6" spans="1:8" s="53" customFormat="1" ht="28" x14ac:dyDescent="0.35">
      <c r="A6" s="42" t="s">
        <v>51</v>
      </c>
      <c r="B6" s="144" t="s">
        <v>30</v>
      </c>
      <c r="C6" s="145" t="s">
        <v>58</v>
      </c>
      <c r="E6" s="42" t="s">
        <v>61</v>
      </c>
      <c r="F6" s="146" t="s">
        <v>36</v>
      </c>
      <c r="G6" s="148" t="s">
        <v>58</v>
      </c>
    </row>
    <row r="7" spans="1:8" s="53" customFormat="1" ht="28" x14ac:dyDescent="0.35">
      <c r="A7" s="42" t="s">
        <v>52</v>
      </c>
      <c r="B7" s="144" t="s">
        <v>31</v>
      </c>
      <c r="C7" s="145" t="s">
        <v>58</v>
      </c>
      <c r="E7" s="42" t="s">
        <v>62</v>
      </c>
      <c r="F7" s="146" t="s">
        <v>37</v>
      </c>
      <c r="G7" s="148" t="s">
        <v>58</v>
      </c>
    </row>
    <row r="8" spans="1:8" s="53" customFormat="1" ht="28" x14ac:dyDescent="0.35">
      <c r="A8" s="149" t="s">
        <v>53</v>
      </c>
      <c r="B8" s="150" t="s">
        <v>32</v>
      </c>
      <c r="C8" s="145" t="s">
        <v>59</v>
      </c>
      <c r="E8" s="42" t="s">
        <v>63</v>
      </c>
      <c r="F8" s="146" t="s">
        <v>38</v>
      </c>
      <c r="G8" s="148" t="s">
        <v>58</v>
      </c>
    </row>
    <row r="9" spans="1:8" s="53" customFormat="1" ht="28" x14ac:dyDescent="0.35">
      <c r="A9" s="149" t="s">
        <v>54</v>
      </c>
      <c r="B9" s="150" t="s">
        <v>33</v>
      </c>
      <c r="C9" s="145" t="s">
        <v>59</v>
      </c>
      <c r="E9" s="42" t="s">
        <v>64</v>
      </c>
      <c r="F9" s="146" t="s">
        <v>39</v>
      </c>
      <c r="G9" s="148" t="s">
        <v>58</v>
      </c>
    </row>
    <row r="10" spans="1:8" s="53" customFormat="1" ht="42" x14ac:dyDescent="0.35">
      <c r="A10" s="151" t="s">
        <v>55</v>
      </c>
      <c r="B10" s="152" t="s">
        <v>34</v>
      </c>
      <c r="C10" s="153" t="s">
        <v>59</v>
      </c>
      <c r="E10" s="154" t="s">
        <v>65</v>
      </c>
      <c r="F10" s="155" t="s">
        <v>40</v>
      </c>
      <c r="G10" s="156" t="s">
        <v>59</v>
      </c>
    </row>
    <row r="11" spans="1:8" s="53" customFormat="1" ht="14" x14ac:dyDescent="0.35">
      <c r="C11" s="62"/>
    </row>
    <row r="12" spans="1:8" s="53" customFormat="1" ht="14" x14ac:dyDescent="0.35">
      <c r="C12" s="62"/>
    </row>
    <row r="13" spans="1:8" s="53" customFormat="1" ht="14" x14ac:dyDescent="0.35">
      <c r="C13" s="62"/>
    </row>
    <row r="14" spans="1:8" s="53" customFormat="1" ht="14" x14ac:dyDescent="0.25">
      <c r="A14" s="29" t="s">
        <v>164</v>
      </c>
      <c r="C14" s="62"/>
    </row>
    <row r="15" spans="1:8" s="53" customFormat="1" ht="32.25" customHeight="1" x14ac:dyDescent="0.25">
      <c r="B15" s="306" t="s">
        <v>165</v>
      </c>
      <c r="C15" s="306"/>
      <c r="D15" s="306"/>
      <c r="E15" s="306"/>
      <c r="F15" s="306"/>
      <c r="G15" s="306"/>
      <c r="H15" s="306"/>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796875" defaultRowHeight="14.5" x14ac:dyDescent="0.35"/>
  <cols>
    <col min="1" max="1" width="6.1796875" customWidth="1"/>
    <col min="2" max="2" width="38.1796875" customWidth="1"/>
    <col min="3" max="3" width="49.453125" customWidth="1"/>
    <col min="4" max="4" width="27.81640625" customWidth="1"/>
    <col min="5" max="5" width="14.7265625" customWidth="1"/>
    <col min="6" max="6" width="16.26953125" customWidth="1"/>
    <col min="7" max="7" width="20.1796875" customWidth="1"/>
    <col min="8" max="8" width="20.26953125" customWidth="1"/>
  </cols>
  <sheetData>
    <row r="1" spans="1:8" x14ac:dyDescent="0.35">
      <c r="A1" s="341" t="s">
        <v>20</v>
      </c>
      <c r="B1" s="341"/>
      <c r="C1" s="341"/>
      <c r="D1" s="341"/>
      <c r="E1" s="341"/>
      <c r="F1" s="341"/>
      <c r="G1" s="341"/>
      <c r="H1" s="341"/>
    </row>
    <row r="2" spans="1:8" ht="58" x14ac:dyDescent="0.35">
      <c r="A2" s="12" t="s">
        <v>21</v>
      </c>
      <c r="B2" s="12" t="s">
        <v>24</v>
      </c>
      <c r="C2" s="12" t="s">
        <v>22</v>
      </c>
      <c r="D2" s="13" t="s">
        <v>16</v>
      </c>
      <c r="E2" s="21" t="s">
        <v>42</v>
      </c>
      <c r="F2" s="14" t="s">
        <v>43</v>
      </c>
      <c r="G2" s="14" t="s">
        <v>44</v>
      </c>
      <c r="H2" s="14" t="s">
        <v>23</v>
      </c>
    </row>
    <row r="3" spans="1:8" s="19" customFormat="1" ht="48" x14ac:dyDescent="0.35">
      <c r="A3" s="15" t="s">
        <v>45</v>
      </c>
      <c r="B3" s="16" t="s">
        <v>46</v>
      </c>
      <c r="C3" s="16" t="s">
        <v>47</v>
      </c>
      <c r="D3" s="17" t="s">
        <v>48</v>
      </c>
      <c r="E3" s="22" t="s">
        <v>49</v>
      </c>
      <c r="F3" s="18" t="s">
        <v>50</v>
      </c>
      <c r="G3" s="18" t="s">
        <v>50</v>
      </c>
      <c r="H3" s="20" t="s">
        <v>50</v>
      </c>
    </row>
    <row r="4" spans="1:8" x14ac:dyDescent="0.35">
      <c r="A4" s="1"/>
      <c r="B4" s="1"/>
      <c r="C4" s="1"/>
      <c r="D4" s="1"/>
      <c r="E4" s="23"/>
      <c r="F4" s="1"/>
      <c r="G4" s="1"/>
      <c r="H4" s="1"/>
    </row>
    <row r="5" spans="1:8" x14ac:dyDescent="0.35">
      <c r="A5" s="1"/>
      <c r="B5" s="1"/>
      <c r="C5" s="1"/>
      <c r="D5" s="1"/>
      <c r="E5" s="23"/>
      <c r="F5" s="1"/>
      <c r="G5" s="1"/>
      <c r="H5" s="1"/>
    </row>
    <row r="6" spans="1:8" x14ac:dyDescent="0.35">
      <c r="A6" s="1"/>
      <c r="B6" s="1"/>
      <c r="C6" s="1"/>
      <c r="D6" s="1"/>
      <c r="E6" s="23"/>
      <c r="F6" s="1"/>
      <c r="G6" s="1"/>
      <c r="H6" s="1"/>
    </row>
    <row r="7" spans="1:8" x14ac:dyDescent="0.35">
      <c r="A7" s="1"/>
      <c r="B7" s="1"/>
      <c r="C7" s="1"/>
      <c r="D7" s="1"/>
      <c r="E7" s="23"/>
      <c r="F7" s="1"/>
      <c r="G7" s="1"/>
      <c r="H7" s="1"/>
    </row>
    <row r="8" spans="1:8" x14ac:dyDescent="0.35">
      <c r="A8" s="1"/>
      <c r="B8" s="1"/>
      <c r="C8" s="1"/>
      <c r="D8" s="1"/>
      <c r="E8" s="23"/>
      <c r="F8" s="1"/>
      <c r="G8" s="1"/>
      <c r="H8" s="1"/>
    </row>
    <row r="9" spans="1:8" x14ac:dyDescent="0.35">
      <c r="A9" s="1"/>
      <c r="B9" s="1"/>
      <c r="C9" s="1"/>
      <c r="D9" s="1"/>
      <c r="E9" s="23"/>
      <c r="F9" s="1"/>
      <c r="G9" s="1"/>
      <c r="H9" s="1"/>
    </row>
    <row r="10" spans="1:8" x14ac:dyDescent="0.35">
      <c r="A10" s="1"/>
      <c r="B10" s="1"/>
      <c r="C10" s="1"/>
      <c r="D10" s="1"/>
      <c r="E10" s="23"/>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796875" defaultRowHeight="14.5" x14ac:dyDescent="0.35"/>
  <cols>
    <col min="1" max="1" width="27.7265625" customWidth="1"/>
    <col min="2" max="2" width="102.1796875" customWidth="1"/>
  </cols>
  <sheetData>
    <row r="1" spans="1:2" ht="19" thickBot="1" x14ac:dyDescent="0.4">
      <c r="A1" s="3"/>
      <c r="B1" s="4"/>
    </row>
    <row r="2" spans="1:2" ht="19" thickBot="1" x14ac:dyDescent="0.4">
      <c r="A2" s="5" t="s">
        <v>18</v>
      </c>
      <c r="B2" s="6" t="s">
        <v>19</v>
      </c>
    </row>
    <row r="3" spans="1:2" ht="19" thickBot="1" x14ac:dyDescent="0.4">
      <c r="A3" s="7"/>
      <c r="B3" s="8"/>
    </row>
    <row r="4" spans="1:2" x14ac:dyDescent="0.35">
      <c r="A4" s="342"/>
      <c r="B4" s="9"/>
    </row>
    <row r="5" spans="1:2" x14ac:dyDescent="0.35">
      <c r="A5" s="343"/>
      <c r="B5" s="10"/>
    </row>
    <row r="6" spans="1:2" x14ac:dyDescent="0.35">
      <c r="A6" s="343"/>
      <c r="B6" s="10"/>
    </row>
    <row r="7" spans="1:2" ht="15" thickBot="1" x14ac:dyDescent="0.4">
      <c r="A7" s="344"/>
      <c r="B7" s="11"/>
    </row>
    <row r="8" spans="1:2" ht="19" thickBot="1" x14ac:dyDescent="0.4">
      <c r="A8" s="3"/>
      <c r="B8" s="4"/>
    </row>
    <row r="9" spans="1:2" x14ac:dyDescent="0.35">
      <c r="A9" s="342"/>
      <c r="B9" s="9"/>
    </row>
    <row r="10" spans="1:2" x14ac:dyDescent="0.35">
      <c r="A10" s="343"/>
      <c r="B10" s="10"/>
    </row>
    <row r="11" spans="1:2" x14ac:dyDescent="0.35">
      <c r="A11" s="343"/>
      <c r="B11" s="10"/>
    </row>
    <row r="12" spans="1:2" x14ac:dyDescent="0.35">
      <c r="A12" s="343"/>
      <c r="B12" s="10"/>
    </row>
    <row r="13" spans="1:2" ht="15" thickBot="1" x14ac:dyDescent="0.4">
      <c r="A13" s="344"/>
      <c r="B13" s="11"/>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663BCAEFF285478CCB19485035D25B" ma:contentTypeVersion="2" ma:contentTypeDescription="Create a new document." ma:contentTypeScope="" ma:versionID="40a457a9a8ae7e4d30f2856779b60ee9">
  <xsd:schema xmlns:xsd="http://www.w3.org/2001/XMLSchema" xmlns:xs="http://www.w3.org/2001/XMLSchema" xmlns:p="http://schemas.microsoft.com/office/2006/metadata/properties" xmlns:ns2="f2d8b341-c2fb-4100-be3a-cc1ff4af97bd" targetNamespace="http://schemas.microsoft.com/office/2006/metadata/properties" ma:root="true" ma:fieldsID="720f323119dbbd08dc253d42adc2a2d3" ns2:_="">
    <xsd:import namespace="f2d8b341-c2fb-4100-be3a-cc1ff4af97b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8b341-c2fb-4100-be3a-cc1ff4af9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7A5100-0A0E-47AB-B112-8934D4A660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d8b341-c2fb-4100-be3a-cc1ff4af9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33AF7F02-150C-44AA-ACFE-3054112CF8E2}">
  <ds:schemaRefs>
    <ds:schemaRef ds:uri="http://www.w3.org/XML/1998/namespac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Campana, Jose</dc:creator>
  <cp:lastModifiedBy>Sai Praneetha Bhaskaruni</cp:lastModifiedBy>
  <cp:lastPrinted>2018-12-18T12:40:04Z</cp:lastPrinted>
  <dcterms:created xsi:type="dcterms:W3CDTF">2017-03-06T20:58:36Z</dcterms:created>
  <dcterms:modified xsi:type="dcterms:W3CDTF">2022-03-10T11:29:28Z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0x010100F9663BCAEFF285478CCB19485035D25B</vt:lpwstr>
  </property>
  <property fmtid="{D5CDD505-2E9C-101B-9397-08002B2CF9AE}" pid="3" name="MSIP_Label_40993bd6-1ede-4830-9dba-3224251d6855_Enabled">
    <vt:lpwstr>true</vt:lpwstr>
  </property>
  <property fmtid="{D5CDD505-2E9C-101B-9397-08002B2CF9AE}" pid="4" name="MSIP_Label_40993bd6-1ede-4830-9dba-3224251d6855_SetDate">
    <vt:lpwstr>2022-03-03T15:29:18Z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25624af0-af11-4b22-8e55-a86ce475642d</vt:lpwstr>
  </property>
  <property fmtid="{D5CDD505-2E9C-101B-9397-08002B2CF9AE}" pid="9" name="MSIP_Label_40993bd6-1ede-4830-9dba-3224251d6855_ContentBits">
    <vt:lpwstr>0</vt:lpwstr>
  </property>
</Properties>
</file>