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Stryker\Smart Medic\from vinod for DR8-10\"/>
    </mc:Choice>
  </mc:AlternateContent>
  <xr:revisionPtr revIDLastSave="0" documentId="13_ncr:1_{AFC4E038-72AA-4EED-B3BD-3A48E4C0FBB7}" xr6:coauthVersionLast="47" xr6:coauthVersionMax="47" xr10:uidLastSave="{00000000-0000-0000-0000-000000000000}"/>
  <bookViews>
    <workbookView xWindow="-120" yWindow="-120" windowWidth="20730" windowHeight="11160" tabRatio="500" firstSheet="2" activeTab="4" xr2:uid="{00000000-000D-0000-FFFF-FFFF00000000}"/>
  </bookViews>
  <sheets>
    <sheet name="Approval" sheetId="10" r:id="rId1"/>
    <sheet name="System &amp; Asset Identification" sheetId="1" r:id="rId2"/>
    <sheet name="Vulnerability Identification" sheetId="2" r:id="rId3"/>
    <sheet name="Threat Assessment" sheetId="3" r:id="rId4"/>
    <sheet name="Security Risk Assess" sheetId="4" r:id="rId5"/>
    <sheet name="Summary" sheetId="5" r:id="rId6"/>
    <sheet name="Reference - CVSSv3.0" sheetId="6" r:id="rId7"/>
    <sheet name="Reference - Threat Source" sheetId="7" r:id="rId8"/>
    <sheet name="OLD - Threat Assessment" sheetId="8" state="hidden" r:id="rId9"/>
    <sheet name="OLD - Risk Controls" sheetId="9" state="hidden" r:id="rId10"/>
  </sheets>
  <definedNames>
    <definedName name="Attack" localSheetId="6">'Reference - CVSSv3.0'!$B$7:$B$10</definedName>
    <definedName name="CIA" localSheetId="6">'Reference - CVSSv3.0'!$B$16:$B$18</definedName>
    <definedName name="Comp" localSheetId="6">'Reference - CVSSv3.0'!$E$7:$E$8</definedName>
    <definedName name="_xlnm.Print_Titles" localSheetId="4">'Security Risk Assess'!$3:$4</definedName>
    <definedName name="_xlnm.Print_Titles" localSheetId="5">Summary!$8:$8</definedName>
    <definedName name="Priv" localSheetId="6">'Reference - CVSSv3.0'!$H$7:$H$9</definedName>
    <definedName name="Scope" localSheetId="6">'Reference - CVSSv3.0'!$B$22:$B$23</definedName>
    <definedName name="Ux" localSheetId="6">'Reference - CVSSv3.0'!$L$7:$L$8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91" i="4" l="1"/>
  <c r="G37" i="4"/>
  <c r="M80" i="5"/>
  <c r="K80" i="5"/>
  <c r="I80" i="5"/>
  <c r="H80" i="5"/>
  <c r="F80" i="5"/>
  <c r="D80" i="5"/>
  <c r="B80" i="5"/>
  <c r="A80" i="5"/>
  <c r="M79" i="5"/>
  <c r="K79" i="5"/>
  <c r="I79" i="5"/>
  <c r="H79" i="5"/>
  <c r="F79" i="5"/>
  <c r="D79" i="5"/>
  <c r="B79" i="5"/>
  <c r="A79" i="5"/>
  <c r="M78" i="5"/>
  <c r="K78" i="5"/>
  <c r="I78" i="5"/>
  <c r="H78" i="5"/>
  <c r="F78" i="5"/>
  <c r="D78" i="5"/>
  <c r="B78" i="5"/>
  <c r="A78" i="5"/>
  <c r="M77" i="5"/>
  <c r="K77" i="5"/>
  <c r="I77" i="5"/>
  <c r="H77" i="5"/>
  <c r="F77" i="5"/>
  <c r="D77" i="5"/>
  <c r="B77" i="5"/>
  <c r="A77" i="5"/>
  <c r="M76" i="5"/>
  <c r="K76" i="5"/>
  <c r="I76" i="5"/>
  <c r="H76" i="5"/>
  <c r="F76" i="5"/>
  <c r="D76" i="5"/>
  <c r="B76" i="5"/>
  <c r="A76" i="5"/>
  <c r="M75" i="5"/>
  <c r="K75" i="5"/>
  <c r="I75" i="5"/>
  <c r="H75" i="5"/>
  <c r="F75" i="5"/>
  <c r="D75" i="5"/>
  <c r="B75" i="5"/>
  <c r="A75" i="5"/>
  <c r="M74" i="5"/>
  <c r="K74" i="5"/>
  <c r="I74" i="5"/>
  <c r="H74" i="5"/>
  <c r="F74" i="5"/>
  <c r="D74" i="5"/>
  <c r="B74" i="5"/>
  <c r="A74" i="5"/>
  <c r="M73" i="5"/>
  <c r="K73" i="5"/>
  <c r="I73" i="5"/>
  <c r="H73" i="5"/>
  <c r="F73" i="5"/>
  <c r="D73" i="5"/>
  <c r="B73" i="5"/>
  <c r="A73" i="5"/>
  <c r="M72" i="5"/>
  <c r="K72" i="5"/>
  <c r="I72" i="5"/>
  <c r="H72" i="5"/>
  <c r="F72" i="5"/>
  <c r="D72" i="5"/>
  <c r="B72" i="5"/>
  <c r="A72" i="5"/>
  <c r="M71" i="5"/>
  <c r="K71" i="5"/>
  <c r="I71" i="5"/>
  <c r="H71" i="5"/>
  <c r="F71" i="5"/>
  <c r="D71" i="5"/>
  <c r="B71" i="5"/>
  <c r="A71" i="5"/>
  <c r="M70" i="5"/>
  <c r="K70" i="5"/>
  <c r="I70" i="5"/>
  <c r="H70" i="5"/>
  <c r="F70" i="5"/>
  <c r="D70" i="5"/>
  <c r="B70" i="5"/>
  <c r="A70" i="5"/>
  <c r="M69" i="5"/>
  <c r="K69" i="5"/>
  <c r="I69" i="5"/>
  <c r="H69" i="5"/>
  <c r="F69" i="5"/>
  <c r="D69" i="5"/>
  <c r="B69" i="5"/>
  <c r="A69" i="5"/>
  <c r="M68" i="5"/>
  <c r="K68" i="5"/>
  <c r="I68" i="5"/>
  <c r="H68" i="5"/>
  <c r="F68" i="5"/>
  <c r="D68" i="5"/>
  <c r="B68" i="5"/>
  <c r="A68" i="5"/>
  <c r="M67" i="5"/>
  <c r="K67" i="5"/>
  <c r="I67" i="5"/>
  <c r="H67" i="5"/>
  <c r="F67" i="5"/>
  <c r="D67" i="5"/>
  <c r="B67" i="5"/>
  <c r="A67" i="5"/>
  <c r="M66" i="5"/>
  <c r="K66" i="5"/>
  <c r="I66" i="5"/>
  <c r="H66" i="5"/>
  <c r="F66" i="5"/>
  <c r="D66" i="5"/>
  <c r="B66" i="5"/>
  <c r="A66" i="5"/>
  <c r="M65" i="5"/>
  <c r="K65" i="5"/>
  <c r="I65" i="5"/>
  <c r="H65" i="5"/>
  <c r="F65" i="5"/>
  <c r="D65" i="5"/>
  <c r="B65" i="5"/>
  <c r="A65" i="5"/>
  <c r="M64" i="5"/>
  <c r="K64" i="5"/>
  <c r="I64" i="5"/>
  <c r="H64" i="5"/>
  <c r="F64" i="5"/>
  <c r="D64" i="5"/>
  <c r="B64" i="5"/>
  <c r="A64" i="5"/>
  <c r="M63" i="5"/>
  <c r="K63" i="5"/>
  <c r="I63" i="5"/>
  <c r="H63" i="5"/>
  <c r="F63" i="5"/>
  <c r="D63" i="5"/>
  <c r="B63" i="5"/>
  <c r="A63" i="5"/>
  <c r="M62" i="5"/>
  <c r="K62" i="5"/>
  <c r="I62" i="5"/>
  <c r="H62" i="5"/>
  <c r="F62" i="5"/>
  <c r="D62" i="5"/>
  <c r="B62" i="5"/>
  <c r="A62" i="5"/>
  <c r="M61" i="5"/>
  <c r="K61" i="5"/>
  <c r="I61" i="5"/>
  <c r="H61" i="5"/>
  <c r="F61" i="5"/>
  <c r="D61" i="5"/>
  <c r="B61" i="5"/>
  <c r="A61" i="5"/>
  <c r="M60" i="5"/>
  <c r="K60" i="5"/>
  <c r="I60" i="5"/>
  <c r="H60" i="5"/>
  <c r="F60" i="5"/>
  <c r="D60" i="5"/>
  <c r="B60" i="5"/>
  <c r="A60" i="5"/>
  <c r="M59" i="5"/>
  <c r="K59" i="5"/>
  <c r="I59" i="5"/>
  <c r="H59" i="5"/>
  <c r="F59" i="5"/>
  <c r="D59" i="5"/>
  <c r="B59" i="5"/>
  <c r="A59" i="5"/>
  <c r="M58" i="5"/>
  <c r="K58" i="5"/>
  <c r="I58" i="5"/>
  <c r="H58" i="5"/>
  <c r="F58" i="5"/>
  <c r="D58" i="5"/>
  <c r="B58" i="5"/>
  <c r="A58" i="5"/>
  <c r="M57" i="5"/>
  <c r="K57" i="5"/>
  <c r="I57" i="5"/>
  <c r="H57" i="5"/>
  <c r="F57" i="5"/>
  <c r="D57" i="5"/>
  <c r="B57" i="5"/>
  <c r="A57" i="5"/>
  <c r="M56" i="5"/>
  <c r="K56" i="5"/>
  <c r="I56" i="5"/>
  <c r="H56" i="5"/>
  <c r="F56" i="5"/>
  <c r="D56" i="5"/>
  <c r="B56" i="5"/>
  <c r="A56" i="5"/>
  <c r="M55" i="5"/>
  <c r="K55" i="5"/>
  <c r="I55" i="5"/>
  <c r="H55" i="5"/>
  <c r="F55" i="5"/>
  <c r="D55" i="5"/>
  <c r="B55" i="5"/>
  <c r="A55" i="5"/>
  <c r="M54" i="5"/>
  <c r="K54" i="5"/>
  <c r="I54" i="5"/>
  <c r="H54" i="5"/>
  <c r="F54" i="5"/>
  <c r="D54" i="5"/>
  <c r="B54" i="5"/>
  <c r="A54" i="5"/>
  <c r="M53" i="5"/>
  <c r="K53" i="5"/>
  <c r="I53" i="5"/>
  <c r="H53" i="5"/>
  <c r="F53" i="5"/>
  <c r="D53" i="5"/>
  <c r="B53" i="5"/>
  <c r="A53" i="5"/>
  <c r="M52" i="5"/>
  <c r="K52" i="5"/>
  <c r="I52" i="5"/>
  <c r="H52" i="5"/>
  <c r="F52" i="5"/>
  <c r="D52" i="5"/>
  <c r="B52" i="5"/>
  <c r="A52" i="5"/>
  <c r="M51" i="5"/>
  <c r="K51" i="5"/>
  <c r="I51" i="5"/>
  <c r="H51" i="5"/>
  <c r="F51" i="5"/>
  <c r="D51" i="5"/>
  <c r="B51" i="5"/>
  <c r="A51" i="5"/>
  <c r="M50" i="5"/>
  <c r="K50" i="5"/>
  <c r="I50" i="5"/>
  <c r="H50" i="5"/>
  <c r="F50" i="5"/>
  <c r="D50" i="5"/>
  <c r="B50" i="5"/>
  <c r="A50" i="5"/>
  <c r="M49" i="5"/>
  <c r="K49" i="5"/>
  <c r="I49" i="5"/>
  <c r="H49" i="5"/>
  <c r="F49" i="5"/>
  <c r="D49" i="5"/>
  <c r="B49" i="5"/>
  <c r="A49" i="5"/>
  <c r="M48" i="5"/>
  <c r="K48" i="5"/>
  <c r="I48" i="5"/>
  <c r="H48" i="5"/>
  <c r="F48" i="5"/>
  <c r="D48" i="5"/>
  <c r="B48" i="5"/>
  <c r="A48" i="5"/>
  <c r="M47" i="5"/>
  <c r="K47" i="5"/>
  <c r="I47" i="5"/>
  <c r="H47" i="5"/>
  <c r="F47" i="5"/>
  <c r="D47" i="5"/>
  <c r="B47" i="5"/>
  <c r="A47" i="5"/>
  <c r="M46" i="5"/>
  <c r="K46" i="5"/>
  <c r="I46" i="5"/>
  <c r="H46" i="5"/>
  <c r="F46" i="5"/>
  <c r="D46" i="5"/>
  <c r="B46" i="5"/>
  <c r="A46" i="5"/>
  <c r="M45" i="5"/>
  <c r="K45" i="5"/>
  <c r="I45" i="5"/>
  <c r="H45" i="5"/>
  <c r="F45" i="5"/>
  <c r="D45" i="5"/>
  <c r="B45" i="5"/>
  <c r="A45" i="5"/>
  <c r="M44" i="5"/>
  <c r="K44" i="5"/>
  <c r="I44" i="5"/>
  <c r="H44" i="5"/>
  <c r="F44" i="5"/>
  <c r="D44" i="5"/>
  <c r="B44" i="5"/>
  <c r="A44" i="5"/>
  <c r="M43" i="5"/>
  <c r="K43" i="5"/>
  <c r="I43" i="5"/>
  <c r="H43" i="5"/>
  <c r="F43" i="5"/>
  <c r="D43" i="5"/>
  <c r="B43" i="5"/>
  <c r="A43" i="5"/>
  <c r="M42" i="5"/>
  <c r="K42" i="5"/>
  <c r="I42" i="5"/>
  <c r="H42" i="5"/>
  <c r="F42" i="5"/>
  <c r="D42" i="5"/>
  <c r="B42" i="5"/>
  <c r="A42" i="5"/>
  <c r="M41" i="5"/>
  <c r="K41" i="5"/>
  <c r="I41" i="5"/>
  <c r="H41" i="5"/>
  <c r="F41" i="5"/>
  <c r="D41" i="5"/>
  <c r="B41" i="5"/>
  <c r="A41" i="5"/>
  <c r="M40" i="5"/>
  <c r="K40" i="5"/>
  <c r="I40" i="5"/>
  <c r="H40" i="5"/>
  <c r="F40" i="5"/>
  <c r="D40" i="5"/>
  <c r="B40" i="5"/>
  <c r="A40" i="5"/>
  <c r="M39" i="5"/>
  <c r="K39" i="5"/>
  <c r="I39" i="5"/>
  <c r="H39" i="5"/>
  <c r="F39" i="5"/>
  <c r="D39" i="5"/>
  <c r="B39" i="5"/>
  <c r="A39" i="5"/>
  <c r="M38" i="5"/>
  <c r="K38" i="5"/>
  <c r="I38" i="5"/>
  <c r="H38" i="5"/>
  <c r="F38" i="5"/>
  <c r="D38" i="5"/>
  <c r="B38" i="5"/>
  <c r="A38" i="5"/>
  <c r="M37" i="5"/>
  <c r="K37" i="5"/>
  <c r="I37" i="5"/>
  <c r="H37" i="5"/>
  <c r="F37" i="5"/>
  <c r="D37" i="5"/>
  <c r="B37" i="5"/>
  <c r="A37" i="5"/>
  <c r="M36" i="5"/>
  <c r="K36" i="5"/>
  <c r="I36" i="5"/>
  <c r="H36" i="5"/>
  <c r="F36" i="5"/>
  <c r="D36" i="5"/>
  <c r="B36" i="5"/>
  <c r="A36" i="5"/>
  <c r="M35" i="5"/>
  <c r="K35" i="5"/>
  <c r="I35" i="5"/>
  <c r="H35" i="5"/>
  <c r="F35" i="5"/>
  <c r="D35" i="5"/>
  <c r="B35" i="5"/>
  <c r="A35" i="5"/>
  <c r="M34" i="5"/>
  <c r="K34" i="5"/>
  <c r="I34" i="5"/>
  <c r="H34" i="5"/>
  <c r="F34" i="5"/>
  <c r="D34" i="5"/>
  <c r="B34" i="5"/>
  <c r="A34" i="5"/>
  <c r="M33" i="5"/>
  <c r="K33" i="5"/>
  <c r="I33" i="5"/>
  <c r="H33" i="5"/>
  <c r="F33" i="5"/>
  <c r="D33" i="5"/>
  <c r="B33" i="5"/>
  <c r="A33" i="5"/>
  <c r="M32" i="5"/>
  <c r="K32" i="5"/>
  <c r="I32" i="5"/>
  <c r="H32" i="5"/>
  <c r="F32" i="5"/>
  <c r="D32" i="5"/>
  <c r="B32" i="5"/>
  <c r="A32" i="5"/>
  <c r="M31" i="5"/>
  <c r="K31" i="5"/>
  <c r="I31" i="5"/>
  <c r="H31" i="5"/>
  <c r="F31" i="5"/>
  <c r="D31" i="5"/>
  <c r="B31" i="5"/>
  <c r="A31" i="5"/>
  <c r="M30" i="5"/>
  <c r="K30" i="5"/>
  <c r="I30" i="5"/>
  <c r="H30" i="5"/>
  <c r="F30" i="5"/>
  <c r="D30" i="5"/>
  <c r="B30" i="5"/>
  <c r="A30" i="5"/>
  <c r="M29" i="5"/>
  <c r="K29" i="5"/>
  <c r="I29" i="5"/>
  <c r="H29" i="5"/>
  <c r="F29" i="5"/>
  <c r="D29" i="5"/>
  <c r="B29" i="5"/>
  <c r="A29" i="5"/>
  <c r="M28" i="5"/>
  <c r="K28" i="5"/>
  <c r="I28" i="5"/>
  <c r="H28" i="5"/>
  <c r="F28" i="5"/>
  <c r="D28" i="5"/>
  <c r="B28" i="5"/>
  <c r="A28" i="5"/>
  <c r="M27" i="5"/>
  <c r="K27" i="5"/>
  <c r="I27" i="5"/>
  <c r="H27" i="5"/>
  <c r="F27" i="5"/>
  <c r="D27" i="5"/>
  <c r="B27" i="5"/>
  <c r="A27" i="5"/>
  <c r="M26" i="5"/>
  <c r="K26" i="5"/>
  <c r="I26" i="5"/>
  <c r="H26" i="5"/>
  <c r="F26" i="5"/>
  <c r="D26" i="5"/>
  <c r="B26" i="5"/>
  <c r="A26" i="5"/>
  <c r="M25" i="5"/>
  <c r="K25" i="5"/>
  <c r="I25" i="5"/>
  <c r="H25" i="5"/>
  <c r="F25" i="5"/>
  <c r="D25" i="5"/>
  <c r="B25" i="5"/>
  <c r="A25" i="5"/>
  <c r="M24" i="5"/>
  <c r="K24" i="5"/>
  <c r="I24" i="5"/>
  <c r="H24" i="5"/>
  <c r="F24" i="5"/>
  <c r="D24" i="5"/>
  <c r="B24" i="5"/>
  <c r="A24" i="5"/>
  <c r="M23" i="5"/>
  <c r="K23" i="5"/>
  <c r="I23" i="5"/>
  <c r="H23" i="5"/>
  <c r="F23" i="5"/>
  <c r="D23" i="5"/>
  <c r="B23" i="5"/>
  <c r="A23" i="5"/>
  <c r="M22" i="5"/>
  <c r="K22" i="5"/>
  <c r="I22" i="5"/>
  <c r="H22" i="5"/>
  <c r="F22" i="5"/>
  <c r="D22" i="5"/>
  <c r="B22" i="5"/>
  <c r="A22" i="5"/>
  <c r="M21" i="5"/>
  <c r="K21" i="5"/>
  <c r="I21" i="5"/>
  <c r="H21" i="5"/>
  <c r="F21" i="5"/>
  <c r="D21" i="5"/>
  <c r="B21" i="5"/>
  <c r="A21" i="5"/>
  <c r="M20" i="5"/>
  <c r="K20" i="5"/>
  <c r="I20" i="5"/>
  <c r="H20" i="5"/>
  <c r="F20" i="5"/>
  <c r="D20" i="5"/>
  <c r="B20" i="5"/>
  <c r="A20" i="5"/>
  <c r="M19" i="5"/>
  <c r="K19" i="5"/>
  <c r="I19" i="5"/>
  <c r="H19" i="5"/>
  <c r="F19" i="5"/>
  <c r="D19" i="5"/>
  <c r="B19" i="5"/>
  <c r="A19" i="5"/>
  <c r="M18" i="5"/>
  <c r="K18" i="5"/>
  <c r="I18" i="5"/>
  <c r="H18" i="5"/>
  <c r="F18" i="5"/>
  <c r="D18" i="5"/>
  <c r="B18" i="5"/>
  <c r="A18" i="5"/>
  <c r="M17" i="5"/>
  <c r="K17" i="5"/>
  <c r="I17" i="5"/>
  <c r="H17" i="5"/>
  <c r="F17" i="5"/>
  <c r="D17" i="5"/>
  <c r="B17" i="5"/>
  <c r="A17" i="5"/>
  <c r="M16" i="5"/>
  <c r="K16" i="5"/>
  <c r="I16" i="5"/>
  <c r="H16" i="5"/>
  <c r="F16" i="5"/>
  <c r="D16" i="5"/>
  <c r="B16" i="5"/>
  <c r="A16" i="5"/>
  <c r="M15" i="5"/>
  <c r="K15" i="5"/>
  <c r="I15" i="5"/>
  <c r="H15" i="5"/>
  <c r="F15" i="5"/>
  <c r="D15" i="5"/>
  <c r="B15" i="5"/>
  <c r="A15" i="5"/>
  <c r="M14" i="5"/>
  <c r="K14" i="5"/>
  <c r="I14" i="5"/>
  <c r="H14" i="5"/>
  <c r="F14" i="5"/>
  <c r="D14" i="5"/>
  <c r="B14" i="5"/>
  <c r="A14" i="5"/>
  <c r="M13" i="5"/>
  <c r="K13" i="5"/>
  <c r="I13" i="5"/>
  <c r="H13" i="5"/>
  <c r="F13" i="5"/>
  <c r="D13" i="5"/>
  <c r="B13" i="5"/>
  <c r="A13" i="5"/>
  <c r="M12" i="5"/>
  <c r="K12" i="5"/>
  <c r="I12" i="5"/>
  <c r="H12" i="5"/>
  <c r="F12" i="5"/>
  <c r="D12" i="5"/>
  <c r="B12" i="5"/>
  <c r="A12" i="5"/>
  <c r="M11" i="5"/>
  <c r="K11" i="5"/>
  <c r="I11" i="5"/>
  <c r="H11" i="5"/>
  <c r="F11" i="5"/>
  <c r="D11" i="5"/>
  <c r="B11" i="5"/>
  <c r="A11" i="5"/>
  <c r="M10" i="5"/>
  <c r="K10" i="5"/>
  <c r="I10" i="5"/>
  <c r="H10" i="5"/>
  <c r="F10" i="5"/>
  <c r="D10" i="5"/>
  <c r="B10" i="5"/>
  <c r="A10" i="5"/>
  <c r="M9" i="5"/>
  <c r="K9" i="5"/>
  <c r="I9" i="5"/>
  <c r="H9" i="5"/>
  <c r="F9" i="5"/>
  <c r="D9" i="5"/>
  <c r="B9" i="5"/>
  <c r="A9" i="5"/>
  <c r="AM104" i="4"/>
  <c r="AO104" i="4" s="1"/>
  <c r="AP104" i="4" s="1"/>
  <c r="AL104" i="4"/>
  <c r="AK104" i="4"/>
  <c r="W104" i="4"/>
  <c r="S104" i="4"/>
  <c r="T104" i="4" s="1"/>
  <c r="R104" i="4"/>
  <c r="G104" i="4"/>
  <c r="E104" i="4"/>
  <c r="C104" i="4"/>
  <c r="AM103" i="4"/>
  <c r="AO103" i="4" s="1"/>
  <c r="AP103" i="4" s="1"/>
  <c r="AL103" i="4"/>
  <c r="AK103" i="4"/>
  <c r="W103" i="4"/>
  <c r="S103" i="4"/>
  <c r="T103" i="4" s="1"/>
  <c r="R103" i="4"/>
  <c r="G103" i="4"/>
  <c r="E103" i="4"/>
  <c r="C103" i="4"/>
  <c r="AM102" i="4"/>
  <c r="AO102" i="4" s="1"/>
  <c r="AP102" i="4" s="1"/>
  <c r="AL102" i="4"/>
  <c r="AK102" i="4"/>
  <c r="W102" i="4"/>
  <c r="S102" i="4"/>
  <c r="T102" i="4" s="1"/>
  <c r="R102" i="4"/>
  <c r="G102" i="4"/>
  <c r="E102" i="4"/>
  <c r="C102" i="4"/>
  <c r="AM101" i="4"/>
  <c r="AO101" i="4" s="1"/>
  <c r="AP101" i="4" s="1"/>
  <c r="AL101" i="4"/>
  <c r="AK101" i="4"/>
  <c r="W101" i="4"/>
  <c r="S101" i="4"/>
  <c r="T101" i="4" s="1"/>
  <c r="R101" i="4"/>
  <c r="G101" i="4"/>
  <c r="E101" i="4"/>
  <c r="C101" i="4"/>
  <c r="AM100" i="4"/>
  <c r="AL100" i="4"/>
  <c r="AK100" i="4"/>
  <c r="W100" i="4"/>
  <c r="S100" i="4"/>
  <c r="T100" i="4" s="1"/>
  <c r="R100" i="4"/>
  <c r="G100" i="4"/>
  <c r="E100" i="4"/>
  <c r="C100" i="4"/>
  <c r="AM99" i="4"/>
  <c r="AO99" i="4" s="1"/>
  <c r="AP99" i="4" s="1"/>
  <c r="AL99" i="4"/>
  <c r="AK99" i="4"/>
  <c r="W99" i="4"/>
  <c r="S99" i="4"/>
  <c r="T99" i="4" s="1"/>
  <c r="R99" i="4"/>
  <c r="G99" i="4"/>
  <c r="E99" i="4"/>
  <c r="C99" i="4"/>
  <c r="AM98" i="4"/>
  <c r="AO98" i="4" s="1"/>
  <c r="AP98" i="4" s="1"/>
  <c r="AL98" i="4"/>
  <c r="AK98" i="4"/>
  <c r="W98" i="4"/>
  <c r="S98" i="4"/>
  <c r="T98" i="4" s="1"/>
  <c r="R98" i="4"/>
  <c r="G98" i="4"/>
  <c r="E98" i="4"/>
  <c r="C98" i="4"/>
  <c r="AM97" i="4"/>
  <c r="AO97" i="4" s="1"/>
  <c r="AP97" i="4" s="1"/>
  <c r="AL97" i="4"/>
  <c r="AK97" i="4"/>
  <c r="W97" i="4"/>
  <c r="S97" i="4"/>
  <c r="T97" i="4" s="1"/>
  <c r="R97" i="4"/>
  <c r="G97" i="4"/>
  <c r="E97" i="4"/>
  <c r="C97" i="4"/>
  <c r="AM96" i="4"/>
  <c r="AL96" i="4"/>
  <c r="AK96" i="4"/>
  <c r="W96" i="4"/>
  <c r="S96" i="4"/>
  <c r="T96" i="4" s="1"/>
  <c r="R96" i="4"/>
  <c r="G96" i="4"/>
  <c r="E96" i="4"/>
  <c r="C96" i="4"/>
  <c r="AM95" i="4"/>
  <c r="AO95" i="4" s="1"/>
  <c r="AP95" i="4" s="1"/>
  <c r="AL95" i="4"/>
  <c r="AK95" i="4"/>
  <c r="W95" i="4"/>
  <c r="S95" i="4"/>
  <c r="T95" i="4" s="1"/>
  <c r="R95" i="4"/>
  <c r="G95" i="4"/>
  <c r="E95" i="4"/>
  <c r="C95" i="4"/>
  <c r="AM94" i="4"/>
  <c r="AL94" i="4"/>
  <c r="AK94" i="4"/>
  <c r="W94" i="4"/>
  <c r="S94" i="4"/>
  <c r="T94" i="4" s="1"/>
  <c r="R94" i="4"/>
  <c r="G94" i="4"/>
  <c r="E94" i="4"/>
  <c r="C94" i="4"/>
  <c r="AM93" i="4"/>
  <c r="AO93" i="4" s="1"/>
  <c r="AP93" i="4" s="1"/>
  <c r="AL93" i="4"/>
  <c r="AK93" i="4"/>
  <c r="W93" i="4"/>
  <c r="S93" i="4"/>
  <c r="T93" i="4" s="1"/>
  <c r="R93" i="4"/>
  <c r="G93" i="4"/>
  <c r="E93" i="4"/>
  <c r="C93" i="4"/>
  <c r="AM92" i="4"/>
  <c r="AL92" i="4"/>
  <c r="AK92" i="4"/>
  <c r="W92" i="4"/>
  <c r="S92" i="4"/>
  <c r="T92" i="4" s="1"/>
  <c r="R92" i="4"/>
  <c r="G92" i="4"/>
  <c r="E92" i="4"/>
  <c r="C92" i="4"/>
  <c r="AM91" i="4"/>
  <c r="AO91" i="4" s="1"/>
  <c r="AP91" i="4" s="1"/>
  <c r="AL91" i="4"/>
  <c r="AK91" i="4"/>
  <c r="W91" i="4"/>
  <c r="S91" i="4"/>
  <c r="T91" i="4" s="1"/>
  <c r="R91" i="4"/>
  <c r="G91" i="4"/>
  <c r="C91" i="4"/>
  <c r="AM90" i="4"/>
  <c r="AL90" i="4"/>
  <c r="AK90" i="4"/>
  <c r="W90" i="4"/>
  <c r="S90" i="4"/>
  <c r="T90" i="4" s="1"/>
  <c r="R90" i="4"/>
  <c r="G90" i="4"/>
  <c r="E90" i="4"/>
  <c r="C90" i="4"/>
  <c r="AM89" i="4"/>
  <c r="AO89" i="4" s="1"/>
  <c r="AP89" i="4" s="1"/>
  <c r="AL89" i="4"/>
  <c r="AK89" i="4"/>
  <c r="W89" i="4"/>
  <c r="S89" i="4"/>
  <c r="T89" i="4" s="1"/>
  <c r="R89" i="4"/>
  <c r="G89" i="4"/>
  <c r="E89" i="4"/>
  <c r="C89" i="4"/>
  <c r="AM88" i="4"/>
  <c r="AL88" i="4"/>
  <c r="AK88" i="4"/>
  <c r="W88" i="4"/>
  <c r="S88" i="4"/>
  <c r="T88" i="4" s="1"/>
  <c r="R88" i="4"/>
  <c r="G88" i="4"/>
  <c r="E88" i="4"/>
  <c r="C88" i="4"/>
  <c r="AM87" i="4"/>
  <c r="AO87" i="4" s="1"/>
  <c r="AP87" i="4" s="1"/>
  <c r="AL87" i="4"/>
  <c r="AK87" i="4"/>
  <c r="W87" i="4"/>
  <c r="S87" i="4"/>
  <c r="T87" i="4" s="1"/>
  <c r="R87" i="4"/>
  <c r="G87" i="4"/>
  <c r="E87" i="4"/>
  <c r="C87" i="4"/>
  <c r="AM86" i="4"/>
  <c r="AO86" i="4" s="1"/>
  <c r="AP86" i="4" s="1"/>
  <c r="AL86" i="4"/>
  <c r="AK86" i="4"/>
  <c r="W86" i="4"/>
  <c r="S86" i="4"/>
  <c r="T86" i="4" s="1"/>
  <c r="R86" i="4"/>
  <c r="G86" i="4"/>
  <c r="E86" i="4"/>
  <c r="C86" i="4"/>
  <c r="AM85" i="4"/>
  <c r="AO85" i="4" s="1"/>
  <c r="AP85" i="4" s="1"/>
  <c r="AL85" i="4"/>
  <c r="AK85" i="4"/>
  <c r="W85" i="4"/>
  <c r="S85" i="4"/>
  <c r="T85" i="4" s="1"/>
  <c r="R85" i="4"/>
  <c r="G85" i="4"/>
  <c r="E85" i="4"/>
  <c r="C85" i="4"/>
  <c r="AM84" i="4"/>
  <c r="AO84" i="4" s="1"/>
  <c r="AP84" i="4" s="1"/>
  <c r="AL84" i="4"/>
  <c r="AK84" i="4"/>
  <c r="W84" i="4"/>
  <c r="S84" i="4"/>
  <c r="T84" i="4" s="1"/>
  <c r="R84" i="4"/>
  <c r="G84" i="4"/>
  <c r="E84" i="4"/>
  <c r="C84" i="4"/>
  <c r="AM83" i="4"/>
  <c r="AO83" i="4" s="1"/>
  <c r="AP83" i="4" s="1"/>
  <c r="AL83" i="4"/>
  <c r="AK83" i="4"/>
  <c r="W83" i="4"/>
  <c r="S83" i="4"/>
  <c r="T83" i="4" s="1"/>
  <c r="R83" i="4"/>
  <c r="G83" i="4"/>
  <c r="E83" i="4"/>
  <c r="C83" i="4"/>
  <c r="AM82" i="4"/>
  <c r="AO82" i="4" s="1"/>
  <c r="AP82" i="4" s="1"/>
  <c r="AL82" i="4"/>
  <c r="AK82" i="4"/>
  <c r="W82" i="4"/>
  <c r="S82" i="4"/>
  <c r="T82" i="4" s="1"/>
  <c r="R82" i="4"/>
  <c r="G82" i="4"/>
  <c r="E82" i="4"/>
  <c r="C82" i="4"/>
  <c r="AM81" i="4"/>
  <c r="AO81" i="4" s="1"/>
  <c r="AP81" i="4" s="1"/>
  <c r="AL81" i="4"/>
  <c r="AK81" i="4"/>
  <c r="W81" i="4"/>
  <c r="S81" i="4"/>
  <c r="T81" i="4" s="1"/>
  <c r="R81" i="4"/>
  <c r="G81" i="4"/>
  <c r="E81" i="4"/>
  <c r="C81" i="4"/>
  <c r="AM80" i="4"/>
  <c r="AO80" i="4" s="1"/>
  <c r="AP80" i="4" s="1"/>
  <c r="AL80" i="4"/>
  <c r="AK80" i="4"/>
  <c r="W80" i="4"/>
  <c r="S80" i="4"/>
  <c r="T80" i="4" s="1"/>
  <c r="R80" i="4"/>
  <c r="G80" i="4"/>
  <c r="E80" i="4"/>
  <c r="C80" i="4"/>
  <c r="AM79" i="4"/>
  <c r="AO79" i="4" s="1"/>
  <c r="AP79" i="4" s="1"/>
  <c r="AL79" i="4"/>
  <c r="AK79" i="4"/>
  <c r="W79" i="4"/>
  <c r="S79" i="4"/>
  <c r="T79" i="4" s="1"/>
  <c r="R79" i="4"/>
  <c r="G79" i="4"/>
  <c r="E79" i="4"/>
  <c r="C79" i="4"/>
  <c r="AM78" i="4"/>
  <c r="AO78" i="4" s="1"/>
  <c r="AP78" i="4" s="1"/>
  <c r="AL78" i="4"/>
  <c r="AK78" i="4"/>
  <c r="W78" i="4"/>
  <c r="S78" i="4"/>
  <c r="T78" i="4" s="1"/>
  <c r="R78" i="4"/>
  <c r="G78" i="4"/>
  <c r="E78" i="4"/>
  <c r="C78" i="4"/>
  <c r="AM77" i="4"/>
  <c r="AO77" i="4" s="1"/>
  <c r="AP77" i="4" s="1"/>
  <c r="AL77" i="4"/>
  <c r="AK77" i="4"/>
  <c r="W77" i="4"/>
  <c r="S77" i="4"/>
  <c r="T77" i="4" s="1"/>
  <c r="R77" i="4"/>
  <c r="G77" i="4"/>
  <c r="E77" i="4"/>
  <c r="C77" i="4"/>
  <c r="AM76" i="4"/>
  <c r="AO76" i="4" s="1"/>
  <c r="AP76" i="4" s="1"/>
  <c r="AL76" i="4"/>
  <c r="AK76" i="4"/>
  <c r="W76" i="4"/>
  <c r="S76" i="4"/>
  <c r="T76" i="4" s="1"/>
  <c r="R76" i="4"/>
  <c r="G76" i="4"/>
  <c r="E76" i="4"/>
  <c r="E80" i="5" s="1"/>
  <c r="C76" i="4"/>
  <c r="C80" i="5" s="1"/>
  <c r="AM75" i="4"/>
  <c r="AO75" i="4" s="1"/>
  <c r="AP75" i="4" s="1"/>
  <c r="L79" i="5" s="1"/>
  <c r="AL75" i="4"/>
  <c r="AK75" i="4"/>
  <c r="W75" i="4"/>
  <c r="S75" i="4"/>
  <c r="T75" i="4" s="1"/>
  <c r="R75" i="4"/>
  <c r="G75" i="4"/>
  <c r="G79" i="5" s="1"/>
  <c r="E75" i="4"/>
  <c r="E79" i="5" s="1"/>
  <c r="C75" i="4"/>
  <c r="C79" i="5" s="1"/>
  <c r="AM74" i="4"/>
  <c r="AO74" i="4" s="1"/>
  <c r="AP74" i="4" s="1"/>
  <c r="AL74" i="4"/>
  <c r="AK74" i="4"/>
  <c r="W74" i="4"/>
  <c r="S74" i="4"/>
  <c r="T74" i="4" s="1"/>
  <c r="R74" i="4"/>
  <c r="G74" i="4"/>
  <c r="G78" i="5" s="1"/>
  <c r="E74" i="4"/>
  <c r="E78" i="5" s="1"/>
  <c r="C74" i="4"/>
  <c r="AM73" i="4"/>
  <c r="AO73" i="4" s="1"/>
  <c r="AP73" i="4" s="1"/>
  <c r="AL73" i="4"/>
  <c r="AK73" i="4"/>
  <c r="W73" i="4"/>
  <c r="S73" i="4"/>
  <c r="T73" i="4" s="1"/>
  <c r="R73" i="4"/>
  <c r="G73" i="4"/>
  <c r="G77" i="5" s="1"/>
  <c r="E73" i="4"/>
  <c r="C73" i="4"/>
  <c r="AM72" i="4"/>
  <c r="AO72" i="4" s="1"/>
  <c r="AP72" i="4" s="1"/>
  <c r="AL72" i="4"/>
  <c r="AK72" i="4"/>
  <c r="W72" i="4"/>
  <c r="S72" i="4"/>
  <c r="T72" i="4" s="1"/>
  <c r="R72" i="4"/>
  <c r="G72" i="4"/>
  <c r="E72" i="4"/>
  <c r="C72" i="4"/>
  <c r="AM71" i="4"/>
  <c r="AO71" i="4" s="1"/>
  <c r="AP71" i="4" s="1"/>
  <c r="AL71" i="4"/>
  <c r="AK71" i="4"/>
  <c r="W71" i="4"/>
  <c r="S71" i="4"/>
  <c r="T71" i="4" s="1"/>
  <c r="R71" i="4"/>
  <c r="G71" i="4"/>
  <c r="E71" i="4"/>
  <c r="C71" i="4"/>
  <c r="AM70" i="4"/>
  <c r="AO70" i="4" s="1"/>
  <c r="AP70" i="4" s="1"/>
  <c r="AL70" i="4"/>
  <c r="AK70" i="4"/>
  <c r="W70" i="4"/>
  <c r="S70" i="4"/>
  <c r="T70" i="4" s="1"/>
  <c r="R70" i="4"/>
  <c r="G70" i="4"/>
  <c r="E70" i="4"/>
  <c r="C70" i="4"/>
  <c r="AM69" i="4"/>
  <c r="AO69" i="4" s="1"/>
  <c r="AP69" i="4" s="1"/>
  <c r="L73" i="5" s="1"/>
  <c r="AL69" i="4"/>
  <c r="AK69" i="4"/>
  <c r="W69" i="4"/>
  <c r="S69" i="4"/>
  <c r="T69" i="4" s="1"/>
  <c r="R69" i="4"/>
  <c r="G69" i="4"/>
  <c r="E69" i="4"/>
  <c r="C69" i="4"/>
  <c r="AM68" i="4"/>
  <c r="AO68" i="4" s="1"/>
  <c r="AP68" i="4" s="1"/>
  <c r="AL68" i="4"/>
  <c r="AK68" i="4"/>
  <c r="W68" i="4"/>
  <c r="S68" i="4"/>
  <c r="T68" i="4" s="1"/>
  <c r="R68" i="4"/>
  <c r="G68" i="4"/>
  <c r="E68" i="4"/>
  <c r="E72" i="5" s="1"/>
  <c r="C68" i="4"/>
  <c r="AM67" i="4"/>
  <c r="AO67" i="4" s="1"/>
  <c r="AP67" i="4" s="1"/>
  <c r="AL67" i="4"/>
  <c r="AK67" i="4"/>
  <c r="W67" i="4"/>
  <c r="S67" i="4"/>
  <c r="T67" i="4" s="1"/>
  <c r="R67" i="4"/>
  <c r="G67" i="4"/>
  <c r="G71" i="5" s="1"/>
  <c r="E67" i="4"/>
  <c r="C67" i="4"/>
  <c r="C71" i="5" s="1"/>
  <c r="AM66" i="4"/>
  <c r="AO66" i="4" s="1"/>
  <c r="AP66" i="4" s="1"/>
  <c r="AL66" i="4"/>
  <c r="AK66" i="4"/>
  <c r="W66" i="4"/>
  <c r="S66" i="4"/>
  <c r="T66" i="4" s="1"/>
  <c r="R66" i="4"/>
  <c r="G66" i="4"/>
  <c r="G70" i="5" s="1"/>
  <c r="E66" i="4"/>
  <c r="E70" i="5" s="1"/>
  <c r="C66" i="4"/>
  <c r="AM65" i="4"/>
  <c r="AO65" i="4" s="1"/>
  <c r="AP65" i="4" s="1"/>
  <c r="AL65" i="4"/>
  <c r="AK65" i="4"/>
  <c r="W65" i="4"/>
  <c r="S65" i="4"/>
  <c r="T65" i="4" s="1"/>
  <c r="R65" i="4"/>
  <c r="G65" i="4"/>
  <c r="G69" i="5" s="1"/>
  <c r="E65" i="4"/>
  <c r="C65" i="4"/>
  <c r="AM64" i="4"/>
  <c r="AO64" i="4" s="1"/>
  <c r="AP64" i="4" s="1"/>
  <c r="AL64" i="4"/>
  <c r="AK64" i="4"/>
  <c r="W64" i="4"/>
  <c r="S64" i="4"/>
  <c r="T64" i="4" s="1"/>
  <c r="R64" i="4"/>
  <c r="G64" i="4"/>
  <c r="E64" i="4"/>
  <c r="C64" i="4"/>
  <c r="AM63" i="4"/>
  <c r="AO63" i="4" s="1"/>
  <c r="AP63" i="4" s="1"/>
  <c r="AL63" i="4"/>
  <c r="AK63" i="4"/>
  <c r="W63" i="4"/>
  <c r="S63" i="4"/>
  <c r="T63" i="4" s="1"/>
  <c r="R63" i="4"/>
  <c r="G63" i="4"/>
  <c r="E63" i="4"/>
  <c r="C63" i="4"/>
  <c r="AM62" i="4"/>
  <c r="AO62" i="4" s="1"/>
  <c r="AP62" i="4" s="1"/>
  <c r="AL62" i="4"/>
  <c r="AK62" i="4"/>
  <c r="W62" i="4"/>
  <c r="S62" i="4"/>
  <c r="T62" i="4" s="1"/>
  <c r="R62" i="4"/>
  <c r="G62" i="4"/>
  <c r="E62" i="4"/>
  <c r="C62" i="4"/>
  <c r="AM61" i="4"/>
  <c r="AO61" i="4" s="1"/>
  <c r="AP61" i="4" s="1"/>
  <c r="L65" i="5" s="1"/>
  <c r="AL61" i="4"/>
  <c r="AK61" i="4"/>
  <c r="W61" i="4"/>
  <c r="S61" i="4"/>
  <c r="T61" i="4" s="1"/>
  <c r="R61" i="4"/>
  <c r="G61" i="4"/>
  <c r="E61" i="4"/>
  <c r="C61" i="4"/>
  <c r="AM60" i="4"/>
  <c r="AO60" i="4" s="1"/>
  <c r="AP60" i="4" s="1"/>
  <c r="L64" i="5" s="1"/>
  <c r="AL60" i="4"/>
  <c r="AK60" i="4"/>
  <c r="W60" i="4"/>
  <c r="S60" i="4"/>
  <c r="T60" i="4" s="1"/>
  <c r="R60" i="4"/>
  <c r="G60" i="4"/>
  <c r="E60" i="4"/>
  <c r="E64" i="5" s="1"/>
  <c r="C60" i="4"/>
  <c r="C64" i="5" s="1"/>
  <c r="AM59" i="4"/>
  <c r="AO59" i="4" s="1"/>
  <c r="AP59" i="4" s="1"/>
  <c r="AL59" i="4"/>
  <c r="AK59" i="4"/>
  <c r="W59" i="4"/>
  <c r="S59" i="4"/>
  <c r="T59" i="4" s="1"/>
  <c r="R59" i="4"/>
  <c r="G59" i="4"/>
  <c r="E59" i="4"/>
  <c r="E63" i="5" s="1"/>
  <c r="C59" i="4"/>
  <c r="C63" i="5" s="1"/>
  <c r="AM58" i="4"/>
  <c r="AO58" i="4" s="1"/>
  <c r="AP58" i="4" s="1"/>
  <c r="AL58" i="4"/>
  <c r="AK58" i="4"/>
  <c r="W58" i="4"/>
  <c r="S58" i="4"/>
  <c r="T58" i="4" s="1"/>
  <c r="R58" i="4"/>
  <c r="G58" i="4"/>
  <c r="G62" i="5" s="1"/>
  <c r="E58" i="4"/>
  <c r="E62" i="5" s="1"/>
  <c r="C58" i="4"/>
  <c r="AM57" i="4"/>
  <c r="AO57" i="4" s="1"/>
  <c r="AP57" i="4" s="1"/>
  <c r="AL57" i="4"/>
  <c r="AK57" i="4"/>
  <c r="W57" i="4"/>
  <c r="S57" i="4"/>
  <c r="T57" i="4" s="1"/>
  <c r="R57" i="4"/>
  <c r="G57" i="4"/>
  <c r="G61" i="5" s="1"/>
  <c r="E57" i="4"/>
  <c r="C57" i="4"/>
  <c r="AM56" i="4"/>
  <c r="AO56" i="4" s="1"/>
  <c r="AP56" i="4" s="1"/>
  <c r="AL56" i="4"/>
  <c r="AK56" i="4"/>
  <c r="W56" i="4"/>
  <c r="S56" i="4"/>
  <c r="T56" i="4" s="1"/>
  <c r="R56" i="4"/>
  <c r="G56" i="4"/>
  <c r="E56" i="4"/>
  <c r="C56" i="4"/>
  <c r="AM55" i="4"/>
  <c r="AO55" i="4" s="1"/>
  <c r="AP55" i="4" s="1"/>
  <c r="AL55" i="4"/>
  <c r="AK55" i="4"/>
  <c r="W55" i="4"/>
  <c r="S55" i="4"/>
  <c r="T55" i="4" s="1"/>
  <c r="R55" i="4"/>
  <c r="G55" i="4"/>
  <c r="E55" i="4"/>
  <c r="C55" i="4"/>
  <c r="AM54" i="4"/>
  <c r="AO54" i="4" s="1"/>
  <c r="AP54" i="4" s="1"/>
  <c r="AL54" i="4"/>
  <c r="AK54" i="4"/>
  <c r="W54" i="4"/>
  <c r="S54" i="4"/>
  <c r="T54" i="4" s="1"/>
  <c r="R54" i="4"/>
  <c r="G54" i="4"/>
  <c r="E54" i="4"/>
  <c r="C54" i="4"/>
  <c r="AM53" i="4"/>
  <c r="AO53" i="4" s="1"/>
  <c r="AP53" i="4" s="1"/>
  <c r="AL53" i="4"/>
  <c r="AK53" i="4"/>
  <c r="W53" i="4"/>
  <c r="S53" i="4"/>
  <c r="T53" i="4" s="1"/>
  <c r="R53" i="4"/>
  <c r="G53" i="4"/>
  <c r="E53" i="4"/>
  <c r="C53" i="4"/>
  <c r="AM52" i="4"/>
  <c r="AO52" i="4" s="1"/>
  <c r="AP52" i="4" s="1"/>
  <c r="L56" i="5" s="1"/>
  <c r="AL52" i="4"/>
  <c r="AK52" i="4"/>
  <c r="W52" i="4"/>
  <c r="S52" i="4"/>
  <c r="T52" i="4" s="1"/>
  <c r="R52" i="4"/>
  <c r="G52" i="4"/>
  <c r="E52" i="4"/>
  <c r="C52" i="4"/>
  <c r="C56" i="5" s="1"/>
  <c r="AM51" i="4"/>
  <c r="AO51" i="4" s="1"/>
  <c r="AP51" i="4" s="1"/>
  <c r="AL51" i="4"/>
  <c r="AK51" i="4"/>
  <c r="W51" i="4"/>
  <c r="S51" i="4"/>
  <c r="T51" i="4" s="1"/>
  <c r="R51" i="4"/>
  <c r="G51" i="4"/>
  <c r="E51" i="4"/>
  <c r="C51" i="4"/>
  <c r="C55" i="5" s="1"/>
  <c r="AM50" i="4"/>
  <c r="AO50" i="4" s="1"/>
  <c r="AP50" i="4" s="1"/>
  <c r="AL50" i="4"/>
  <c r="AK50" i="4"/>
  <c r="W50" i="4"/>
  <c r="S50" i="4"/>
  <c r="T50" i="4" s="1"/>
  <c r="R50" i="4"/>
  <c r="G50" i="4"/>
  <c r="G54" i="5" s="1"/>
  <c r="E50" i="4"/>
  <c r="C50" i="4"/>
  <c r="AM49" i="4"/>
  <c r="AO49" i="4" s="1"/>
  <c r="AP49" i="4" s="1"/>
  <c r="AL49" i="4"/>
  <c r="AK49" i="4"/>
  <c r="W49" i="4"/>
  <c r="S49" i="4"/>
  <c r="T49" i="4" s="1"/>
  <c r="R49" i="4"/>
  <c r="G49" i="4"/>
  <c r="G53" i="5" s="1"/>
  <c r="E49" i="4"/>
  <c r="C49" i="4"/>
  <c r="AM48" i="4"/>
  <c r="AO48" i="4" s="1"/>
  <c r="AP48" i="4" s="1"/>
  <c r="AL48" i="4"/>
  <c r="AK48" i="4"/>
  <c r="W48" i="4"/>
  <c r="S48" i="4"/>
  <c r="T48" i="4" s="1"/>
  <c r="R48" i="4"/>
  <c r="G48" i="4"/>
  <c r="E48" i="4"/>
  <c r="C48" i="4"/>
  <c r="AM47" i="4"/>
  <c r="AO47" i="4" s="1"/>
  <c r="AP47" i="4" s="1"/>
  <c r="AL47" i="4"/>
  <c r="AK47" i="4"/>
  <c r="W47" i="4"/>
  <c r="S47" i="4"/>
  <c r="T47" i="4" s="1"/>
  <c r="R47" i="4"/>
  <c r="G47" i="4"/>
  <c r="E47" i="4"/>
  <c r="C47" i="4"/>
  <c r="AM46" i="4"/>
  <c r="AO46" i="4" s="1"/>
  <c r="AP46" i="4" s="1"/>
  <c r="AL46" i="4"/>
  <c r="AK46" i="4"/>
  <c r="W46" i="4"/>
  <c r="S46" i="4"/>
  <c r="T46" i="4" s="1"/>
  <c r="R46" i="4"/>
  <c r="G46" i="4"/>
  <c r="E46" i="4"/>
  <c r="C46" i="4"/>
  <c r="AM45" i="4"/>
  <c r="AO45" i="4" s="1"/>
  <c r="AP45" i="4" s="1"/>
  <c r="AL45" i="4"/>
  <c r="AK45" i="4"/>
  <c r="W45" i="4"/>
  <c r="S45" i="4"/>
  <c r="T45" i="4" s="1"/>
  <c r="R45" i="4"/>
  <c r="G45" i="4"/>
  <c r="E45" i="4"/>
  <c r="C45" i="4"/>
  <c r="AL44" i="4"/>
  <c r="AM44" i="4" s="1"/>
  <c r="AK44" i="4"/>
  <c r="W44" i="4"/>
  <c r="S44" i="4"/>
  <c r="T44" i="4" s="1"/>
  <c r="R44" i="4"/>
  <c r="G44" i="4"/>
  <c r="E44" i="4"/>
  <c r="C44" i="4"/>
  <c r="AM43" i="4"/>
  <c r="AO43" i="4" s="1"/>
  <c r="AP43" i="4" s="1"/>
  <c r="AL43" i="4"/>
  <c r="AK43" i="4"/>
  <c r="W43" i="4"/>
  <c r="S43" i="4"/>
  <c r="T43" i="4" s="1"/>
  <c r="R43" i="4"/>
  <c r="G43" i="4"/>
  <c r="E43" i="4"/>
  <c r="C43" i="4"/>
  <c r="AM42" i="4"/>
  <c r="AO42" i="4" s="1"/>
  <c r="AP42" i="4" s="1"/>
  <c r="AL42" i="4"/>
  <c r="AK42" i="4"/>
  <c r="W42" i="4"/>
  <c r="S42" i="4"/>
  <c r="T42" i="4" s="1"/>
  <c r="R42" i="4"/>
  <c r="G42" i="4"/>
  <c r="E42" i="4"/>
  <c r="C42" i="4"/>
  <c r="AM41" i="4"/>
  <c r="AO41" i="4" s="1"/>
  <c r="AP41" i="4" s="1"/>
  <c r="AL41" i="4"/>
  <c r="AK41" i="4"/>
  <c r="W41" i="4"/>
  <c r="S41" i="4"/>
  <c r="T41" i="4" s="1"/>
  <c r="R41" i="4"/>
  <c r="G41" i="4"/>
  <c r="E41" i="4"/>
  <c r="C41" i="4"/>
  <c r="AM40" i="4"/>
  <c r="AO40" i="4" s="1"/>
  <c r="AP40" i="4" s="1"/>
  <c r="AL40" i="4"/>
  <c r="AK40" i="4"/>
  <c r="W40" i="4"/>
  <c r="S40" i="4"/>
  <c r="T40" i="4" s="1"/>
  <c r="R40" i="4"/>
  <c r="G40" i="4"/>
  <c r="G44" i="5" s="1"/>
  <c r="E40" i="4"/>
  <c r="C40" i="4"/>
  <c r="AL39" i="4"/>
  <c r="AM39" i="4" s="1"/>
  <c r="AK39" i="4"/>
  <c r="W39" i="4"/>
  <c r="S39" i="4"/>
  <c r="T39" i="4" s="1"/>
  <c r="R39" i="4"/>
  <c r="G39" i="4"/>
  <c r="E39" i="4"/>
  <c r="C39" i="4"/>
  <c r="AM38" i="4"/>
  <c r="AO38" i="4" s="1"/>
  <c r="AP38" i="4" s="1"/>
  <c r="AL38" i="4"/>
  <c r="AK38" i="4"/>
  <c r="W38" i="4"/>
  <c r="S38" i="4"/>
  <c r="T38" i="4" s="1"/>
  <c r="R38" i="4"/>
  <c r="G38" i="4"/>
  <c r="E38" i="4"/>
  <c r="C38" i="4"/>
  <c r="AM37" i="4"/>
  <c r="AO37" i="4" s="1"/>
  <c r="AP37" i="4" s="1"/>
  <c r="AL37" i="4"/>
  <c r="AK37" i="4"/>
  <c r="W37" i="4"/>
  <c r="S37" i="4"/>
  <c r="T37" i="4" s="1"/>
  <c r="R37" i="4"/>
  <c r="E37" i="4"/>
  <c r="C37" i="4"/>
  <c r="AM36" i="4"/>
  <c r="AO36" i="4" s="1"/>
  <c r="AP36" i="4" s="1"/>
  <c r="AL36" i="4"/>
  <c r="AK36" i="4"/>
  <c r="W36" i="4"/>
  <c r="S36" i="4"/>
  <c r="T36" i="4" s="1"/>
  <c r="R36" i="4"/>
  <c r="G36" i="4"/>
  <c r="E36" i="4"/>
  <c r="C36" i="4"/>
  <c r="AM35" i="4"/>
  <c r="AO35" i="4" s="1"/>
  <c r="AP35" i="4" s="1"/>
  <c r="AL35" i="4"/>
  <c r="AK35" i="4"/>
  <c r="W35" i="4"/>
  <c r="S35" i="4"/>
  <c r="T35" i="4" s="1"/>
  <c r="R35" i="4"/>
  <c r="G35" i="4"/>
  <c r="E35" i="4"/>
  <c r="C35" i="4"/>
  <c r="AM34" i="4"/>
  <c r="AO34" i="4" s="1"/>
  <c r="AP34" i="4" s="1"/>
  <c r="AL34" i="4"/>
  <c r="AK34" i="4"/>
  <c r="W34" i="4"/>
  <c r="S34" i="4"/>
  <c r="T34" i="4" s="1"/>
  <c r="R34" i="4"/>
  <c r="G34" i="4"/>
  <c r="E34" i="4"/>
  <c r="C34" i="4"/>
  <c r="AM33" i="4"/>
  <c r="AO33" i="4" s="1"/>
  <c r="AP33" i="4" s="1"/>
  <c r="AL33" i="4"/>
  <c r="AK33" i="4"/>
  <c r="W33" i="4"/>
  <c r="S33" i="4"/>
  <c r="T33" i="4" s="1"/>
  <c r="R33" i="4"/>
  <c r="G33" i="4"/>
  <c r="G37" i="5" s="1"/>
  <c r="E33" i="4"/>
  <c r="C33" i="4"/>
  <c r="C37" i="5" s="1"/>
  <c r="AM32" i="4"/>
  <c r="AO32" i="4" s="1"/>
  <c r="AP32" i="4" s="1"/>
  <c r="AL32" i="4"/>
  <c r="AK32" i="4"/>
  <c r="W32" i="4"/>
  <c r="S32" i="4"/>
  <c r="T32" i="4" s="1"/>
  <c r="R32" i="4"/>
  <c r="G32" i="4"/>
  <c r="E32" i="4"/>
  <c r="C32" i="4"/>
  <c r="AM31" i="4"/>
  <c r="AO31" i="4" s="1"/>
  <c r="AP31" i="4" s="1"/>
  <c r="AL31" i="4"/>
  <c r="AK31" i="4"/>
  <c r="W31" i="4"/>
  <c r="S31" i="4"/>
  <c r="T31" i="4" s="1"/>
  <c r="R31" i="4"/>
  <c r="G31" i="4"/>
  <c r="G35" i="5" s="1"/>
  <c r="E31" i="4"/>
  <c r="C31" i="4"/>
  <c r="AM30" i="4"/>
  <c r="AO30" i="4" s="1"/>
  <c r="AP30" i="4" s="1"/>
  <c r="AL30" i="4"/>
  <c r="AK30" i="4"/>
  <c r="W30" i="4"/>
  <c r="S30" i="4"/>
  <c r="T30" i="4" s="1"/>
  <c r="R30" i="4"/>
  <c r="G30" i="4"/>
  <c r="E30" i="4"/>
  <c r="C30" i="4"/>
  <c r="AM29" i="4"/>
  <c r="AO29" i="4" s="1"/>
  <c r="AP29" i="4" s="1"/>
  <c r="AL29" i="4"/>
  <c r="AK29" i="4"/>
  <c r="W29" i="4"/>
  <c r="S29" i="4"/>
  <c r="T29" i="4" s="1"/>
  <c r="R29" i="4"/>
  <c r="G29" i="4"/>
  <c r="E29" i="4"/>
  <c r="C29" i="4"/>
  <c r="AM28" i="4"/>
  <c r="AO28" i="4" s="1"/>
  <c r="AP28" i="4" s="1"/>
  <c r="AL28" i="4"/>
  <c r="AK28" i="4"/>
  <c r="W28" i="4"/>
  <c r="S28" i="4"/>
  <c r="T28" i="4" s="1"/>
  <c r="R28" i="4"/>
  <c r="G28" i="4"/>
  <c r="E28" i="4"/>
  <c r="C28" i="4"/>
  <c r="AM27" i="4"/>
  <c r="AO27" i="4" s="1"/>
  <c r="AP27" i="4" s="1"/>
  <c r="AL27" i="4"/>
  <c r="AK27" i="4"/>
  <c r="W27" i="4"/>
  <c r="S27" i="4"/>
  <c r="T27" i="4" s="1"/>
  <c r="R27" i="4"/>
  <c r="G27" i="4"/>
  <c r="E27" i="4"/>
  <c r="C27" i="4"/>
  <c r="AM26" i="4"/>
  <c r="AO26" i="4" s="1"/>
  <c r="AP26" i="4" s="1"/>
  <c r="AL26" i="4"/>
  <c r="AK26" i="4"/>
  <c r="W26" i="4"/>
  <c r="S26" i="4"/>
  <c r="T26" i="4" s="1"/>
  <c r="R26" i="4"/>
  <c r="G26" i="4"/>
  <c r="E26" i="4"/>
  <c r="C26" i="4"/>
  <c r="AL25" i="4"/>
  <c r="AM25" i="4" s="1"/>
  <c r="AK25" i="4"/>
  <c r="W25" i="4"/>
  <c r="S25" i="4"/>
  <c r="T25" i="4" s="1"/>
  <c r="R25" i="4"/>
  <c r="G25" i="4"/>
  <c r="E25" i="4"/>
  <c r="C25" i="4"/>
  <c r="AM24" i="4"/>
  <c r="AO24" i="4" s="1"/>
  <c r="AP24" i="4" s="1"/>
  <c r="AL24" i="4"/>
  <c r="AK24" i="4"/>
  <c r="W24" i="4"/>
  <c r="S24" i="4"/>
  <c r="T24" i="4" s="1"/>
  <c r="R24" i="4"/>
  <c r="G24" i="4"/>
  <c r="E24" i="4"/>
  <c r="C24" i="4"/>
  <c r="AM23" i="4"/>
  <c r="AO23" i="4" s="1"/>
  <c r="AP23" i="4" s="1"/>
  <c r="AL23" i="4"/>
  <c r="AK23" i="4"/>
  <c r="W23" i="4"/>
  <c r="S23" i="4"/>
  <c r="T23" i="4" s="1"/>
  <c r="R23" i="4"/>
  <c r="G23" i="4"/>
  <c r="E23" i="4"/>
  <c r="C23" i="4"/>
  <c r="AM22" i="4"/>
  <c r="AO22" i="4" s="1"/>
  <c r="AP22" i="4" s="1"/>
  <c r="AL22" i="4"/>
  <c r="AK22" i="4"/>
  <c r="W22" i="4"/>
  <c r="S22" i="4"/>
  <c r="T22" i="4" s="1"/>
  <c r="R22" i="4"/>
  <c r="G22" i="4"/>
  <c r="E22" i="4"/>
  <c r="C22" i="4"/>
  <c r="AM21" i="4"/>
  <c r="AO21" i="4" s="1"/>
  <c r="AP21" i="4" s="1"/>
  <c r="AL21" i="4"/>
  <c r="AK21" i="4"/>
  <c r="W21" i="4"/>
  <c r="S21" i="4"/>
  <c r="T21" i="4" s="1"/>
  <c r="R21" i="4"/>
  <c r="G21" i="4"/>
  <c r="E21" i="4"/>
  <c r="C21" i="4"/>
  <c r="AM20" i="4"/>
  <c r="AO20" i="4" s="1"/>
  <c r="AP20" i="4" s="1"/>
  <c r="AL20" i="4"/>
  <c r="AK20" i="4"/>
  <c r="W20" i="4"/>
  <c r="S20" i="4"/>
  <c r="T20" i="4" s="1"/>
  <c r="R20" i="4"/>
  <c r="G20" i="4"/>
  <c r="E20" i="4"/>
  <c r="C20" i="4"/>
  <c r="AM19" i="4"/>
  <c r="AO19" i="4" s="1"/>
  <c r="AP19" i="4" s="1"/>
  <c r="AL19" i="4"/>
  <c r="AK19" i="4"/>
  <c r="W19" i="4"/>
  <c r="S19" i="4"/>
  <c r="T19" i="4" s="1"/>
  <c r="R19" i="4"/>
  <c r="G19" i="4"/>
  <c r="E19" i="4"/>
  <c r="C19" i="4"/>
  <c r="AM18" i="4"/>
  <c r="AO18" i="4" s="1"/>
  <c r="AP18" i="4" s="1"/>
  <c r="AL18" i="4"/>
  <c r="AK18" i="4"/>
  <c r="W18" i="4"/>
  <c r="S18" i="4"/>
  <c r="T18" i="4" s="1"/>
  <c r="R18" i="4"/>
  <c r="G18" i="4"/>
  <c r="E18" i="4"/>
  <c r="C18" i="4"/>
  <c r="AM17" i="4"/>
  <c r="AO17" i="4" s="1"/>
  <c r="AP17" i="4" s="1"/>
  <c r="AL17" i="4"/>
  <c r="AK17" i="4"/>
  <c r="W17" i="4"/>
  <c r="S17" i="4"/>
  <c r="T17" i="4" s="1"/>
  <c r="R17" i="4"/>
  <c r="G17" i="4"/>
  <c r="E17" i="4"/>
  <c r="C17" i="4"/>
  <c r="AM16" i="4"/>
  <c r="AO16" i="4" s="1"/>
  <c r="AP16" i="4" s="1"/>
  <c r="L20" i="5" s="1"/>
  <c r="AL16" i="4"/>
  <c r="AK16" i="4"/>
  <c r="W16" i="4"/>
  <c r="S16" i="4"/>
  <c r="T16" i="4" s="1"/>
  <c r="R16" i="4"/>
  <c r="G16" i="4"/>
  <c r="E16" i="4"/>
  <c r="C16" i="4"/>
  <c r="C20" i="5" s="1"/>
  <c r="AM15" i="4"/>
  <c r="AO15" i="4" s="1"/>
  <c r="AP15" i="4" s="1"/>
  <c r="AL15" i="4"/>
  <c r="AK15" i="4"/>
  <c r="W15" i="4"/>
  <c r="S15" i="4"/>
  <c r="T15" i="4" s="1"/>
  <c r="R15" i="4"/>
  <c r="G15" i="4"/>
  <c r="E15" i="4"/>
  <c r="C15" i="4"/>
  <c r="AM14" i="4"/>
  <c r="AO14" i="4" s="1"/>
  <c r="AP14" i="4" s="1"/>
  <c r="AL14" i="4"/>
  <c r="AK14" i="4"/>
  <c r="W14" i="4"/>
  <c r="S14" i="4"/>
  <c r="T14" i="4" s="1"/>
  <c r="R14" i="4"/>
  <c r="G14" i="4"/>
  <c r="G18" i="5" s="1"/>
  <c r="E14" i="4"/>
  <c r="C14" i="4"/>
  <c r="AM13" i="4"/>
  <c r="AO13" i="4" s="1"/>
  <c r="AP13" i="4" s="1"/>
  <c r="AL13" i="4"/>
  <c r="AK13" i="4"/>
  <c r="W13" i="4"/>
  <c r="S13" i="4"/>
  <c r="T13" i="4" s="1"/>
  <c r="R13" i="4"/>
  <c r="G13" i="4"/>
  <c r="E13" i="4"/>
  <c r="C13" i="4"/>
  <c r="AM12" i="4"/>
  <c r="AO12" i="4" s="1"/>
  <c r="AP12" i="4" s="1"/>
  <c r="AL12" i="4"/>
  <c r="AK12" i="4"/>
  <c r="W12" i="4"/>
  <c r="S12" i="4"/>
  <c r="T12" i="4" s="1"/>
  <c r="R12" i="4"/>
  <c r="G12" i="4"/>
  <c r="E12" i="4"/>
  <c r="C12" i="4"/>
  <c r="AM11" i="4"/>
  <c r="AO11" i="4" s="1"/>
  <c r="AP11" i="4" s="1"/>
  <c r="AL11" i="4"/>
  <c r="AK11" i="4"/>
  <c r="W11" i="4"/>
  <c r="S11" i="4"/>
  <c r="T11" i="4" s="1"/>
  <c r="R11" i="4"/>
  <c r="G11" i="4"/>
  <c r="E11" i="4"/>
  <c r="C11" i="4"/>
  <c r="AM10" i="4"/>
  <c r="AO10" i="4" s="1"/>
  <c r="AP10" i="4" s="1"/>
  <c r="AL10" i="4"/>
  <c r="AK10" i="4"/>
  <c r="W10" i="4"/>
  <c r="S10" i="4"/>
  <c r="T10" i="4" s="1"/>
  <c r="R10" i="4"/>
  <c r="G10" i="4"/>
  <c r="E10" i="4"/>
  <c r="C10" i="4"/>
  <c r="AM9" i="4"/>
  <c r="AO9" i="4" s="1"/>
  <c r="AP9" i="4" s="1"/>
  <c r="AL9" i="4"/>
  <c r="AK9" i="4"/>
  <c r="W9" i="4"/>
  <c r="S9" i="4"/>
  <c r="T9" i="4" s="1"/>
  <c r="R9" i="4"/>
  <c r="G9" i="4"/>
  <c r="E9" i="4"/>
  <c r="C9" i="4"/>
  <c r="AM8" i="4"/>
  <c r="AO8" i="4" s="1"/>
  <c r="AP8" i="4" s="1"/>
  <c r="L12" i="5" s="1"/>
  <c r="AL8" i="4"/>
  <c r="AK8" i="4"/>
  <c r="W8" i="4"/>
  <c r="S8" i="4"/>
  <c r="T8" i="4" s="1"/>
  <c r="R8" i="4"/>
  <c r="G8" i="4"/>
  <c r="E8" i="4"/>
  <c r="C8" i="4"/>
  <c r="C12" i="5" s="1"/>
  <c r="AM7" i="4"/>
  <c r="AO7" i="4" s="1"/>
  <c r="AP7" i="4" s="1"/>
  <c r="AL7" i="4"/>
  <c r="AK7" i="4"/>
  <c r="W7" i="4"/>
  <c r="S7" i="4"/>
  <c r="T7" i="4" s="1"/>
  <c r="R7" i="4"/>
  <c r="G7" i="4"/>
  <c r="E7" i="4"/>
  <c r="C7" i="4"/>
  <c r="AM6" i="4"/>
  <c r="AN6" i="4" s="1"/>
  <c r="AL6" i="4"/>
  <c r="AK6" i="4"/>
  <c r="W6" i="4"/>
  <c r="S6" i="4"/>
  <c r="T6" i="4" s="1"/>
  <c r="R6" i="4"/>
  <c r="G6" i="4"/>
  <c r="G10" i="5" s="1"/>
  <c r="E6" i="4"/>
  <c r="C6" i="4"/>
  <c r="AL5" i="4"/>
  <c r="AM5" i="4" s="1"/>
  <c r="AK5" i="4"/>
  <c r="W5" i="4"/>
  <c r="S5" i="4"/>
  <c r="T5" i="4" s="1"/>
  <c r="R5" i="4"/>
  <c r="G5" i="4"/>
  <c r="E5" i="4"/>
  <c r="C5" i="4"/>
  <c r="C10" i="5" l="1"/>
  <c r="G16" i="5"/>
  <c r="E17" i="5"/>
  <c r="C18" i="5"/>
  <c r="G24" i="5"/>
  <c r="E25" i="5"/>
  <c r="G33" i="5"/>
  <c r="E34" i="5"/>
  <c r="C35" i="5"/>
  <c r="E44" i="5"/>
  <c r="G52" i="5"/>
  <c r="E53" i="5"/>
  <c r="C54" i="5"/>
  <c r="G60" i="5"/>
  <c r="E61" i="5"/>
  <c r="C62" i="5"/>
  <c r="G68" i="5"/>
  <c r="E69" i="5"/>
  <c r="C70" i="5"/>
  <c r="L70" i="5"/>
  <c r="G76" i="5"/>
  <c r="E77" i="5"/>
  <c r="C78" i="5"/>
  <c r="L78" i="5"/>
  <c r="E71" i="5"/>
  <c r="C72" i="5"/>
  <c r="L72" i="5"/>
  <c r="G27" i="5"/>
  <c r="E28" i="5"/>
  <c r="C29" i="5"/>
  <c r="C38" i="5"/>
  <c r="L38" i="5"/>
  <c r="G46" i="5"/>
  <c r="E47" i="5"/>
  <c r="C48" i="5"/>
  <c r="L15" i="5"/>
  <c r="L23" i="5"/>
  <c r="L32" i="5"/>
  <c r="L51" i="5"/>
  <c r="E16" i="5"/>
  <c r="C17" i="5"/>
  <c r="L17" i="5"/>
  <c r="E24" i="5"/>
  <c r="C25" i="5"/>
  <c r="E33" i="5"/>
  <c r="C34" i="5"/>
  <c r="L34" i="5"/>
  <c r="E41" i="5"/>
  <c r="E42" i="5"/>
  <c r="C43" i="5"/>
  <c r="C44" i="5"/>
  <c r="C53" i="5"/>
  <c r="L53" i="5"/>
  <c r="C61" i="5"/>
  <c r="L61" i="5"/>
  <c r="C69" i="5"/>
  <c r="L69" i="5"/>
  <c r="C77" i="5"/>
  <c r="L77" i="5"/>
  <c r="L26" i="5"/>
  <c r="G42" i="5"/>
  <c r="L45" i="5"/>
  <c r="E10" i="5"/>
  <c r="E18" i="5"/>
  <c r="E26" i="5"/>
  <c r="E35" i="5"/>
  <c r="G43" i="5"/>
  <c r="C46" i="5"/>
  <c r="E54" i="5"/>
  <c r="C9" i="5"/>
  <c r="C26" i="5"/>
  <c r="E43" i="5"/>
  <c r="C45" i="5"/>
  <c r="E9" i="5"/>
  <c r="C11" i="5"/>
  <c r="G17" i="5"/>
  <c r="C19" i="5"/>
  <c r="G25" i="5"/>
  <c r="C27" i="5"/>
  <c r="G34" i="5"/>
  <c r="C36" i="5"/>
  <c r="E45" i="5"/>
  <c r="G9" i="5"/>
  <c r="G26" i="5"/>
  <c r="E27" i="5"/>
  <c r="L28" i="5"/>
  <c r="L37" i="5"/>
  <c r="G45" i="5"/>
  <c r="E46" i="5"/>
  <c r="E56" i="5"/>
  <c r="G63" i="5"/>
  <c r="L31" i="5"/>
  <c r="L50" i="5"/>
  <c r="L66" i="5"/>
  <c r="G11" i="5"/>
  <c r="G19" i="5"/>
  <c r="G55" i="5"/>
  <c r="L14" i="5"/>
  <c r="L22" i="5"/>
  <c r="L41" i="5"/>
  <c r="G36" i="5"/>
  <c r="L49" i="5"/>
  <c r="L57" i="5"/>
  <c r="G28" i="5"/>
  <c r="G47" i="5"/>
  <c r="L58" i="5"/>
  <c r="L40" i="5"/>
  <c r="L59" i="5"/>
  <c r="L67" i="5"/>
  <c r="G14" i="5"/>
  <c r="E15" i="5"/>
  <c r="G22" i="5"/>
  <c r="E23" i="5"/>
  <c r="E32" i="5"/>
  <c r="E51" i="5"/>
  <c r="E59" i="5"/>
  <c r="L60" i="5"/>
  <c r="E67" i="5"/>
  <c r="C68" i="5"/>
  <c r="L68" i="5"/>
  <c r="E75" i="5"/>
  <c r="L76" i="5"/>
  <c r="G12" i="5"/>
  <c r="G64" i="5"/>
  <c r="G80" i="5"/>
  <c r="G13" i="5"/>
  <c r="G21" i="5"/>
  <c r="G29" i="5"/>
  <c r="G30" i="5"/>
  <c r="G38" i="5"/>
  <c r="G48" i="5"/>
  <c r="G49" i="5"/>
  <c r="G57" i="5"/>
  <c r="G65" i="5"/>
  <c r="G73" i="5"/>
  <c r="G20" i="5"/>
  <c r="G56" i="5"/>
  <c r="G72" i="5"/>
  <c r="G31" i="5"/>
  <c r="G39" i="5"/>
  <c r="G50" i="5"/>
  <c r="G58" i="5"/>
  <c r="G66" i="5"/>
  <c r="G74" i="5"/>
  <c r="G41" i="5"/>
  <c r="G15" i="5"/>
  <c r="G23" i="5"/>
  <c r="G32" i="5"/>
  <c r="G40" i="5"/>
  <c r="G51" i="5"/>
  <c r="G59" i="5"/>
  <c r="G67" i="5"/>
  <c r="G75" i="5"/>
  <c r="E11" i="5"/>
  <c r="E19" i="5"/>
  <c r="E36" i="5"/>
  <c r="E55" i="5"/>
  <c r="E21" i="5"/>
  <c r="E29" i="5"/>
  <c r="E30" i="5"/>
  <c r="E38" i="5"/>
  <c r="E48" i="5"/>
  <c r="E49" i="5"/>
  <c r="E57" i="5"/>
  <c r="E65" i="5"/>
  <c r="E73" i="5"/>
  <c r="E20" i="5"/>
  <c r="E37" i="5"/>
  <c r="E13" i="5"/>
  <c r="E14" i="5"/>
  <c r="E22" i="5"/>
  <c r="E31" i="5"/>
  <c r="E39" i="5"/>
  <c r="E50" i="5"/>
  <c r="E58" i="5"/>
  <c r="E66" i="5"/>
  <c r="E74" i="5"/>
  <c r="E12" i="5"/>
  <c r="E40" i="5"/>
  <c r="E52" i="5"/>
  <c r="E60" i="5"/>
  <c r="E68" i="5"/>
  <c r="E76" i="5"/>
  <c r="C28" i="5"/>
  <c r="C47" i="5"/>
  <c r="C13" i="5"/>
  <c r="C21" i="5"/>
  <c r="C30" i="5"/>
  <c r="C49" i="5"/>
  <c r="C57" i="5"/>
  <c r="C65" i="5"/>
  <c r="C73" i="5"/>
  <c r="C14" i="5"/>
  <c r="C66" i="5"/>
  <c r="C31" i="5"/>
  <c r="C50" i="5"/>
  <c r="C74" i="5"/>
  <c r="C15" i="5"/>
  <c r="C40" i="5"/>
  <c r="C59" i="5"/>
  <c r="C75" i="5"/>
  <c r="C22" i="5"/>
  <c r="C39" i="5"/>
  <c r="C58" i="5"/>
  <c r="C23" i="5"/>
  <c r="C32" i="5"/>
  <c r="C51" i="5"/>
  <c r="C67" i="5"/>
  <c r="C16" i="5"/>
  <c r="C24" i="5"/>
  <c r="C33" i="5"/>
  <c r="C41" i="5"/>
  <c r="C42" i="5"/>
  <c r="C52" i="5"/>
  <c r="C60" i="5"/>
  <c r="C76" i="5"/>
  <c r="L80" i="5"/>
  <c r="L71" i="5"/>
  <c r="L52" i="5"/>
  <c r="L18" i="5"/>
  <c r="L35" i="5"/>
  <c r="L54" i="5"/>
  <c r="L62" i="5"/>
  <c r="L11" i="5"/>
  <c r="L19" i="5"/>
  <c r="L27" i="5"/>
  <c r="L36" i="5"/>
  <c r="L46" i="5"/>
  <c r="L55" i="5"/>
  <c r="L63" i="5"/>
  <c r="L47" i="5"/>
  <c r="L13" i="5"/>
  <c r="L21" i="5"/>
  <c r="L30" i="5"/>
  <c r="L74" i="5"/>
  <c r="L75" i="5"/>
  <c r="L16" i="5"/>
  <c r="L24" i="5"/>
  <c r="L33" i="5"/>
  <c r="L42" i="5"/>
  <c r="U27" i="4"/>
  <c r="U44" i="4"/>
  <c r="AN53" i="4"/>
  <c r="U11" i="4"/>
  <c r="U19" i="4"/>
  <c r="U51" i="4"/>
  <c r="X86" i="4"/>
  <c r="Y86" i="4" s="1"/>
  <c r="U99" i="4"/>
  <c r="AN36" i="4"/>
  <c r="X90" i="4"/>
  <c r="Y90" i="4" s="1"/>
  <c r="U101" i="4"/>
  <c r="AN56" i="4"/>
  <c r="U59" i="4"/>
  <c r="U73" i="4"/>
  <c r="U103" i="4"/>
  <c r="AN95" i="4"/>
  <c r="U23" i="4"/>
  <c r="U43" i="4"/>
  <c r="U56" i="4"/>
  <c r="U68" i="4"/>
  <c r="X75" i="4"/>
  <c r="Y75" i="4" s="1"/>
  <c r="AN78" i="4"/>
  <c r="AN84" i="4"/>
  <c r="AN66" i="4"/>
  <c r="AN73" i="4"/>
  <c r="AN97" i="4"/>
  <c r="U48" i="4"/>
  <c r="X48" i="4"/>
  <c r="Y48" i="4" s="1"/>
  <c r="U32" i="4"/>
  <c r="X32" i="4"/>
  <c r="Y32" i="4" s="1"/>
  <c r="U39" i="4"/>
  <c r="AN41" i="4"/>
  <c r="AN87" i="4"/>
  <c r="X94" i="4"/>
  <c r="Y94" i="4" s="1"/>
  <c r="AN99" i="4"/>
  <c r="U35" i="4"/>
  <c r="U31" i="4"/>
  <c r="AN83" i="4"/>
  <c r="X45" i="4"/>
  <c r="Y45" i="4" s="1"/>
  <c r="X67" i="4"/>
  <c r="Y67" i="4" s="1"/>
  <c r="AN75" i="4"/>
  <c r="U15" i="4"/>
  <c r="AO39" i="4"/>
  <c r="AP39" i="4" s="1"/>
  <c r="L43" i="5" s="1"/>
  <c r="AN44" i="4"/>
  <c r="AN52" i="4"/>
  <c r="U69" i="4"/>
  <c r="AN72" i="4"/>
  <c r="X74" i="4"/>
  <c r="Y74" i="4" s="1"/>
  <c r="AN76" i="4"/>
  <c r="AN89" i="4"/>
  <c r="X92" i="4"/>
  <c r="Y92" i="4" s="1"/>
  <c r="X29" i="4"/>
  <c r="Y29" i="4" s="1"/>
  <c r="AN40" i="4"/>
  <c r="U47" i="4"/>
  <c r="AN82" i="4"/>
  <c r="U24" i="4"/>
  <c r="X24" i="4"/>
  <c r="Y24" i="4" s="1"/>
  <c r="U12" i="4"/>
  <c r="X12" i="4"/>
  <c r="Y12" i="4" s="1"/>
  <c r="J16" i="5" s="1"/>
  <c r="U36" i="4"/>
  <c r="X36" i="4"/>
  <c r="Y36" i="4" s="1"/>
  <c r="U60" i="4"/>
  <c r="X60" i="4"/>
  <c r="Y60" i="4" s="1"/>
  <c r="U9" i="4"/>
  <c r="X9" i="4"/>
  <c r="Y9" i="4" s="1"/>
  <c r="U41" i="4"/>
  <c r="X41" i="4"/>
  <c r="Y41" i="4" s="1"/>
  <c r="J45" i="5" s="1"/>
  <c r="U49" i="4"/>
  <c r="X49" i="4"/>
  <c r="Y49" i="4" s="1"/>
  <c r="U52" i="4"/>
  <c r="X52" i="4"/>
  <c r="Y52" i="4" s="1"/>
  <c r="J56" i="5" s="1"/>
  <c r="U16" i="4"/>
  <c r="X16" i="4"/>
  <c r="Y16" i="4" s="1"/>
  <c r="U21" i="4"/>
  <c r="X21" i="4"/>
  <c r="Y21" i="4" s="1"/>
  <c r="U13" i="4"/>
  <c r="X13" i="4"/>
  <c r="Y13" i="4" s="1"/>
  <c r="J17" i="5" s="1"/>
  <c r="U37" i="4"/>
  <c r="X37" i="4"/>
  <c r="U8" i="4"/>
  <c r="X8" i="4"/>
  <c r="Y8" i="4" s="1"/>
  <c r="U25" i="4"/>
  <c r="X25" i="4"/>
  <c r="Y25" i="4" s="1"/>
  <c r="J29" i="5" s="1"/>
  <c r="U20" i="4"/>
  <c r="X20" i="4"/>
  <c r="Y20" i="4" s="1"/>
  <c r="J24" i="5" s="1"/>
  <c r="U28" i="4"/>
  <c r="X28" i="4"/>
  <c r="Y28" i="4" s="1"/>
  <c r="J32" i="5" s="1"/>
  <c r="U17" i="4"/>
  <c r="X17" i="4"/>
  <c r="Y17" i="4" s="1"/>
  <c r="U33" i="4"/>
  <c r="X33" i="4"/>
  <c r="Y33" i="4" s="1"/>
  <c r="AN5" i="4"/>
  <c r="U29" i="4"/>
  <c r="AO44" i="4"/>
  <c r="AP44" i="4" s="1"/>
  <c r="L48" i="5" s="1"/>
  <c r="U45" i="4"/>
  <c r="U55" i="4"/>
  <c r="AN91" i="4"/>
  <c r="U98" i="4"/>
  <c r="AN102" i="4"/>
  <c r="AO6" i="4"/>
  <c r="AP6" i="4" s="1"/>
  <c r="L10" i="5" s="1"/>
  <c r="AN37" i="4"/>
  <c r="AN81" i="4"/>
  <c r="AN86" i="4"/>
  <c r="X88" i="4"/>
  <c r="Y88" i="4" s="1"/>
  <c r="X96" i="4"/>
  <c r="Y96" i="4" s="1"/>
  <c r="AN33" i="4"/>
  <c r="AN49" i="4"/>
  <c r="AN57" i="4"/>
  <c r="AN60" i="4"/>
  <c r="X63" i="4"/>
  <c r="Y63" i="4" s="1"/>
  <c r="AN64" i="4"/>
  <c r="AN74" i="4"/>
  <c r="AN79" i="4"/>
  <c r="U86" i="4"/>
  <c r="AN103" i="4"/>
  <c r="U40" i="4"/>
  <c r="X44" i="4"/>
  <c r="Y44" i="4" s="1"/>
  <c r="J48" i="5" s="1"/>
  <c r="X56" i="4"/>
  <c r="Y56" i="4" s="1"/>
  <c r="X71" i="4"/>
  <c r="Y71" i="4" s="1"/>
  <c r="J75" i="5" s="1"/>
  <c r="X100" i="4"/>
  <c r="Y100" i="4" s="1"/>
  <c r="AN29" i="4"/>
  <c r="AN45" i="4"/>
  <c r="AN65" i="4"/>
  <c r="AN68" i="4"/>
  <c r="AN77" i="4"/>
  <c r="AN85" i="4"/>
  <c r="AN101" i="4"/>
  <c r="AN32" i="4"/>
  <c r="X40" i="4"/>
  <c r="Y40" i="4" s="1"/>
  <c r="AN48" i="4"/>
  <c r="AN61" i="4"/>
  <c r="AN80" i="4"/>
  <c r="AN93" i="4"/>
  <c r="AN104" i="4"/>
  <c r="U72" i="4"/>
  <c r="X72" i="4"/>
  <c r="Y72" i="4" s="1"/>
  <c r="U10" i="4"/>
  <c r="X10" i="4"/>
  <c r="Y10" i="4" s="1"/>
  <c r="U18" i="4"/>
  <c r="X18" i="4"/>
  <c r="Y18" i="4" s="1"/>
  <c r="U58" i="4"/>
  <c r="X58" i="4"/>
  <c r="Y58" i="4" s="1"/>
  <c r="U65" i="4"/>
  <c r="X65" i="4"/>
  <c r="Y65" i="4" s="1"/>
  <c r="U34" i="4"/>
  <c r="X34" i="4"/>
  <c r="Y34" i="4" s="1"/>
  <c r="U50" i="4"/>
  <c r="X50" i="4"/>
  <c r="Y50" i="4" s="1"/>
  <c r="U61" i="4"/>
  <c r="X61" i="4"/>
  <c r="Y61" i="4" s="1"/>
  <c r="AO25" i="4"/>
  <c r="AP25" i="4" s="1"/>
  <c r="L29" i="5" s="1"/>
  <c r="AN25" i="4"/>
  <c r="U53" i="4"/>
  <c r="X53" i="4"/>
  <c r="Y53" i="4" s="1"/>
  <c r="U66" i="4"/>
  <c r="X66" i="4"/>
  <c r="Y66" i="4" s="1"/>
  <c r="X5" i="4"/>
  <c r="Y5" i="4" s="1"/>
  <c r="J9" i="5" s="1"/>
  <c r="U5" i="4"/>
  <c r="U30" i="4"/>
  <c r="X30" i="4"/>
  <c r="Y30" i="4" s="1"/>
  <c r="U46" i="4"/>
  <c r="X46" i="4"/>
  <c r="Y46" i="4" s="1"/>
  <c r="U62" i="4"/>
  <c r="X62" i="4"/>
  <c r="Y62" i="4" s="1"/>
  <c r="J66" i="5" s="1"/>
  <c r="U22" i="4"/>
  <c r="X22" i="4"/>
  <c r="Y22" i="4" s="1"/>
  <c r="U70" i="4"/>
  <c r="X70" i="4"/>
  <c r="Y70" i="4" s="1"/>
  <c r="J74" i="5" s="1"/>
  <c r="U38" i="4"/>
  <c r="X38" i="4"/>
  <c r="Y38" i="4" s="1"/>
  <c r="U42" i="4"/>
  <c r="X42" i="4"/>
  <c r="Y42" i="4" s="1"/>
  <c r="U54" i="4"/>
  <c r="X54" i="4"/>
  <c r="Y54" i="4" s="1"/>
  <c r="J58" i="5" s="1"/>
  <c r="U6" i="4"/>
  <c r="X6" i="4"/>
  <c r="Y6" i="4" s="1"/>
  <c r="U14" i="4"/>
  <c r="X14" i="4"/>
  <c r="Y14" i="4" s="1"/>
  <c r="U7" i="4"/>
  <c r="X7" i="4"/>
  <c r="Y7" i="4" s="1"/>
  <c r="U26" i="4"/>
  <c r="X26" i="4"/>
  <c r="Y26" i="4" s="1"/>
  <c r="U57" i="4"/>
  <c r="X57" i="4"/>
  <c r="Y57" i="4" s="1"/>
  <c r="U64" i="4"/>
  <c r="X64" i="4"/>
  <c r="Y64" i="4" s="1"/>
  <c r="AO5" i="4"/>
  <c r="AP5" i="4" s="1"/>
  <c r="L9" i="5" s="1"/>
  <c r="U82" i="4"/>
  <c r="X82" i="4"/>
  <c r="Y82" i="4" s="1"/>
  <c r="U93" i="4"/>
  <c r="X93" i="4"/>
  <c r="Y93" i="4" s="1"/>
  <c r="AN10" i="4"/>
  <c r="AN14" i="4"/>
  <c r="AN18" i="4"/>
  <c r="AN22" i="4"/>
  <c r="AN26" i="4"/>
  <c r="AN30" i="4"/>
  <c r="AN34" i="4"/>
  <c r="AN38" i="4"/>
  <c r="AN42" i="4"/>
  <c r="AN46" i="4"/>
  <c r="AN50" i="4"/>
  <c r="AN54" i="4"/>
  <c r="AN58" i="4"/>
  <c r="AN62" i="4"/>
  <c r="AN70" i="4"/>
  <c r="U91" i="4"/>
  <c r="X91" i="4"/>
  <c r="Y91" i="4" s="1"/>
  <c r="U76" i="4"/>
  <c r="X76" i="4"/>
  <c r="Y76" i="4" s="1"/>
  <c r="U84" i="4"/>
  <c r="X84" i="4"/>
  <c r="Y84" i="4" s="1"/>
  <c r="X11" i="4"/>
  <c r="Y11" i="4" s="1"/>
  <c r="J15" i="5" s="1"/>
  <c r="X15" i="4"/>
  <c r="Y15" i="4" s="1"/>
  <c r="X19" i="4"/>
  <c r="Y19" i="4" s="1"/>
  <c r="X23" i="4"/>
  <c r="Y23" i="4" s="1"/>
  <c r="X27" i="4"/>
  <c r="Y27" i="4" s="1"/>
  <c r="X31" i="4"/>
  <c r="Y31" i="4" s="1"/>
  <c r="X35" i="4"/>
  <c r="Y35" i="4" s="1"/>
  <c r="J39" i="5" s="1"/>
  <c r="X39" i="4"/>
  <c r="Y39" i="4" s="1"/>
  <c r="X43" i="4"/>
  <c r="Y43" i="4" s="1"/>
  <c r="J47" i="5" s="1"/>
  <c r="X47" i="4"/>
  <c r="Y47" i="4" s="1"/>
  <c r="X51" i="4"/>
  <c r="Y51" i="4" s="1"/>
  <c r="X55" i="4"/>
  <c r="Y55" i="4" s="1"/>
  <c r="X59" i="4"/>
  <c r="Y59" i="4" s="1"/>
  <c r="AN67" i="4"/>
  <c r="X68" i="4"/>
  <c r="Y68" i="4" s="1"/>
  <c r="AO92" i="4"/>
  <c r="AP92" i="4" s="1"/>
  <c r="AN92" i="4"/>
  <c r="X98" i="4"/>
  <c r="Y98" i="4" s="1"/>
  <c r="U104" i="4"/>
  <c r="X104" i="4"/>
  <c r="Y104" i="4" s="1"/>
  <c r="U78" i="4"/>
  <c r="X78" i="4"/>
  <c r="Y78" i="4" s="1"/>
  <c r="U80" i="4"/>
  <c r="X80" i="4"/>
  <c r="Y80" i="4" s="1"/>
  <c r="AO94" i="4"/>
  <c r="AP94" i="4" s="1"/>
  <c r="AN94" i="4"/>
  <c r="AN9" i="4"/>
  <c r="AN13" i="4"/>
  <c r="AN17" i="4"/>
  <c r="AN21" i="4"/>
  <c r="U67" i="4"/>
  <c r="X73" i="4"/>
  <c r="Y73" i="4" s="1"/>
  <c r="U75" i="4"/>
  <c r="U87" i="4"/>
  <c r="X87" i="4"/>
  <c r="Y87" i="4" s="1"/>
  <c r="U89" i="4"/>
  <c r="X89" i="4"/>
  <c r="Y89" i="4" s="1"/>
  <c r="AO90" i="4"/>
  <c r="AP90" i="4" s="1"/>
  <c r="AN90" i="4"/>
  <c r="U94" i="4"/>
  <c r="AO100" i="4"/>
  <c r="AP100" i="4" s="1"/>
  <c r="AN100" i="4"/>
  <c r="AN69" i="4"/>
  <c r="U77" i="4"/>
  <c r="X77" i="4"/>
  <c r="Y77" i="4" s="1"/>
  <c r="U79" i="4"/>
  <c r="X79" i="4"/>
  <c r="Y79" i="4" s="1"/>
  <c r="U81" i="4"/>
  <c r="X81" i="4"/>
  <c r="Y81" i="4" s="1"/>
  <c r="U83" i="4"/>
  <c r="X83" i="4"/>
  <c r="Y83" i="4" s="1"/>
  <c r="U85" i="4"/>
  <c r="X85" i="4"/>
  <c r="Y85" i="4" s="1"/>
  <c r="U102" i="4"/>
  <c r="X102" i="4"/>
  <c r="Y102" i="4" s="1"/>
  <c r="AN8" i="4"/>
  <c r="AN12" i="4"/>
  <c r="AN16" i="4"/>
  <c r="AN20" i="4"/>
  <c r="AN24" i="4"/>
  <c r="AN28" i="4"/>
  <c r="AO88" i="4"/>
  <c r="AP88" i="4" s="1"/>
  <c r="AN88" i="4"/>
  <c r="U97" i="4"/>
  <c r="X97" i="4"/>
  <c r="Y97" i="4" s="1"/>
  <c r="AN63" i="4"/>
  <c r="AN71" i="4"/>
  <c r="U74" i="4"/>
  <c r="U90" i="4"/>
  <c r="U95" i="4"/>
  <c r="X95" i="4"/>
  <c r="Y95" i="4" s="1"/>
  <c r="AN7" i="4"/>
  <c r="AN11" i="4"/>
  <c r="AN15" i="4"/>
  <c r="AN19" i="4"/>
  <c r="AN23" i="4"/>
  <c r="AN27" i="4"/>
  <c r="AN31" i="4"/>
  <c r="AN35" i="4"/>
  <c r="AN39" i="4"/>
  <c r="AN43" i="4"/>
  <c r="AN47" i="4"/>
  <c r="AN51" i="4"/>
  <c r="AN55" i="4"/>
  <c r="AN59" i="4"/>
  <c r="U63" i="4"/>
  <c r="X69" i="4"/>
  <c r="Y69" i="4" s="1"/>
  <c r="U71" i="4"/>
  <c r="AO96" i="4"/>
  <c r="AP96" i="4" s="1"/>
  <c r="AN96" i="4"/>
  <c r="AN98" i="4"/>
  <c r="X99" i="4"/>
  <c r="Y99" i="4" s="1"/>
  <c r="X103" i="4"/>
  <c r="Y103" i="4" s="1"/>
  <c r="U88" i="4"/>
  <c r="U92" i="4"/>
  <c r="U96" i="4"/>
  <c r="U100" i="4"/>
  <c r="X101" i="4"/>
  <c r="Y101" i="4" s="1"/>
  <c r="J23" i="5" l="1"/>
  <c r="J55" i="5"/>
  <c r="J65" i="5"/>
  <c r="J62" i="5"/>
  <c r="J67" i="5"/>
  <c r="J40" i="5"/>
  <c r="J25" i="5"/>
  <c r="J73" i="5"/>
  <c r="J72" i="5"/>
  <c r="J18" i="5"/>
  <c r="J42" i="5"/>
  <c r="J50" i="5"/>
  <c r="J57" i="5"/>
  <c r="J31" i="5"/>
  <c r="J44" i="5"/>
  <c r="J21" i="5"/>
  <c r="J12" i="5"/>
  <c r="J20" i="5"/>
  <c r="J13" i="5"/>
  <c r="J28" i="5"/>
  <c r="J38" i="5"/>
  <c r="J59" i="5"/>
  <c r="J27" i="5"/>
  <c r="J61" i="5"/>
  <c r="J10" i="5"/>
  <c r="J34" i="5"/>
  <c r="J69" i="5"/>
  <c r="J76" i="5"/>
  <c r="J78" i="5"/>
  <c r="L44" i="5"/>
  <c r="J64" i="5"/>
  <c r="J49" i="5"/>
  <c r="J51" i="5"/>
  <c r="J19" i="5"/>
  <c r="J26" i="5"/>
  <c r="J60" i="5"/>
  <c r="J36" i="5"/>
  <c r="J35" i="5"/>
  <c r="J14" i="5"/>
  <c r="J79" i="5"/>
  <c r="J68" i="5"/>
  <c r="J53" i="5"/>
  <c r="J77" i="5"/>
  <c r="J43" i="5"/>
  <c r="J11" i="5"/>
  <c r="J46" i="5"/>
  <c r="J54" i="5"/>
  <c r="J22" i="5"/>
  <c r="J33" i="5"/>
  <c r="J80" i="5"/>
  <c r="J70" i="5"/>
  <c r="J71" i="5"/>
  <c r="J63" i="5"/>
  <c r="J52" i="5"/>
  <c r="J30" i="5"/>
  <c r="L25" i="5"/>
  <c r="L39" i="5"/>
  <c r="Y37" i="4"/>
  <c r="J41" i="5" s="1"/>
  <c r="J37" i="5" l="1"/>
</calcChain>
</file>

<file path=xl/sharedStrings.xml><?xml version="1.0" encoding="utf-8"?>
<sst xmlns="http://schemas.openxmlformats.org/spreadsheetml/2006/main" count="2254" uniqueCount="570">
  <si>
    <t>Document Title</t>
  </si>
  <si>
    <t>Product security Risk Table</t>
  </si>
  <si>
    <t>Document number / Revision</t>
  </si>
  <si>
    <t>D001020017 / 01</t>
  </si>
  <si>
    <t>Date</t>
  </si>
  <si>
    <t>Project</t>
  </si>
  <si>
    <t>SmartMedic</t>
  </si>
  <si>
    <t>Project number</t>
  </si>
  <si>
    <t>SGTC-NPD-001 </t>
  </si>
  <si>
    <t>Product Security Risk Table approval</t>
  </si>
  <si>
    <t>Approvals</t>
  </si>
  <si>
    <t>Name</t>
  </si>
  <si>
    <t>Title</t>
  </si>
  <si>
    <t>Signature</t>
  </si>
  <si>
    <t>Author</t>
  </si>
  <si>
    <t>Deepak Sharma</t>
  </si>
  <si>
    <r>
      <rPr>
        <b/>
        <sz val="11"/>
        <color theme="1"/>
        <rFont val="Calibri"/>
        <family val="2"/>
        <scheme val="minor"/>
      </rPr>
      <t>Approvers</t>
    </r>
    <r>
      <rPr>
        <sz val="11"/>
        <color rgb="FF000000"/>
        <rFont val="Calibri"/>
        <family val="2"/>
        <charset val="1"/>
      </rPr>
      <t xml:space="preserve"> 
</t>
    </r>
  </si>
  <si>
    <t>Vikram Puri</t>
  </si>
  <si>
    <t xml:space="preserve">Advanced Operations (Mfg &amp; QA) </t>
  </si>
  <si>
    <t>Sreejith Viswam</t>
  </si>
  <si>
    <t>Advance Quality Engineer</t>
  </si>
  <si>
    <t>Document Revision History:</t>
  </si>
  <si>
    <t>REV#</t>
  </si>
  <si>
    <t>Revision Date</t>
  </si>
  <si>
    <t xml:space="preserve">Author </t>
  </si>
  <si>
    <t>Description of Revision</t>
  </si>
  <si>
    <t>00</t>
  </si>
  <si>
    <t>01</t>
  </si>
  <si>
    <t>System &amp; Asset Identification</t>
  </si>
  <si>
    <t xml:space="preserve">Medical Device / System: </t>
  </si>
  <si>
    <t>Scope:</t>
  </si>
  <si>
    <t>SmartMedic -001-02-A-00-00-00</t>
  </si>
  <si>
    <t>Date:</t>
  </si>
  <si>
    <t xml:space="preserve">Conducted by: </t>
  </si>
  <si>
    <t>ID #</t>
  </si>
  <si>
    <t>Asset Type
(Information/Physical)</t>
  </si>
  <si>
    <t>Asset</t>
  </si>
  <si>
    <t>Asset Description</t>
  </si>
  <si>
    <t>A01</t>
  </si>
  <si>
    <t>Physical Asset</t>
  </si>
  <si>
    <t>Tablet Resources - web cam, microphone, OTG devices, Removable USB, Tablet Application, Network interfaces (Bluetooth, Wifi)</t>
  </si>
  <si>
    <t xml:space="preserve">Utilizing computer resources and computing power by adversary, allows various general purpose attacks, such as  incl. Ransomware deployment, Bitcoin Mining, abuse of peripheral devices such as WebCam, Microphones, etc., . </t>
  </si>
  <si>
    <t>A02</t>
  </si>
  <si>
    <t>Information asset</t>
  </si>
  <si>
    <t>Tablet OS/network details &amp; Tablet Application</t>
  </si>
  <si>
    <t>Information about internals of the system (Device identification, software versions, supported protocols, etc.)</t>
  </si>
  <si>
    <t>A03</t>
  </si>
  <si>
    <t>Physical Assets</t>
  </si>
  <si>
    <t>Smart medic (Stryker device) System Component</t>
  </si>
  <si>
    <t>Monitors local bed status information, alerting caregivers visually, audibly or remotely if preset parameters are compromised.</t>
  </si>
  <si>
    <t>A04</t>
  </si>
  <si>
    <t>Authentication/Authorisation method of all device(s)/app</t>
  </si>
  <si>
    <t>Information related to authenication/authorisation data (password/pins/MFA/Biometrics)</t>
  </si>
  <si>
    <t>A05</t>
  </si>
  <si>
    <t>Device Maintainence tool (Hardware/Software)</t>
  </si>
  <si>
    <t>Device Maintainence tool (Hardware/Software) that patchs and updates Smart Medic Device and Application related to Security</t>
  </si>
  <si>
    <t>A06</t>
  </si>
  <si>
    <t>Electronic Health Records (EHR)/ Device Component status</t>
  </si>
  <si>
    <t xml:space="preserve">Smart device components health status information </t>
  </si>
  <si>
    <t>A07</t>
  </si>
  <si>
    <t>Interface/API Communication</t>
  </si>
  <si>
    <t>Communication middleware enables communication and data management for distributed applications.</t>
  </si>
  <si>
    <t>A08</t>
  </si>
  <si>
    <t>Wireless Network device (Scope of HDO)</t>
  </si>
  <si>
    <t xml:space="preserve">Devices that are used for communication among the Smart Medic project component. </t>
  </si>
  <si>
    <t>A09</t>
  </si>
  <si>
    <t>Data at Rest</t>
  </si>
  <si>
    <t>Use strong encryption algorthim to store data on cloud platform (Smartmedic Device)/tablet</t>
  </si>
  <si>
    <t>A10</t>
  </si>
  <si>
    <t>Data in Transit</t>
  </si>
  <si>
    <t>Use strong encryption algorthim to data moving on tablet to cloud platform(Smartmedic Device)/tablet</t>
  </si>
  <si>
    <t>A11</t>
  </si>
  <si>
    <t>Smart medic app (Stryker Admin Web Application)</t>
  </si>
  <si>
    <t>Smart medic application for nurse/health worker (Stryker Admin Web Application)</t>
  </si>
  <si>
    <t>A12</t>
  </si>
  <si>
    <t>Smart medic app (Azure Portal Administrator)</t>
  </si>
  <si>
    <t>Azure Portal Administrator for Smart medic app</t>
  </si>
  <si>
    <t>A13</t>
  </si>
  <si>
    <t>Azure Cloud DataBase</t>
  </si>
  <si>
    <t xml:space="preserve">Azure Cloud DataBase related to Smart Medic app </t>
  </si>
  <si>
    <t>A14</t>
  </si>
  <si>
    <t>Health vital data</t>
  </si>
  <si>
    <t>Health vital data Body temperature. Pulse rate. Respiration rate,weight data, position data, etc.</t>
  </si>
  <si>
    <t>A15</t>
  </si>
  <si>
    <t>Nurse Station Application</t>
  </si>
  <si>
    <t>Smart medic web application for nurse/health worker running on the Nurse Station</t>
  </si>
  <si>
    <t>Printed copies for reference only</t>
  </si>
  <si>
    <t>Stryker Confidential - This document contains information that is confidential and proprietary. Neither this document nor the information herein may be reproduced, used, or disclosed to or for the benefit of any third party without the prior written consent of Stryker.</t>
  </si>
  <si>
    <t>D05788-1, Ver 1</t>
  </si>
  <si>
    <t>Vulnerability Identification</t>
  </si>
  <si>
    <t>Vuln. ID</t>
  </si>
  <si>
    <t>Vulnerability Description</t>
  </si>
  <si>
    <t>Applicable (Yes/No)</t>
  </si>
  <si>
    <t>Rationale (if Vulnerability not applicable)</t>
  </si>
  <si>
    <t>V01</t>
  </si>
  <si>
    <t>Devices with default passwords needs to be checked for bruteforce attacks</t>
  </si>
  <si>
    <t>Yes</t>
  </si>
  <si>
    <t>n/a</t>
  </si>
  <si>
    <t>V02</t>
  </si>
  <si>
    <t>External communications and exposure for communciation channels from and to application and devices like tablet and smartmedic device.</t>
  </si>
  <si>
    <t>V03</t>
  </si>
  <si>
    <t>The password complexity or location vulnerability. Like weak passwords and hardcoded passwords.</t>
  </si>
  <si>
    <t>V04</t>
  </si>
  <si>
    <t>Checking authentication modes for possible hacks and bypasses</t>
  </si>
  <si>
    <t>V05</t>
  </si>
  <si>
    <t>Insecure communications in networks (hospital)</t>
  </si>
  <si>
    <t>SBOM</t>
  </si>
  <si>
    <t>V06</t>
  </si>
  <si>
    <t>Lack of Asset location digaram in security operations manual</t>
  </si>
  <si>
    <t>V07</t>
  </si>
  <si>
    <t>Lack of configuration controls for IT assets in the informaion system plan</t>
  </si>
  <si>
    <t>V08</t>
  </si>
  <si>
    <t>Ineffective patch management of firware, OS and applications thoughout the information system plan</t>
  </si>
  <si>
    <t>V09</t>
  </si>
  <si>
    <t xml:space="preserve">Lack of plan for periodic Software Vulnerability Management </t>
  </si>
  <si>
    <t>V10</t>
  </si>
  <si>
    <t>The  static connection digaram between devices and applications with provision for periodic updation as per changes</t>
  </si>
  <si>
    <t>V11</t>
  </si>
  <si>
    <t>Assest counting system for all instances of product implementation</t>
  </si>
  <si>
    <t>Access points</t>
  </si>
  <si>
    <t>V12</t>
  </si>
  <si>
    <t>Unprotected network port(s) on network devices and connection points</t>
  </si>
  <si>
    <t>V13</t>
  </si>
  <si>
    <t>Unprotected external USB Port on the tablet/devices.</t>
  </si>
  <si>
    <t>V14</t>
  </si>
  <si>
    <t>Unencrypted Network segment through out the information flow</t>
  </si>
  <si>
    <t>V15</t>
  </si>
  <si>
    <t>Controlled Use of Administrative Privileges over the network</t>
  </si>
  <si>
    <t>Data</t>
  </si>
  <si>
    <t>V16</t>
  </si>
  <si>
    <t>Unencrypted data at rest in all possible locations</t>
  </si>
  <si>
    <t>V17</t>
  </si>
  <si>
    <t>Unencrypted data in transit in all flowchannels</t>
  </si>
  <si>
    <t>V18</t>
  </si>
  <si>
    <t>Weak Encryption Implementaion in data at rest and in transit tactical and design wise</t>
  </si>
  <si>
    <t>V19</t>
  </si>
  <si>
    <t>Weak Algorthim implementation with respect cipher key size</t>
  </si>
  <si>
    <t>InSecure Configurations of Resources</t>
  </si>
  <si>
    <t>V20</t>
  </si>
  <si>
    <t>InSecure/not recommended  Configuration for Mobile Devices, Laptops, Workstations, and Servers</t>
  </si>
  <si>
    <t>V21</t>
  </si>
  <si>
    <t>InSecure Configuration for Software/OS on Mobile Devices, Laptops, Workstations, and Servers</t>
  </si>
  <si>
    <t>V22</t>
  </si>
  <si>
    <t>Legacy system identification if any</t>
  </si>
  <si>
    <t>V23</t>
  </si>
  <si>
    <t>Outdated  - Software/Hardware</t>
  </si>
  <si>
    <t>V31</t>
  </si>
  <si>
    <t>Improper/insufficient provisioning of IOT hub</t>
  </si>
  <si>
    <t>V32</t>
  </si>
  <si>
    <t>Unsecured communication with unauthenticated 3rd party devices</t>
  </si>
  <si>
    <t>AuthN management</t>
  </si>
  <si>
    <t>V24</t>
  </si>
  <si>
    <t>Error Info containing sensitive data for Failed Authentication attempts</t>
  </si>
  <si>
    <t>V25</t>
  </si>
  <si>
    <t>Absence of additional security factor along with user identification</t>
  </si>
  <si>
    <t>V26</t>
  </si>
  <si>
    <t>Having no limit on the login attempts</t>
  </si>
  <si>
    <t>V27</t>
  </si>
  <si>
    <t>No session expiry after certain time interval</t>
  </si>
  <si>
    <t>Logging/Monitoring</t>
  </si>
  <si>
    <t>V28</t>
  </si>
  <si>
    <t xml:space="preserve">Insufficient Logging information </t>
  </si>
  <si>
    <t>V29</t>
  </si>
  <si>
    <t>Insufficient Access permissions for accessing and modifying Log files</t>
  </si>
  <si>
    <t>Keys &amp; Certificates</t>
  </si>
  <si>
    <t>V30</t>
  </si>
  <si>
    <t>Improper security (for ex.,Storage &amp; Access) for Key tokens and Certificates</t>
  </si>
  <si>
    <t>Threat Assessment</t>
  </si>
  <si>
    <t>#</t>
  </si>
  <si>
    <t xml:space="preserve">Threat Event </t>
  </si>
  <si>
    <t xml:space="preserve">Description </t>
  </si>
  <si>
    <t>Threat Source</t>
  </si>
  <si>
    <t>In Scope (Yes/No)</t>
  </si>
  <si>
    <t>Rationale 
(if out of scope)</t>
  </si>
  <si>
    <t>T01</t>
  </si>
  <si>
    <t>Deliver undirected malware
(CAPEC-185)</t>
  </si>
  <si>
    <t>Thread source delivers malware by providing removable media prepared with malware. 
Removable media is e.g. left on a parking lot and picked up by hospital staff. USB stick finds its way to the Navigation System.
Malware eploits known a known vulnerability and e.g. gains admin priviledges. Undirected attack on computer systems.</t>
  </si>
  <si>
    <t>TSA-3 - Skript Kiddies</t>
  </si>
  <si>
    <t>T02</t>
  </si>
  <si>
    <t>Deliver directed malware
(CAPEC-185)</t>
  </si>
  <si>
    <t>Thread source delivers malware on a removable media which was designed to exploit a known vulnerability of the Navigation System. Directed attack on the Navigation System using knowledge about the Navigation System.</t>
  </si>
  <si>
    <t>TSA-2 Organization</t>
  </si>
  <si>
    <t>T03</t>
  </si>
  <si>
    <t>Gaining Access
([S]TRID[E])</t>
  </si>
  <si>
    <t>This phase is where an attacker breaks into the system/network using various tools or methods. After entering into a system, he has to increase his privilege to administrator level so he can install an application he needs or modify data or hide data</t>
  </si>
  <si>
    <t>T04</t>
  </si>
  <si>
    <t>Maintaining Access
(TTP)</t>
  </si>
  <si>
    <t>The aim is to maintain the access to the target until he finishes the tasks he planned to accomplish in that target.</t>
  </si>
  <si>
    <t>T05</t>
  </si>
  <si>
    <t>Clearing Track
(TTP)</t>
  </si>
  <si>
    <t>This involves modifying/corrupting/deleting the values of Logs, modifying registry values and uninstalling all applications he used and deleting all folders he created</t>
  </si>
  <si>
    <t>T06</t>
  </si>
  <si>
    <t>Elevation of privilege
(STRID[E])</t>
  </si>
  <si>
    <t>Identify weaknesses of segregation in terms of administrative and user-level privileges</t>
  </si>
  <si>
    <t>T07</t>
  </si>
  <si>
    <t>Denial of service
(STRI(D)E)</t>
  </si>
  <si>
    <t>Find ways to exhaust or drown out legitimate requests</t>
  </si>
  <si>
    <t>T08</t>
  </si>
  <si>
    <t>Information disclosure
(STR(I)DE)</t>
  </si>
  <si>
    <t>Fuzz application parameters or arguments to impact
application error disclosures.
Identify open ports with their respective services.
Incite confidentiality and integrity in the browser interface.
Identify clear text communications.
Review usage of HTTP headers and user-agent profile.
Pinpoint usages of API endpoints and application backend
technologies.</t>
  </si>
  <si>
    <t>T09</t>
  </si>
  <si>
    <t>Data Access
(STR[I]DE)</t>
  </si>
  <si>
    <t>Access user and application data e.g. by a malicious application or script</t>
  </si>
  <si>
    <t>T10</t>
  </si>
  <si>
    <t>Open network port exploit
(TTP)</t>
  </si>
  <si>
    <t>Penetrate Open and Unsecured Ports</t>
  </si>
  <si>
    <t>T11</t>
  </si>
  <si>
    <t>Brute-force Attack
(CAPEC-112)</t>
  </si>
  <si>
    <t>The brute-force attack contained a dictionary of well-known directories and authentication paradigms present in common webservers.</t>
  </si>
  <si>
    <t>T12</t>
  </si>
  <si>
    <t>Social Engineering
(TTP)</t>
  </si>
  <si>
    <t>create custom phishing scams, phone-based attacks and even physical intrusion to test your organization’s level of security.</t>
  </si>
  <si>
    <t>T13</t>
  </si>
  <si>
    <t>Lack of evidence to conclude any malicious attempt/attack
(ST[R]IDE)</t>
  </si>
  <si>
    <t>All the actions/events should be properly logged and the content needs to be protected by proper access rights.</t>
  </si>
  <si>
    <t>T14</t>
  </si>
  <si>
    <t>Unauthorized Alterations
(S[T]RIDE)</t>
  </si>
  <si>
    <t>This involves  modifying registry values, deleting/encrypting Confidential info and uninstalling Any secure applications and renaming/deleting all files/folders</t>
  </si>
  <si>
    <t>Security Risk Assessment</t>
  </si>
  <si>
    <t xml:space="preserve"> </t>
  </si>
  <si>
    <t>Adverse Impact</t>
  </si>
  <si>
    <t>Pre-Implementation of Security Controls</t>
  </si>
  <si>
    <t>Security Controls/Mitigations</t>
  </si>
  <si>
    <t>Post-Implementation of Security Controls</t>
  </si>
  <si>
    <t xml:space="preserve">
ID #</t>
  </si>
  <si>
    <t>T ID</t>
  </si>
  <si>
    <t>Threat Event(s)</t>
  </si>
  <si>
    <t>V ID</t>
  </si>
  <si>
    <t>Vulnerabilities</t>
  </si>
  <si>
    <t>A ID</t>
  </si>
  <si>
    <t>Impact Description</t>
  </si>
  <si>
    <t>Safety Impact 
(Risk ID# or N/A)</t>
  </si>
  <si>
    <t>Confidentiality</t>
  </si>
  <si>
    <t>Integrity</t>
  </si>
  <si>
    <t>Availability</t>
  </si>
  <si>
    <t>Attack Vector</t>
  </si>
  <si>
    <t>Attack Complexity</t>
  </si>
  <si>
    <t>Privileges Required</t>
  </si>
  <si>
    <t>User Interaction</t>
  </si>
  <si>
    <t>Scope</t>
  </si>
  <si>
    <t>Exploitability Sub Score</t>
  </si>
  <si>
    <t>ISC Base</t>
  </si>
  <si>
    <t>Impact Sub Score</t>
  </si>
  <si>
    <t>CVSS v3.0 Base Score</t>
  </si>
  <si>
    <t>Threat Event Initiation</t>
  </si>
  <si>
    <t>Threat Event Initiation
Score</t>
  </si>
  <si>
    <t>Overall Risk Score</t>
  </si>
  <si>
    <t>Security 
Risk 
Level</t>
  </si>
  <si>
    <t>Security Risk Control Measures</t>
  </si>
  <si>
    <t xml:space="preserve">Implementation of Risk Control Measures </t>
  </si>
  <si>
    <t>Verification of Risk Control Measures (Effectiveness)</t>
  </si>
  <si>
    <r>
      <rPr>
        <b/>
        <sz val="12"/>
        <rFont val="Cambria"/>
        <family val="1"/>
        <charset val="1"/>
      </rPr>
      <t>Confidentiality</t>
    </r>
    <r>
      <rPr>
        <b/>
        <sz val="12"/>
        <color rgb="FFA9D18E"/>
        <rFont val="Cambria"/>
        <family val="1"/>
        <charset val="1"/>
      </rPr>
      <t>P</t>
    </r>
  </si>
  <si>
    <r>
      <rPr>
        <b/>
        <sz val="12"/>
        <rFont val="Cambria"/>
        <family val="1"/>
        <charset val="1"/>
      </rPr>
      <t>Integrity</t>
    </r>
    <r>
      <rPr>
        <b/>
        <sz val="12"/>
        <color rgb="FFA9D18E"/>
        <rFont val="Cambria"/>
        <family val="1"/>
        <charset val="1"/>
      </rPr>
      <t>P</t>
    </r>
  </si>
  <si>
    <r>
      <rPr>
        <b/>
        <sz val="12"/>
        <rFont val="Cambria"/>
        <family val="1"/>
        <charset val="1"/>
      </rPr>
      <t>Availability</t>
    </r>
    <r>
      <rPr>
        <b/>
        <sz val="12"/>
        <color rgb="FFA9D18E"/>
        <rFont val="Cambria"/>
        <family val="1"/>
        <charset val="1"/>
      </rPr>
      <t>P</t>
    </r>
  </si>
  <si>
    <r>
      <rPr>
        <b/>
        <sz val="11"/>
        <rFont val="Cambria"/>
        <family val="1"/>
        <charset val="1"/>
      </rPr>
      <t>Attack Vector</t>
    </r>
    <r>
      <rPr>
        <b/>
        <sz val="11"/>
        <color rgb="FFA9D18E"/>
        <rFont val="Cambria"/>
        <family val="1"/>
        <charset val="1"/>
      </rPr>
      <t>P</t>
    </r>
  </si>
  <si>
    <r>
      <rPr>
        <b/>
        <sz val="11"/>
        <rFont val="Cambria"/>
        <family val="1"/>
        <charset val="1"/>
      </rPr>
      <t>Attack Complexity</t>
    </r>
    <r>
      <rPr>
        <b/>
        <sz val="11"/>
        <color rgb="FFA9D18E"/>
        <rFont val="Cambria"/>
        <family val="1"/>
        <charset val="1"/>
      </rPr>
      <t>P</t>
    </r>
  </si>
  <si>
    <r>
      <rPr>
        <b/>
        <sz val="11"/>
        <rFont val="Cambria"/>
        <family val="1"/>
        <charset val="1"/>
      </rPr>
      <t>Privileges Required</t>
    </r>
    <r>
      <rPr>
        <b/>
        <sz val="11"/>
        <color rgb="FFA9D18E"/>
        <rFont val="Cambria"/>
        <family val="1"/>
        <charset val="1"/>
      </rPr>
      <t>P</t>
    </r>
  </si>
  <si>
    <r>
      <rPr>
        <b/>
        <sz val="11"/>
        <rFont val="Cambria"/>
        <family val="1"/>
        <charset val="1"/>
      </rPr>
      <t>User Interaction</t>
    </r>
    <r>
      <rPr>
        <b/>
        <sz val="11"/>
        <color rgb="FFA9D18E"/>
        <rFont val="Cambria"/>
        <family val="1"/>
        <charset val="1"/>
      </rPr>
      <t>P</t>
    </r>
  </si>
  <si>
    <r>
      <rPr>
        <b/>
        <sz val="11"/>
        <rFont val="Cambria"/>
        <family val="1"/>
        <charset val="1"/>
      </rPr>
      <t>Scope</t>
    </r>
    <r>
      <rPr>
        <b/>
        <sz val="11"/>
        <color rgb="FFA9D18E"/>
        <rFont val="Cambria"/>
        <family val="1"/>
        <charset val="1"/>
      </rPr>
      <t>P</t>
    </r>
  </si>
  <si>
    <r>
      <rPr>
        <b/>
        <sz val="11"/>
        <rFont val="Cambria"/>
        <family val="1"/>
        <charset val="1"/>
      </rPr>
      <t>Exploitability Sub Score</t>
    </r>
    <r>
      <rPr>
        <b/>
        <sz val="11"/>
        <color rgb="FFA9D18E"/>
        <rFont val="Cambria"/>
        <family val="1"/>
        <charset val="1"/>
      </rPr>
      <t>P</t>
    </r>
  </si>
  <si>
    <r>
      <rPr>
        <b/>
        <sz val="11"/>
        <rFont val="Cambria"/>
        <family val="1"/>
        <charset val="1"/>
      </rPr>
      <t>ISC Base</t>
    </r>
    <r>
      <rPr>
        <b/>
        <sz val="11"/>
        <color rgb="FFA9D18E"/>
        <rFont val="Cambria"/>
        <family val="1"/>
        <charset val="1"/>
      </rPr>
      <t>P</t>
    </r>
  </si>
  <si>
    <r>
      <rPr>
        <b/>
        <sz val="11"/>
        <rFont val="Cambria"/>
        <family val="1"/>
        <charset val="1"/>
      </rPr>
      <t>Impact Sub Score</t>
    </r>
    <r>
      <rPr>
        <b/>
        <sz val="11"/>
        <color rgb="FFA9D18E"/>
        <rFont val="Cambria"/>
        <family val="1"/>
        <charset val="1"/>
      </rPr>
      <t>P</t>
    </r>
  </si>
  <si>
    <r>
      <rPr>
        <b/>
        <sz val="11"/>
        <rFont val="Cambria"/>
        <family val="1"/>
        <charset val="1"/>
      </rPr>
      <t>CVSS v3.0 Base Score</t>
    </r>
    <r>
      <rPr>
        <b/>
        <sz val="11"/>
        <color rgb="FFA9D18E"/>
        <rFont val="Cambria"/>
        <family val="1"/>
        <charset val="1"/>
      </rPr>
      <t>P</t>
    </r>
  </si>
  <si>
    <r>
      <rPr>
        <b/>
        <sz val="11"/>
        <rFont val="Cambria"/>
        <family val="1"/>
        <charset val="1"/>
      </rPr>
      <t>Overall Risk Score</t>
    </r>
    <r>
      <rPr>
        <b/>
        <sz val="11"/>
        <color rgb="FFA9D18E"/>
        <rFont val="Cambria"/>
        <family val="1"/>
        <charset val="1"/>
      </rPr>
      <t>P</t>
    </r>
  </si>
  <si>
    <r>
      <rPr>
        <b/>
        <sz val="11"/>
        <rFont val="Cambria"/>
        <family val="1"/>
        <charset val="1"/>
      </rPr>
      <t>Security Risk Level</t>
    </r>
    <r>
      <rPr>
        <b/>
        <sz val="11"/>
        <color rgb="FFA9D18E"/>
        <rFont val="Cambria"/>
        <family val="1"/>
        <charset val="1"/>
      </rPr>
      <t>P</t>
    </r>
  </si>
  <si>
    <t>Residual Security Risk Acceptability Justification</t>
  </si>
  <si>
    <t xml:space="preserve">1) Malicious utilization of  computer resources 2) computing power  
3) denial of service attacks, 
4) ransomware attack 
5) Bitcoin mining, etc </t>
  </si>
  <si>
    <t>Low</t>
  </si>
  <si>
    <t>Physical</t>
  </si>
  <si>
    <t>Required</t>
  </si>
  <si>
    <t>Unchanged</t>
  </si>
  <si>
    <t xml:space="preserve">1. Asset should be behind stateful firewall
2. Anti-virus with updated virus definitions
3. Audit/System log capturing any abnormal activity identified/reported by the application
4.  Use hardened interfaces (n/w) &amp; secure tunnel communications channel </t>
  </si>
  <si>
    <t>1. SOM D001020115 - 23. Malware Detection/Protection
2. SRS D001020024 -2.17.6The Application shall support the use of anti-malware mechanism
3.SRS D001020024 -2.23.1 The Application shall have logs of tablet application and firmware (SmartMedic devices).
4. SRS D001020024 -2.17.2The Application shall provide secure tunnel Communications channel</t>
  </si>
  <si>
    <t>Network</t>
  </si>
  <si>
    <t>None</t>
  </si>
  <si>
    <t>Local</t>
  </si>
  <si>
    <t>High</t>
  </si>
  <si>
    <t>Moderate</t>
  </si>
  <si>
    <t>SOM responsibility
1. Statefull Firewall
2. Maintain access control (read/modify) permission list for any sensitive &amp; unencrypted data if present.</t>
  </si>
  <si>
    <t>1. SOM D001020115 - 23. Malware Detection/Protection
2. SOM D001020115 - 05. Access control policy and management</t>
  </si>
  <si>
    <t xml:space="preserve">1) Malicious utilization of  computer resources 
2) computing power  
3) denial of service attacks, 
4) ransomware attack 
5) Bitcoin mining, etc </t>
  </si>
  <si>
    <t>1. Deployed (V&amp;V) secure system configuration model needs to be mentioned in the installation manual.
2. Establish internal and external
information sources for threat
intelligence and vulnerability
data, monitoring them regularly
and taking appropriate action for
high-priority items
3. Use upgraded software, firmware
4. Never create/use credentials with personal details such as date of birth, spouse, or child’s or pet’s name
5. Stateful Firewall</t>
  </si>
  <si>
    <t>1. SOM D001020115 - 23. Malware Detection/Protection
2. SRS D001020024 -2.17.6The Application shall support the use of anti-malware mechanism
3.SRS D001020024 -2.23.1 The Application shall have logs of tablet application and firmware (SmartMedic devices). 
4. SRS D001020024 -2.17.2The Application shall provide secure tunnel Communications channel</t>
  </si>
  <si>
    <t xml:space="preserve">1.  Identification of the sensitive data in storage and encryption of storage subsystem
2. Stateful firewall
3. Hardening of the host system containing sensitive data at rest
4. Maintain access control (read/modify) permission list for any sensitive &amp; unencrypted data if present.
5. Use strong encryption algorithm </t>
  </si>
  <si>
    <t>1)  Obtain knowledge about system internals
2)  Attempt to find attack vectors 
3)  Possibilities for exploitation of publicly known Vulnerabilities.</t>
  </si>
  <si>
    <t xml:space="preserve">1.During the access providing, if default password is provided then immediately changing the password is needed. 
Also ensure:
2. Require multi-factor authentication
3. Limit authentication attempts (rate Limiting)
4. Maintain Access Logs
</t>
  </si>
  <si>
    <t>1. During the access providing, if default password is provided then immediately changing the password is needed. 
Also ensure: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t>
  </si>
  <si>
    <t>1. If devices/apps being accessed by login credentials &amp; MFA. Then, strong password policies &amp; management are required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t>
  </si>
  <si>
    <t xml:space="preserve"> 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t>
  </si>
  <si>
    <t>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t>
  </si>
  <si>
    <t>1. SOM D001020115 - 23. Malware Detection/Protection
2. SRS D001020024 -2.17.6The Application shall support the use of anti-malware mechanism
3. SRS D001020024 -2.23.1 The Application shall have logs of tablet application and firmware (SmartMedic devices).                                                                                 
4. SRS D001020024 -2.17.2The Application shall provide secure tunnel Communications channel</t>
  </si>
  <si>
    <t>1. If devices/apps being accessed by login credentials &amp; MFA. Then, strong password policies &amp; management are required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t>
  </si>
  <si>
    <t>1) Tampering of forensic data
2) This involves modifying/corrupting/deleting the values of Logs, 
3) Modifying registry values 
4) Uninstalling all malcious applications/tools   
5) Deleting all folders which were created</t>
  </si>
  <si>
    <t>B-L2(Reference Risk Table and Risk Matrix SmartMedic Document # D001020010)</t>
  </si>
  <si>
    <t>1. SOM D001020115 - 23. Malware Detection/Protection
2. SRS D001020024 -2.17.6The Application shall support the use of anti-malware mechanism
3.SRS D001020024 -2.23.1 The Application shall have logs of tablet application and firmware (SmartMedic devices).
4. SRS D001020024 -2.17.2The Application shall provide secure tunnel Communications channel</t>
  </si>
  <si>
    <t>1) Gaining access to the portal 
2) Accessing confidential data, 
3) Lead misuse of confidential data
4)  Company defamation</t>
  </si>
  <si>
    <t>1. Require that administrators establish multi factor authentication for their administrator and non-administrative accounts.
2. Access to a machine (either remotely or locally) should be blocked for administrator-level accounts.
3. Ensure default credentials not existing for any assets (such as applications, operating systems, routers, firewalls, wireless access points).</t>
  </si>
  <si>
    <t>1) Bring down the service availability 
2) Blocking the end user usage</t>
  </si>
  <si>
    <t xml:space="preserve">1. Asset should be behind stateful firewall
2. Anti-virus with updated virus definitions
3. System log capturing any abnormal activity identified/reported by the application
4.  Use hardened interfaces (n/w) &amp; secure tunnel communications channel </t>
  </si>
  <si>
    <t>Information of health data can be exploit and disclose with various means like network, tablet etc.  .</t>
  </si>
  <si>
    <t xml:space="preserve">1.  Identification of the sensitive data in storage and encryption of storage subsystem
2. Stateful firewall
3. Hardening of the host system containing sensitive data at rest 
4. Maintain access control (read/modify) permission list for any sensitive &amp; unencrypted data if present.
5. Use strong encrption algorithm </t>
  </si>
  <si>
    <t>1. Use secure tunnel communication channel
2. Configure and upgrade routers for the n/w security
3. Configure firewalls to reject any packets with spoofed addresses.
4. Maintain access control (read/modify) permission list for any sensitive &amp; unencrypted data if present.
5. For sensitive data proper encryption mechanism needs to be 
designed &amp; implemented</t>
  </si>
  <si>
    <t>1. SRS D001020024 -2.17.2The Application shall provide secure tunnel Communications channel
SRS D001020023 -2.13.3The Application shall provide secure tunnel Communications channel
2. SOM D001020115 - 16. Transmission confidentiality and integrity
3. SOM D001020115 - 23. Malware Detection/Protection
4. SOM D001020115 - 05. Access control policy and management
5. SAD/SDD-D001020099-6.7 Security</t>
  </si>
  <si>
    <t>1. Statefull firewall
2. Configure and upgrade routers for the n/w security
3. Configure firewalls to reject any packets with spoofed addresses.
4. Use secure tunnel communication channel</t>
  </si>
  <si>
    <t>1. SOM D001020115 - 23. Malware Detection/Protection
2. SOM D001020115 - 16. Transmission confidentiality and integrity
3. SOM D001020115 - 23. Malware Detection/Protection
4. SRS D001020024 -2.17.2The Application shall provide secure tunnel Communications channel</t>
  </si>
  <si>
    <t xml:space="preserve">1. Weak algorithms such as DES, RC4, etc.. should be avoided and usage of  strong algorithms such as AES, RSA, etc.. are recomended
2. Typical key lengths are 128 and 256 bits for private keys and 2048 for public keys are recommended.
</t>
  </si>
  <si>
    <t xml:space="preserve">1. Asset should be behind stateful firewall
2. Anti-virus with updated virus definitions
3. Audit/System log capturing any abnormal activity identified/reported by the application identified/reported by the application
4.  Use hardened interfaces (n/w) &amp; secure tunnel communications channel </t>
  </si>
  <si>
    <t xml:space="preserve">1. SOM D001020115 - 23. Malware Detection/Protection
2.SRS D001020024 -2.17.6The Application shall support the use of anti-malware mechanism
3.SRS D001020024 -2.23.1 The Application shall have logs of tablet application and firmware (SmartMedic devices).
4. SRS D001020024 -2.17.2The Application shall provide secure tunnel Communications channel
</t>
  </si>
  <si>
    <t xml:space="preserve">1. Anonymization/Pseudomyzation of patient details
2. Data encyrption
3. Audit/System log - Maintain Access logs (login (attempted &amp; failed), logoff, id change)
4. Audit/System log - Maintain security logs (such as change/modification of system configuration settings, services, etc.) </t>
  </si>
  <si>
    <t>1. Secure communication with Secure Sockets Layer (SSL) or TLS protocols that provide message confidentiality 
2. Secure sensitive data in the channel flow using strong encryption
3. Statefull firewall
4. Proper way of network access control</t>
  </si>
  <si>
    <t>1. SRS D001020024 -2.17.2The Application shall provide secure tunnel Communications channel
2. SAD/SDD-D001020099-6.7 Security
3. SOM D001020115 - 23. Malware Detection/Protection
4. SOM D001020115 - 05. Access control policy and management</t>
  </si>
  <si>
    <t>1) Allowing application or script to perform abnormal activites on the system.
2) Modifying the data, tampering the confidential data making it unavailable or challenging the integrity of data.</t>
  </si>
  <si>
    <t xml:space="preserve">1. SOM D001020115 - 23. Malware Detection/Protection
2.SRS D001020024 -2.17.6The Application shall support the use of anti-malware mechanism
3.SRS D001020024 -2.23.1 The Application shall have logs of tablet application and firmware (SmartMedic devices).
4. SRS D001020024 -2.17.2The Application shall provide secure tunnel Communications channel
</t>
  </si>
  <si>
    <t xml:space="preserve">1. During the access providing, if default password is provided then immediately changing the password is needed. 
Also ensure:
2. Statefull firewall
3. Do not store sensitive data in plaintext.
4. Use strong encrption algorithm.
5. Apply salting over sensitive data.
</t>
  </si>
  <si>
    <t>1) Allowing application or script to perform abnormal activites on the system.
2) Modifying the data, tampering the confidential data making it unavailable or challenging the integrity of data.
3) Information related to authenication/authorisation data (credential/pins/MFA/Biometrics)</t>
  </si>
  <si>
    <t xml:space="preserve">1. During the access providing, if default password is provided then immediately changing the password is needed. 
Also ensure:
2. Statefull firewall
3 Do not store sensitive data in plaintext.
4. Use strong encrption algorithm.
5. Apply salting over sensitive data.
</t>
  </si>
  <si>
    <t xml:space="preserve">1. Strong password strength practices is recommended for admin web app.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
</t>
  </si>
  <si>
    <t>1) Capture your account’s user ID and credentials.
2) Log the data of online traffic accessed on your tablet or computer. In this way, they can maintain a data of the websites you mostly visit, and plan attack from these websites.
3) Gain access to your computer, its network and data.
4) Launch a spam or malware attack on your device.</t>
  </si>
  <si>
    <t xml:space="preserve">SOM responsibility
1. Statefull firewall and using port security on fiewall
2. Configure router wireless security options based on manufacture manual
</t>
  </si>
  <si>
    <t>1.  SOM D001020115 - 23. Malware Detection/Protection
2. SOM D001020115 -11. Configuration settings</t>
  </si>
  <si>
    <t>1) Capture your account’s user ID and credentials.
2) Log the data of online traffic accessed on your tablet or computer. In this way, they can maintain a data of the websites you mostly visit, and plan attack from these websites.
3) Gain access to your computer, its network and data.</t>
  </si>
  <si>
    <t>1. SRS D001020024 -2.17.2The Application shall provide secure tunnel Communications channel
SRS D001020023 -2.13.3The Application shall provide secure tunnel Communications channel
2. SOM D001020115 - 16. Transmission confidentiality and integrity
3. SOM D001020115 - 23. Malware Detection/Protection
4. SOM D001020115 - 05. Access control policy and management
5. SAD/SDD-D001020099-6.7 Security"</t>
  </si>
  <si>
    <t>1) An attacker may attempt to discover a weak credential by systematically trying every possible combination of letters, numbers, and symbols until it discovers the one correct combination that works.</t>
  </si>
  <si>
    <t xml:space="preserve">1. During the access providing, if default password is provided then immediately changing the password is needed. 
Also ensure: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t>
  </si>
  <si>
    <t xml:space="preserve">1. Strong password strength practices is recommended in azure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
</t>
  </si>
  <si>
    <t>1) An attacker may attempt to discover a weak encryption by systematically trying every possible combination of decryption key.</t>
  </si>
  <si>
    <t>1. Implement server-side encryption using Service-Managed keys (provided for azure)
2. Proper way of network access control 
3. Encryption for sensitive data in transit, for ex: when files are moved to cloud storage, etc..
4.  Transfer over encrypted tunnel
5. Use strong encryption algorithm</t>
  </si>
  <si>
    <r>
      <t xml:space="preserve">1. SOM D001020115 - 23. Malware Detection/Protection
2. SOM D001020115 - 16. Transmission confidentiality and integrity
3. SOM D001020115 - 23. Malware Detection/Protection
4. </t>
    </r>
    <r>
      <rPr>
        <sz val="11"/>
        <color rgb="FF000000"/>
        <rFont val="Cambria"/>
        <family val="1"/>
      </rPr>
      <t xml:space="preserve"> </t>
    </r>
    <r>
      <rPr>
        <sz val="11"/>
        <color rgb="FF00000A"/>
        <rFont val="Cambria"/>
        <family val="1"/>
      </rPr>
      <t>SRS D001020024 -2.17.2The Application shall provide secure tunnel Communications channel</t>
    </r>
  </si>
  <si>
    <t>1) This threat may hamper digital or physical resources, infractructure and end points
2) Get the user (employee/ client/ customer) to download malware, send money or perform actions that are dangerous.</t>
  </si>
  <si>
    <t>Adjacent Network</t>
  </si>
  <si>
    <t>Stryker IT team responsibility
1. Ignore/Delete any request seeking for personal info from 3rd parties
2. Statefull firewall
3. Disable device network discoverable
4. Maintain access control (read/modify) permission list for any sensitive &amp; unencrypted data if present.</t>
  </si>
  <si>
    <t>1) This threat may hamper digital or physical resources, infractructure and end points through spear phishing mail 
2) Get the user (employee/ client/ customer) to download malware, send money or perform actions that are dangerous.
3) Reputational harm
4) Economical harm</t>
  </si>
  <si>
    <t>Stryker IT team responsibility
1. Set your spam filters setting options to high
2. Restrict the system getting connected to unauthenticated sources
3. Restrict the system in accessing the 3rd party sites, social engineering sites, mails, etc.. 
4. Configure firewalls to reject any packets with spoofed addresses.</t>
  </si>
  <si>
    <t>1)  Adversary tried to obtain knowledge about system internals
2)  Attempt to find attack vectors 
3)  Executed malicious activities
4)  Complete details related to the attacker/malicious activities not recorded</t>
  </si>
  <si>
    <t>Audit/System log:
All the information needed for identifying the threat (malicious) activity and adversary information needed to be logged for determining the attack vector and attack surface. This helps to make the system less vulnerable in future by correcting those issues.</t>
  </si>
  <si>
    <t>Audit/System log &amp; security:
1. All the information needed for identifying the threat (malicious) activity and adversary information needed to be logged for determining the attack vector and attack surface. This helps to make the system less vulnerable in future by correcting those issues.
2. Audit/System log should be secured from unauthorized access.</t>
  </si>
  <si>
    <t>1. Standard error info messages should be used. Information aiding the attacks should be avoided.
2. Apart from user id there should be additional security factor for verification.
3. Limit on the login attempts is mandatory.</t>
  </si>
  <si>
    <t>1. If database access using keys/certificates, their generation &amp; storage should be done securely.
2. Apart from user id there should be additional security factor (keys/certificates) for verification.
3. Limit on the login attempts is mandatory.</t>
  </si>
  <si>
    <t>1. Azure portal can be accessed by login credentials &amp; MFA. Hence, strong password policies &amp; management are required
2. If database access using keys/certificates, their generation &amp; storage should be done securely.
3. Apart from user id there should be additional security factor for verification.
4. Limit on the login attempts is mandatory.</t>
  </si>
  <si>
    <t>1. If database access provided &amp; also using keys/certificates, their generation &amp; storage should be done securely.
2. Apart from user id there should be additional security factor (keys/certificates) for verification.
3. Limit on the login attempts is mandatory.</t>
  </si>
  <si>
    <t>1. If provisioning got failed/misleaded then the complete functionality gets affected. 
2. Proper reason for the provisioning failure needs to addressed</t>
  </si>
  <si>
    <t>1. All devices which need to be registered &amp; gets communicated in iot hub needs to be identified
2. Proper provisioning needs to be established with secure data transfer during provisioning
3. End-to-end provisioning with iot hub needs to be carried out without getting failed
4. All failure cases during the provisioning need to be documented/addressed</t>
  </si>
  <si>
    <t xml:space="preserve">If there is no proper authentication between the devices in the smart medic environment then 3rd party devices can easily establish the communication with the stryker devices
</t>
  </si>
  <si>
    <t>1. In complete smart medic environment, only authenticated stryker and HDO devices need to be present
2. Secure communication between the stryker devices needs to be established &amp; documented
3. Handling of the unauthenticated 3rd party devices trying to communicate 
with stryker devices needs to be taken care</t>
  </si>
  <si>
    <t>Security Risk Assessment Summary</t>
  </si>
  <si>
    <t>Assets</t>
  </si>
  <si>
    <t>Pre-Controls 
Risk Level</t>
  </si>
  <si>
    <t>Post-Controls Risk Level</t>
  </si>
  <si>
    <t>Common Vulnerability Scoring System (CVSS v3.0)</t>
  </si>
  <si>
    <t>Exploitability Metrics</t>
  </si>
  <si>
    <t>Likelihood of Attack Initiation</t>
  </si>
  <si>
    <t>Privelege Required</t>
  </si>
  <si>
    <t>Rating</t>
  </si>
  <si>
    <t>Score</t>
  </si>
  <si>
    <t>Metric</t>
  </si>
  <si>
    <t>Value</t>
  </si>
  <si>
    <t>Code</t>
  </si>
  <si>
    <t xml:space="preserve">Metric </t>
  </si>
  <si>
    <t>Very Low</t>
  </si>
  <si>
    <t>N</t>
  </si>
  <si>
    <t>L</t>
  </si>
  <si>
    <t>A</t>
  </si>
  <si>
    <t>H</t>
  </si>
  <si>
    <t>R</t>
  </si>
  <si>
    <t>P</t>
  </si>
  <si>
    <t>Very High</t>
  </si>
  <si>
    <t>Technical Impact Metrics</t>
  </si>
  <si>
    <t>In Scope</t>
  </si>
  <si>
    <t>Confidentiality, Integrity, Availability Impact</t>
  </si>
  <si>
    <t>No</t>
  </si>
  <si>
    <r>
      <rPr>
        <sz val="11"/>
        <color rgb="FF111111"/>
        <rFont val="Cambria"/>
        <family val="1"/>
        <charset val="1"/>
      </rPr>
      <t>ISC</t>
    </r>
    <r>
      <rPr>
        <vertAlign val="subscript"/>
        <sz val="11"/>
        <color rgb="FF111111"/>
        <rFont val="Cambria"/>
        <family val="1"/>
        <charset val="1"/>
      </rPr>
      <t>Base</t>
    </r>
    <r>
      <rPr>
        <sz val="11"/>
        <color rgb="FF111111"/>
        <rFont val="Cambria"/>
        <family val="1"/>
        <charset val="1"/>
      </rPr>
      <t> = 1 - [(1−Impact</t>
    </r>
    <r>
      <rPr>
        <vertAlign val="subscript"/>
        <sz val="11"/>
        <color rgb="FF111111"/>
        <rFont val="Cambria"/>
        <family val="1"/>
        <charset val="1"/>
      </rPr>
      <t>Conf</t>
    </r>
    <r>
      <rPr>
        <sz val="11"/>
        <color rgb="FF111111"/>
        <rFont val="Cambria"/>
        <family val="1"/>
        <charset val="1"/>
      </rPr>
      <t>) × (1−Impact</t>
    </r>
    <r>
      <rPr>
        <vertAlign val="subscript"/>
        <sz val="11"/>
        <color rgb="FF111111"/>
        <rFont val="Cambria"/>
        <family val="1"/>
        <charset val="1"/>
      </rPr>
      <t>Integ</t>
    </r>
    <r>
      <rPr>
        <sz val="11"/>
        <color rgb="FF111111"/>
        <rFont val="Cambria"/>
        <family val="1"/>
        <charset val="1"/>
      </rPr>
      <t>) × (1−Impact</t>
    </r>
    <r>
      <rPr>
        <vertAlign val="subscript"/>
        <sz val="11"/>
        <color rgb="FF111111"/>
        <rFont val="Cambria"/>
        <family val="1"/>
        <charset val="1"/>
      </rPr>
      <t>Avail</t>
    </r>
    <r>
      <rPr>
        <sz val="11"/>
        <color rgb="FF111111"/>
        <rFont val="Cambria"/>
        <family val="1"/>
        <charset val="1"/>
      </rPr>
      <t>)]</t>
    </r>
  </si>
  <si>
    <t>An exploited vulnerability can only affect resources managed by the same authority. In this case the vulnerable component and the impacted component are the same.</t>
  </si>
  <si>
    <t>U</t>
  </si>
  <si>
    <t>Changed</t>
  </si>
  <si>
    <t>An exploited vulnerability can affect resources beyond the authorization privileges intended by the vulnerable component.
In this case the vulnerable component and the impacted component are different.</t>
  </si>
  <si>
    <t>C</t>
  </si>
  <si>
    <t>ASSUMPTIONS:</t>
  </si>
  <si>
    <t>Base metrics</t>
  </si>
  <si>
    <t xml:space="preserve">For the purposes of the medical device only Base metrics are considered. The Base metric group represents the intrinsic characteristics of a vulnerability that are constant over time and across user environments. It is composed of two sets of metrics: the Exploitability metrics and the Impact metrics.
The Exploitability metrics reflect the ease and technical means by which the vulnerability can be exploited. That is, they represent characteristics of the thing that is vulnerable, which we refer to formally as the vulnerable component. On the other hand, the Impact metrics reflect the direct consequence of a successful exploit, and represent the consequence to the thing that suffers the impact, which we refer to formally as the impacted component.
The document only considers the mandatory base metric since the device is typically utilized in tightly controlled user environments such as hospitals and this is already a consideration of this assessment document. The changing charecteristics of vulnerabilities will be assessed seperately through the software development lifecycle </t>
  </si>
  <si>
    <t>Threat Sources</t>
  </si>
  <si>
    <t>Adversarial Threat</t>
  </si>
  <si>
    <t>Non-Adverserial Threat</t>
  </si>
  <si>
    <t>ID#</t>
  </si>
  <si>
    <t>In Scope (Y/N)</t>
  </si>
  <si>
    <t>Source</t>
  </si>
  <si>
    <t>TSA-1</t>
  </si>
  <si>
    <t>Individual (Disgruntled/Ex-Employees, Outsider, Insider, Trusted Insider, Priveleged Insider)</t>
  </si>
  <si>
    <t>Y</t>
  </si>
  <si>
    <t>TSN-1</t>
  </si>
  <si>
    <t>Accidental (Priveleged User/Administrator, inexperienced user, inexperienced installer, inexperienced maintainer, unintentional misuse)</t>
  </si>
  <si>
    <t>TSA-2</t>
  </si>
  <si>
    <t>Organization (Competitor, Supplier, Partner, Customer, Researcher)</t>
  </si>
  <si>
    <t>TSN-2</t>
  </si>
  <si>
    <t>Researchers (Professional Security, Academic)</t>
  </si>
  <si>
    <t>TSA-3</t>
  </si>
  <si>
    <t>Script Kiddies</t>
  </si>
  <si>
    <t>TSN-3</t>
  </si>
  <si>
    <t>Vulnerable systems/devices connected to device (e.g., via RS-232, USB, or other connections)</t>
  </si>
  <si>
    <t>TSA-4</t>
  </si>
  <si>
    <t>Political Activists (Hactivists, Anonymous, Wikileaks)</t>
  </si>
  <si>
    <t>TSN-4</t>
  </si>
  <si>
    <t>Incompatible Software (OS, Networking, Applications)</t>
  </si>
  <si>
    <t>TSA-5</t>
  </si>
  <si>
    <t>Organized Crime (Cyber Terrorists)</t>
  </si>
  <si>
    <t>TSN-5</t>
  </si>
  <si>
    <t>Environmental Impact (IT equipment, Temperature/Humidity Controls, RF Interference)</t>
  </si>
  <si>
    <t>TSA-6</t>
  </si>
  <si>
    <t>Nation States</t>
  </si>
  <si>
    <t>TSN-6</t>
  </si>
  <si>
    <t>Natural/Man-Made Disaster (Fire, Flood/Tsunami, Windstorm/Tornado, Earthquake, Bombing, Telecommunications/Power Failure)</t>
  </si>
  <si>
    <t>Adversarial Threat Events</t>
  </si>
  <si>
    <t>Relevance of Threat Event (L/M/H)</t>
  </si>
  <si>
    <t>Liklihood of Threat Event Initiation
(L/M/H)</t>
  </si>
  <si>
    <t>Liklihood of Threat Event Resulting in Adverse Impacts
(L/M/H)</t>
  </si>
  <si>
    <t>Overall Likelihood of Threat Event</t>
  </si>
  <si>
    <t>TEA-1</t>
  </si>
  <si>
    <t xml:space="preserve">Perform perimeter network reconnaissance/scanning. </t>
  </si>
  <si>
    <t xml:space="preserve">Adversary uses commercial or free software to scan organizational perimeters to obtain a better understanding of the information technology infrastructure and improve the ability to launch successful attacks. </t>
  </si>
  <si>
    <t>Possible</t>
  </si>
  <si>
    <t>Feature/Function</t>
  </si>
  <si>
    <t>Risk Controls</t>
  </si>
  <si>
    <t xml:space="preserve">1. Only stryker made/authenticated devices should communicate with smart medic device &amp; tablet
2. Asset should be behind stateful firewall
3.  Use secure tunnel communications channel </t>
  </si>
  <si>
    <t>1. SRS D001020024 - 2.17.8 - Only Stryker made/ authenticated devices should be able to communicate with SM device and tablet.
2. SOM D001020115 - 23. Malware Detection/Protection
3. SRS D001020024 -2.17.2The Application shall provide secure tunnel Communications channel</t>
  </si>
  <si>
    <t xml:space="preserve">1. Only Stryker/HDO authenticated devices should communicate with smart medic device &amp; tablet
2. Asset should be behind stateful firewall
3. Use secure tunnel communications channel </t>
  </si>
  <si>
    <t>1. Admin application can be accessed by login credentials &amp; MFA. Hence, strong password policies &amp; management are required
2. Data transfer between the admin application and the smart medic components needs to be encrypted &amp; secured.
3. Any vulnerable network ports and connection points should be identified and hardened.
4. Maintain access control (read/modify) permission list for any sensitive &amp; unencrypted data if present.
5. Stateful firewall</t>
  </si>
  <si>
    <t xml:space="preserve">1. SRS D001020097 –  2.1.2.3The Application shall have the ‘Remember me’ feature for login credentials and all the data which we shall store inside local storage shall be encrypted.
SAD/SDD-D001020099-6.7 Security
2.SAD/SDD-D001020099-6.7 Security
SRS D001020023-2.13.2System shall store patient id in anonymized fashion.
                                                                                           3.  SRS D001020097 – 2.1.2.1.1 Invalid email or password, only 3 attempts left. 
SRS D001020023-2.1.2.1.1 Invalid hospital code, only 3 attempts left. 
4.SRS D001020097 –2.1.7.1.1 Something went wrong with API operation try again / contact API admin.
SRS D001020023-2.1.4.1.1 Something went wrong with API operation try again / contact API admin.                      </t>
  </si>
  <si>
    <r>
      <t>1. SRS D001020097 –  2.1.2.3The Application shall have the ‘Remember me’ feature for login credentials and all the data which we shall store inside local storage shall be encrypted.
SAD/SDD-D001020099-6.7 Security
2.SAD/SDD-D001020099-6.7 Security
                                                                                           3.  SRS D001020097 – 2.1.2.1.1 Invalid email or password, only 3 attempts left. 
4.SRS D001020097 –2.1.7.1.1 Something went wrong with API operation try again / contact API admin.</t>
    </r>
    <r>
      <rPr>
        <sz val="11"/>
        <color rgb="FF00B0F0"/>
        <rFont val="Cambria"/>
        <family val="1"/>
      </rPr>
      <t xml:space="preserve">
</t>
    </r>
    <r>
      <rPr>
        <sz val="11"/>
        <rFont val="Cambria"/>
        <family val="1"/>
      </rPr>
      <t xml:space="preserve">
          </t>
    </r>
  </si>
  <si>
    <r>
      <t>1.</t>
    </r>
    <r>
      <rPr>
        <sz val="11"/>
        <color rgb="FF00B0F0"/>
        <rFont val="Cambria"/>
        <family val="1"/>
      </rPr>
      <t xml:space="preserve"> </t>
    </r>
    <r>
      <rPr>
        <sz val="11"/>
        <rFont val="Cambria"/>
        <family val="1"/>
      </rPr>
      <t>SRS D001020097 –  2.1.2.3The Application shall have the ‘Remember me’ feature for login credentials and all the data which we shall store inside local storage shall be encrypted.
2. SOM D001020115 - 23. Malware Detection/Protection
3. SAD/SDD-D001020099-6.7 Security
4. SRS D001020097 : 2.25.1 :Application shall have the User Management Screen to configure and manage the users as per the roles.
5.SAD/SDD-D001020099-6.7 Security</t>
    </r>
  </si>
  <si>
    <t>1. Implement server-side encryption using Service-Managed keys/recomended practise by azure.
2. Proper way of network access control 
3. Encryption for sensitive data in transit, for ex: when files are moved to cloud storage, etc..
4. Transfer over encrypted tunnel
5. Use strong encryption algorithm</t>
  </si>
  <si>
    <t xml:space="preserve">1. SRS D001020097 –2.8.1Application shall use APIs to communicate between browser application and the backend.
2. SRS D001020097 –2.8.1Application shall use APIs to communicate between browser application and the backend.
</t>
  </si>
  <si>
    <r>
      <rPr>
        <sz val="11"/>
        <rFont val="Cambria"/>
        <family val="1"/>
      </rPr>
      <t>1. SAD/SDD-D001020099-6.7 Security</t>
    </r>
    <r>
      <rPr>
        <sz val="11"/>
        <color rgb="FF000000"/>
        <rFont val="Cambria"/>
        <family val="1"/>
      </rPr>
      <t xml:space="preserve">
2. SOM D001020115 - 23. Malware Detection/Protection
3. SAD/SDD-D001020099-6.7 Security
4. SOM D001020115 - 05 Access control policy and management
5. SAD/SDD-D001020099-6.7 Security</t>
    </r>
  </si>
  <si>
    <t>1. SOM D001020115 - 23. Malware Detection/Protection
2,3,4. SRS D001020025</t>
  </si>
  <si>
    <t xml:space="preserve">1. SOM D001020115 - 23. Malware Detection/Protection
2,3,4. SRS D001020025
</t>
  </si>
  <si>
    <t>1. SRS D001020025
2. SOM D001020115 - 23. Malware Detection/Protection
3. SRS D001020025</t>
  </si>
  <si>
    <t>1. NSA-SDD-D001020110-4.2.2-Azure Cloud Infrastructure
2. SOM D001020115 - 05. Access control policy and management
3. SAD/SDD-D001020099-6.7 Security
Tablet-SDD-D001020040-6.7-Security
NSA-SAD-D001020031-6.7-Security
4. SRS D001020024 – 2.17.2The Application shall provide secure tunnel Communications channel
SRS D001020023- 2.13.3The Application shall provide secure tunnel Communications channel
NSA-SDD-D001020110-4.2.1-Nurse Station Web Services
5. NSA-SAD-D001020031-6.7-Security"</t>
  </si>
  <si>
    <t>1. NSA-SDD-D001020110-4.2.2-Azure Cloud Infrastructure
2. SOM D001020115 - 05. Access control policy and management
3. SAD/SDD-D001020099-6.7 Security
Tablet-SDD-D001020040-6.7-Security
NSA-SAD-D001020031-6.7-Security
4. SRS D001020024 – 2.17.2The Application shall provide secure tunnel Communications channel
SRS D001020023- 2.13.3The Application shall provide secure tunnel Communications channel
NSA-SDD-D001020110-4.2.1-Nurse Station Web Services
5. NSA-SAD-D001020031-6.7-Security</t>
  </si>
  <si>
    <t>1.SRS D001020023- 2.1.6.21The application shall allow to assign and edit  patient reference ID to patient.
2. SAD/SDD-D001020099-6.7 Security
Tablet-SDD-D001020040-6.7-Security
NSA-SAD-D001020031-6.7-Security
3.SRS D001020024 -2.23.1 The Application shall have logs of tablet application and firmware (SmartMedic devices).
4.SRS D001020024 -2.23.1 The Application shall have logs of tablet application and firmware (SmartMedic devices).</t>
  </si>
  <si>
    <t>&lt;08 April 2022&gt;</t>
  </si>
  <si>
    <t>Using web app the admin can able to view the functionality of different components existing in the SM platform. Admin app doesnt control any of the system components. Hence the risk associated to the SM platform with admin web app can be ignored.</t>
  </si>
  <si>
    <t>1. SOM D001020115 - 23. Malware Detection/Protection
2. Using web app the admin can able to view the functionality of different components existing in the SM platform. Admin app doesnt control any of the system components. Hence the risk associated to the SM platform with admin web app can be ignored.
3.SRS D001020097 – 2.23.2The Application shall provide facility of audit logs for storing the user activity details.
4.SRS D001020097 –2.17.5The Application shall provide secure tunnel Communications channel</t>
  </si>
  <si>
    <t>The setup &amp; configuration process of azure cloud admin shall be documented and published within the organization for the corresponding teams using the admin portal</t>
  </si>
  <si>
    <t>1,2. SAD - D001020031 - 2.2.1.7 - Cosmos DB
3. Have to be closed before DR-8</t>
  </si>
  <si>
    <t>1. SRS D001020023- 2.17.3 Generic messages should be displayed upon validation of credentials to mitigate the risk of account harvesting and enumeration.
2. SAD - D001020031 - 2.2.1.7 - Cosmos DB                                                                                          3. Have to be closed before DR-8</t>
  </si>
  <si>
    <t>1. SAD - D001020031 - 2.2.1.7 - Cosmos DB
2. SAD - D001020031 - 2.2.1.7 - Cosmos DB                                                                                        3. Have to be closed before DR-8</t>
  </si>
  <si>
    <t>1. Using web app the admin can able to view the functionality of different components existing in the SM platform. Admin app doesnt control any of the system components. Hence the risk associated to the SM platform with admin web app can be ignored.
2. SOM D001020115 - 23. Malware Detection/Protection
3.SRS D001020097 –2.1.7.2
The application shall allow to upgrade the tablet application.
4. SRS D001020097 - 2.1.2.4 - Never create/use credentials with personal details such as date of birth, spouse, or child’s or pet’s name
5.SOM D001020115 - 23. Malware Detection/Protection</t>
  </si>
  <si>
    <r>
      <rPr>
        <sz val="11"/>
        <rFont val="Cambria"/>
        <family val="1"/>
      </rPr>
      <t>1. Have to be closed before DR-8</t>
    </r>
    <r>
      <rPr>
        <sz val="11"/>
        <color rgb="FF000000"/>
        <rFont val="Cambria"/>
        <family val="1"/>
      </rPr>
      <t xml:space="preserve">
2. SAD/SDD-D001020099-6.7 Security
3. SRS D001020097  -2.17.4 The Application shall establish technical controls to mitigate the potential for compromise to the integrity and confidentiality of health data stored on the product or removable media
Since admin application shall be hosted as an independent azure web app and it shall have no open ports until there is explicit requirement.
4. SRS D001020097 : 2.25.1 :Application shall have the User Management Screen to configure and manage the users as per the roles.
5. SOM D001020115 - 23. Malware Detection/Protection</t>
    </r>
  </si>
  <si>
    <r>
      <rPr>
        <sz val="11"/>
        <rFont val="Cambria"/>
        <family val="1"/>
      </rPr>
      <t>1. Have to be closed before DR-8</t>
    </r>
    <r>
      <rPr>
        <sz val="11"/>
        <color rgb="FF000000"/>
        <rFont val="Cambria"/>
        <family val="1"/>
        <charset val="1"/>
      </rPr>
      <t xml:space="preserve">
2. SRS D001020097 – 2.1.2.6 The Application shall be validated by using invisible captcha during login.
3. SRS D001020097 – 2.1.2.1.1 Invalid email or password, only 3 attempts left. </t>
    </r>
    <r>
      <rPr>
        <sz val="11"/>
        <color rgb="FF00B0F0"/>
        <rFont val="Cambria"/>
        <family val="1"/>
      </rPr>
      <t xml:space="preserve">
</t>
    </r>
    <r>
      <rPr>
        <sz val="11"/>
        <color rgb="FF000000"/>
        <rFont val="Cambria"/>
        <family val="1"/>
        <charset val="1"/>
      </rPr>
      <t xml:space="preserve">
4. SRS D001020097 - 2.23.2 - Audit logs 
5. SRS D001020097 - 2.23.2 - Audit logs                                                                                     
                                                                                           6. SAD/SDD-D001020099-6.7 Security"</t>
    </r>
  </si>
  <si>
    <t>Have to be closed before DR-8</t>
  </si>
  <si>
    <t>1. Have to be closed before DR-8
2. SRS D001020024 - 2.17.8 - Only Stryker made/ authenticated devices should be able to communicate with SM device and tablet.
3. SRS D001020024 - 2.17.8 - Only Stryker made/ authenticated devices should be able to communicate with SM device and tablet.</t>
  </si>
  <si>
    <t>1. Have to be closed before DR-8
2. 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 SRS D001020097 - 2.23.2 - Audit logs 
5. SRS D001020097 - 2.23.2 - Audit logs 
6.SAD/SDD-D001020099-6.7 Security</t>
  </si>
  <si>
    <t>1.Have to be closed before DR-8
                                                                                2. 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 SRS D001020097 - 2.23.2 - Audit logs 
5. SRS D001020097 - 2.23.2 - Audit logs                                                                                     
                                                                                           6. SAD/SDD-D001020099-6.7 Security</t>
  </si>
  <si>
    <t>1. Have to be closed before DR-8
2.SRS D001020023-2.1.2.2 If the Hospital Code is valid, then on pressing the PROCEED button, the application shall be validated by the invisible captcha
SRS D001020097 – 2.1.2.6 The Application shall be validated by using invisible captcha during login.
3.SRS D001020097 – 2.1.2.1.1 Invalid email or password, only 3 attempts left. 
SRS D001020023-2.1.2.1.1 Invalid hospital code, only 3 attempts left. 
4. SRS D001020097 - 2.23.2 - Audit logs 
5. SRS D001020097 - 2.23.2 - Audit logs 
6.SAD/SDD-D001020099-6.7 Security</t>
  </si>
  <si>
    <t>1. Have to be closed before DR-8
2. 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 SRS D001020097 - 2.23.2 - Audit logs 
5. SRS D001020097 - 2.23.2 - Audit logs                                                                                     
                                                                                           6. SAD/SDD-D001020099-6.7 Security</t>
  </si>
  <si>
    <r>
      <rPr>
        <sz val="11"/>
        <rFont val="Cambria"/>
        <family val="1"/>
      </rPr>
      <t>1. Have to be closed before DR-8</t>
    </r>
    <r>
      <rPr>
        <sz val="11"/>
        <color rgb="FF000000"/>
        <rFont val="Cambria"/>
        <family val="1"/>
        <charset val="1"/>
      </rPr>
      <t xml:space="preserve">
2. .SRS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 SRS D001020097 - 2.23.2 - Audit logs 
5. SRS D001020097 - 2.23.2 - Audit logs                                                                                     
                                                                                           6. SAD/SDD-D001020099-6.7 Security</t>
    </r>
  </si>
  <si>
    <t>Device maintainence tool not implemented/existing in the SM platform.</t>
  </si>
  <si>
    <t>The setup &amp; configuration process of azure cloud &amp; admin shall be documented and published within the organization for the corresponding teams using the admin portal</t>
  </si>
  <si>
    <t>1. The setup &amp; configuration process of azure cloud &amp; admin shall be documented and published within the organization for the corresponding teams using the admin portal
2 - SAD - D001020031 - 2.2.1.7 - Cosmos DB                                                                                          3. The setup &amp; configuration process of azure cloud &amp; admin shall be documented and published within the organization for the corresponding teams using the admin portal</t>
  </si>
  <si>
    <t xml:space="preserve">1. Have to be closed before DR-8
2.SRS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4.SRS D001020097 – 2.23.2 The Application shall provide facility of audit logs for storing the user activity details.
</t>
  </si>
  <si>
    <r>
      <rPr>
        <sz val="11"/>
        <rFont val="Cambria"/>
        <family val="1"/>
      </rPr>
      <t xml:space="preserve">1.SRS D001020023-2.1.2.2 If the Hospital Code is valid, then on pressing the PROCEED button, the application shall be validated by the invisible captcha
SRS D001020097 – 2.1.2.6 The Application shall be validated by using invisible captcha during login
</t>
    </r>
    <r>
      <rPr>
        <sz val="11"/>
        <color rgb="FF000000"/>
        <rFont val="Cambria"/>
        <family val="1"/>
      </rPr>
      <t xml:space="preserve">
2. SAD D001020032 5.3 TCP/IP Communication 
3. Have to be closed before DR-8</t>
    </r>
  </si>
  <si>
    <t>1. Have to be closed before DR-8
2. SOM D001020115 - 23. Malware Detection/Protection
3.  SAD/SDD-D001020099-6.7 Security
SRS D001020023-2.13.2System shall store patient id in anonymized fashion.
4.SAD/SDD-D001020099-6.7 Security
5.SAD/SDD-D001020099-6.7 Security
SRS D001020023-2.13.2System shall store patient id in anonymized fashion.</t>
  </si>
  <si>
    <t xml:space="preserve">1. Have to be closed before DR-8
2. SRS D001020097 – 2.1.2.6 The Application shall be validated by using an invisible captcha during login.
3. SRS D001020097 – 2.1.2.1.1 Invalid email or password, only 3 attempts left. 
SRS D001020023-2.1.2.1.1 Invalid hospital code, only 3 attempts left. 
4. SRS D001020097 - 2.23.2 - Audit logs 
5. SRS D001020097 - 2.23.2 - Audit logs                                                                                     
</t>
  </si>
  <si>
    <t>Pragya Nidhi</t>
  </si>
  <si>
    <t xml:space="preserve">Test Engineering </t>
  </si>
  <si>
    <t>Design Engineering R&amp;D (Software)</t>
  </si>
  <si>
    <t>Initial Release DR1-4 Document was reviewed but not approved and archived, thus archiving</t>
  </si>
  <si>
    <t>NA</t>
  </si>
  <si>
    <t>SmartMedic Phase II</t>
  </si>
  <si>
    <t xml:space="preserve">&lt;Author Name / Function / Organization&gt; Deepak Sharma / Design Engineering R&amp;D  Software
&lt;Author Name / Function / Organization&gt; </t>
  </si>
  <si>
    <t>Document updated as per DR5-7 requirements
-Security Controls/Mitigations
-Security Risk Control Measures
-Implementation of Risk Control Measures
-Verification of Risk Control Measures
(Effectiveness)</t>
  </si>
  <si>
    <t xml:space="preserve">Penetration Testing Protocol Document #: D001020037: 
1) DSTC001: GSL-STC-027
2) DSTC001: GSL-STC-029
</t>
  </si>
  <si>
    <t xml:space="preserve">Penetration Testing Protocol Document #: D001020037: 
1) DSTC001: GSL-STC-026 </t>
  </si>
  <si>
    <t xml:space="preserve">Penetration Testing Protocol Document #: D001020037: 
1) DSTC001: GSL-STC-030
2) DSTC001: GSL-STC-010
3) DSTC001: GSL-STC-010
</t>
  </si>
  <si>
    <t xml:space="preserve">1) Malicious utilization of  computer resources
2) computing power  
3) denial of service attacks, 
4) ransomware attack 
5) Bitcoin mining, etc </t>
  </si>
  <si>
    <t xml:space="preserve">Penetration Testing Protocol Document #: D001020037: 
DSTC001: GSL-STC-01 
</t>
  </si>
  <si>
    <t xml:space="preserve">Penetration Testing Protocol Document #: D001020037: 
DSTC001: GSL-STC-02
</t>
  </si>
  <si>
    <t xml:space="preserve">Penetration Testing Protocol Document #: D001020037: 
DSTC001: GSL-STC-03
</t>
  </si>
  <si>
    <t>Penetration Testing Protocol Document #: D001020037: 
 DSTC001 - GSL-STC-04</t>
  </si>
  <si>
    <t>Penetration Testing Protocol Document #: D001020037: 
DSTC001: GSL-STC-05</t>
  </si>
  <si>
    <t>Penetration Testing Protocol Document #: D001020037: 
DSTC001 - GSL-STC-06</t>
  </si>
  <si>
    <t>Penetration Testing Protocol Document #: D001020037: 
DSTC001: GSL-STC-07</t>
  </si>
  <si>
    <t xml:space="preserve">Penetration Testing Protocol Document #: D001020037: 
 DSTC001: GSL-STC-08
</t>
  </si>
  <si>
    <t xml:space="preserve">Penetration Testing Protocol Document #: D001020037: 
DSTC001: GSL-STC-09
</t>
  </si>
  <si>
    <t>Penetration Testing Protocol Document #: D001020037: 
DSTC001: GSL-STC-10</t>
  </si>
  <si>
    <t xml:space="preserve">Penetration Testing Protocol Document #: D001020037: 
 DSTC001: GSL-STC-11 
</t>
  </si>
  <si>
    <t xml:space="preserve">Penetration Testing Protocol Document #: D001020037: 
 DSTC001: GSL-STC-12
</t>
  </si>
  <si>
    <t xml:space="preserve">Penetration Testing Protocol Document #: D001020037: 
DSTC001: GSL-STC-13 
</t>
  </si>
  <si>
    <t xml:space="preserve">Penetration Testing Protocol Document #: D001020037: 
DSTC001: GSL-STC-14
</t>
  </si>
  <si>
    <t xml:space="preserve">Penetration Testing Protocol Document #: D001020037: 
DSTC001: GSL-STC-15 
</t>
  </si>
  <si>
    <t xml:space="preserve">Penetration Testing Protocol Document #: D001020037: 
DSTC001: GSL-STC-16
</t>
  </si>
  <si>
    <t xml:space="preserve">Penetration Testing Protocol Document #: D001020037: 
DSTC001: GSL-STC-17 
</t>
  </si>
  <si>
    <t>Penetration Testing Protocol Document #: D001020037: 
DSTC001: GSL-STC-18</t>
  </si>
  <si>
    <t xml:space="preserve">Penetration Testing Protocol Document #: D001020037: 
DSTC001: GSL-STC-19
</t>
  </si>
  <si>
    <t xml:space="preserve">Penetration Testing Protocol Document #: D001020037: 
DSTC001: GSL-STC-20 
</t>
  </si>
  <si>
    <t>Penetration Testing Protocol Document #: D001020037: 
DSTC001: GSL-STC-21</t>
  </si>
  <si>
    <t xml:space="preserve">Penetration Testing Protocol Document #: D001020037: 
DSTC001: GSL-STC-22
</t>
  </si>
  <si>
    <t xml:space="preserve">Penetration Testing Protocol Document #: D001020037: 
DSTC001: GSL-STC-23 
</t>
  </si>
  <si>
    <t xml:space="preserve">Penetration Testing Protocol Document #: D001020037: 
DSTC001: GSL-STC-24 
</t>
  </si>
  <si>
    <t xml:space="preserve">Penetration Testing Protocol Document #: D001020037: 
DSTC001: GSL-STC-25 
</t>
  </si>
  <si>
    <t xml:space="preserve">Penetration Testing Protocol Document #: D001020037: 
DSTC001: GSL-STC-26
</t>
  </si>
  <si>
    <t xml:space="preserve">Penetration Testing Protocol Document #: D001020037: 
DSTC001: GSL-STC-27
</t>
  </si>
  <si>
    <t>Penetration Testing Protocol Document #: D001020037: 
DSTC001: GSL-STC-28</t>
  </si>
  <si>
    <t xml:space="preserve">Penetration Testing Protocol Document #: D001020037: 
DSTC001: GSL-STC-29
</t>
  </si>
  <si>
    <t xml:space="preserve">Penetration Testing Protocol Document #: D001020037: 
DSTC001: GSL-STC-30
</t>
  </si>
  <si>
    <t xml:space="preserve">Penetration Testing Protocol Document #: D001020037: 
DSTC001: GSL-STC-31
</t>
  </si>
  <si>
    <t xml:space="preserve">Penetration Testing Protocol Document #: D001020037: 
DSTC001: GSL-STC-32
</t>
  </si>
  <si>
    <t>Penetration Testing Protocol Document #: D001020037: 
DSTC001: GSL-STC-34</t>
  </si>
  <si>
    <t>Penetration Testing Protocol Document #: D001020037:
DSTC001: GSL-STC-35</t>
  </si>
  <si>
    <t>Penetration Testing Protocol Document #: D001020037: 
DSTC001: GSL-STC-36</t>
  </si>
  <si>
    <t xml:space="preserve">Penetration Testing Protocol Document #: D001020037: 
DSTC001: GSL-STC-37 </t>
  </si>
  <si>
    <t xml:space="preserve">Penetration Testing Protocol Document #: D001020037: 
DSTC001: GSL-STC-38
</t>
  </si>
  <si>
    <t xml:space="preserve">Penetration Testing Protocol Document #: D001020037: 
DSTC001: GSL-STC-39 
</t>
  </si>
  <si>
    <t xml:space="preserve">Penetration Testing Protocol Document #: D001020037: 
DSTC001: GSL-STC-40
</t>
  </si>
  <si>
    <t>Penetration Testing Protocol Document #: D001020037: 
DSTC001: GSL-STC-41</t>
  </si>
  <si>
    <t xml:space="preserve">Penetration Testing Protocol Document #: D001020037: 
DSTC001: GSL-STC-42
</t>
  </si>
  <si>
    <t>Penetration Testing Protocol Document #: D001020037: 
DSTC001: GSL-STC-44</t>
  </si>
  <si>
    <t xml:space="preserve">Penetration Testing Protocol Document #: D001020037: 
DSTC001: GSL-STC-45
</t>
  </si>
  <si>
    <t>Penetration Testing Protocol Document #: D001020037: 
DSTC001: GSL-STC-48</t>
  </si>
  <si>
    <t xml:space="preserve">Penetration Testing Protocol Document #: D001020037: 
DSTC001: GSL-STC-49
</t>
  </si>
  <si>
    <t xml:space="preserve">Penetration Testing Protocol Document #: D001020037: 
DSTC001: GSL-STC-50
</t>
  </si>
  <si>
    <t>Penetration Testing Protocol Document #: D001020037: 
DSTC001: GSL-STC-53</t>
  </si>
  <si>
    <t>Penetration Testing Protocol Document #: D001020037: 
DSTC001: GSL-STC-56</t>
  </si>
  <si>
    <t xml:space="preserve">Penetration Testing Protocol Document #: D001020037: 
DSTC001: GSL-STC-59
</t>
  </si>
  <si>
    <t>Penetration Testing Protocol Document #: D001020037: 
DSTC001: GSL-STC-64</t>
  </si>
  <si>
    <t>Penetration Testing Protocol Document #: D001020037: 
DSTC001: GSL-STC-66</t>
  </si>
  <si>
    <t>Penetration Testing Protocol Document #: D001020037: 
DSTC001: GSL-STC-67</t>
  </si>
  <si>
    <t>Penetration Testing Protocol Document #: D001020037: 
DSTC001: GSL-STC-68</t>
  </si>
  <si>
    <t xml:space="preserve">Penetration Testing Protocol Document #: D001020037: 
DSTC001: GSL-STC-69
</t>
  </si>
  <si>
    <t xml:space="preserve">Penetration Testing Protocol Document #: D001020037: 
DSTC001: GSL-STC-70
</t>
  </si>
  <si>
    <t xml:space="preserve">Penetration Testing Protocol Document #: D001020037: 
DSTC001: GSL-STC-71
</t>
  </si>
  <si>
    <t>Penetration Testing Protocol Document #: D001020037: 
DSTC001: GSL-STC-72</t>
  </si>
  <si>
    <t>Penetration Testing Protocol Document #: D001020037: 
DSTC001: GSL-STC-73</t>
  </si>
  <si>
    <t>Penetration Testing Protocol Document #: D001020037: 
DSTC001: GSL-STC-74</t>
  </si>
  <si>
    <t>Penetration Testing Protocol Document #: D001020037: 
DSTC001: GSL-STC-75</t>
  </si>
  <si>
    <t>Penetration Testing Protocol Document #: D001020037: 
DSTC001: GSL-STC-77</t>
  </si>
  <si>
    <t>Penetration Testing Protocol Document #: D001020037: 
DSTC001: GSL-STC-78</t>
  </si>
  <si>
    <t>Penetration Testing Protocol Document #: D001020037: 
DSTC001: GSL-STC-79</t>
  </si>
  <si>
    <t xml:space="preserve">Penetration Testing Protocol Document #: D001020037: 
DSTC001: GSL-STC-80
</t>
  </si>
  <si>
    <t xml:space="preserve">Penetration Testing Protocol Document #: D001020037: 
DSTC001: GSL-STC-81
</t>
  </si>
  <si>
    <t xml:space="preserve">Penetration Testing Protocol Document #: D001020037: 
DSTC001: GSL-STC-82
</t>
  </si>
  <si>
    <t xml:space="preserve">Penetration Testing Protocol Document #: D001020037: 
DSTC001: GSL-STC-83
</t>
  </si>
  <si>
    <t xml:space="preserve">Penetration Testing Protocol Document #: D001020037: 
DSTC001: GSL-STC-84
</t>
  </si>
  <si>
    <t xml:space="preserve">Penetration Testing Protocol Document #: D001020037: 
DSTC001: GSL-STC-85
</t>
  </si>
  <si>
    <t xml:space="preserve">Penetration Testing Protocol Document #: D001020037: 
DSTC001: GSL-STC-86
</t>
  </si>
  <si>
    <t xml:space="preserve">Penetration Testing Protocol Document #: D001020037: 
DSTC001: GSL-STC-87
</t>
  </si>
  <si>
    <t xml:space="preserve">Penetration Testing Protocol Document #: D001020037: 
DSTC001: GSL-STC-89
</t>
  </si>
  <si>
    <t xml:space="preserve">Penetration Testing Protocol Document #: D001020037: 
DSTC001: GSL-STC-90
</t>
  </si>
  <si>
    <t xml:space="preserve">Penetration Testing Protocol Document #: D001020037: 
DSTC001: GSL-STC-91
</t>
  </si>
  <si>
    <t xml:space="preserve">Penetration Testing Protocol Document #: D001020037: 
DSTC001: GSL-STC-92
</t>
  </si>
  <si>
    <t xml:space="preserve">Penetration Testing Protocol Document #: D001020037: 
DSTC001: GSL-STC-93
</t>
  </si>
  <si>
    <t>Penetration Testing Protocol Document #: D001020037: 
DSTC001: GSL-STC-96</t>
  </si>
  <si>
    <t>Penetration Testing Protocol Document #: D001020037: 
DSTC001: GSL-STC-97</t>
  </si>
  <si>
    <t>Penetration Testing Protocol Document #: D001020037: 
DSTC001: GSL-STC-98</t>
  </si>
  <si>
    <t>Penetration Testing Protocol Document #: D001020037: 
DSTC001: GSL-STC-99</t>
  </si>
  <si>
    <t xml:space="preserve">Penetration Testing Protocol Document #: D001020037: 
DSTC001: GSL-STC-102
</t>
  </si>
  <si>
    <t xml:space="preserve">Penetration Testing Protocol Document #: D001020037: 
DSTC001: GSL-STC-103
</t>
  </si>
  <si>
    <t xml:space="preserve">Penetration Testing Protocol Document #: D001020037: 
DSTC001: GSL-STC-104
</t>
  </si>
  <si>
    <t xml:space="preserve">Penetration Testing Protocol Document #: D001020037: 
DSTC001: GSL-STC-105
</t>
  </si>
  <si>
    <t xml:space="preserve">Penetration Testing Protocol Document #: D001020037: 
DSTC001: GSL-STC-107
</t>
  </si>
  <si>
    <t xml:space="preserve">Penetration Testing Protocol Document #: D001020037: 
DSTC001: GSL-STC-108
</t>
  </si>
  <si>
    <t xml:space="preserve">Penetration Testing Protocol Document #: D001020037: 
DSTC001: GSL-STC-112
</t>
  </si>
  <si>
    <t xml:space="preserve">Penetration Testing Protocol Document #: D001020037: 
DSTC001: GSL-STC-113
</t>
  </si>
  <si>
    <t xml:space="preserve">Penetration Testing Protocol Document #: D001020037: 
DSTC001: GSL-STC-115
</t>
  </si>
  <si>
    <t xml:space="preserve">Penetration Testing Protocol Document #: D001020037: 
DSTC001: GSL-STC-117
</t>
  </si>
  <si>
    <t xml:space="preserve">Penetration Testing Protocol Document #: D001020037: 
DSTC001: GSL-STC-121
</t>
  </si>
  <si>
    <t xml:space="preserve">Penetration Testing Protocol Document #: D001020037: 
DSTC001: GSL-STC-122
</t>
  </si>
  <si>
    <t xml:space="preserve">Penetration Testing Protocol Document #: D001020037: 
DSTC001: GSL-STC-125
</t>
  </si>
  <si>
    <t xml:space="preserve">Penetration Testing Protocol Document #: D001020037: 
DSTC001: GSL-STC-127
</t>
  </si>
  <si>
    <t xml:space="preserve">Penetration Testing Protocol Document #: D001020037: 
DSTC001: GSL-STC-128
</t>
  </si>
  <si>
    <t xml:space="preserve">Penetration Testing Protocol Document #: D001020037: 
DSTC001: GSL-STC-132
</t>
  </si>
  <si>
    <t xml:space="preserve">Penetration Testing Protocol Document #: D001020037: 
DSTC001: GSL-STC-135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</si>
</sst>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3">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rgb="FF000000"/>
      <name val="Arial"/>
      <family val="2"/>
      <charset val="1"/>
    </font>
    <font>
      <b/>
      <sz val="11"/>
      <color rgb="FF000000"/>
      <name val="Cambria"/>
      <family val="1"/>
      <charset val="1"/>
    </font>
    <font>
      <sz val="11"/>
      <color rgb="FF000000"/>
      <name val="Cambria"/>
      <family val="1"/>
      <charset val="1"/>
    </font>
    <font>
      <b/>
      <sz val="11"/>
      <name val="Cambria"/>
      <family val="1"/>
      <charset val="1"/>
    </font>
    <font>
      <i/>
      <sz val="11"/>
      <color rgb="FF000000"/>
      <name val="Cambria"/>
      <family val="1"/>
      <charset val="1"/>
    </font>
    <font>
      <sz val="8"/>
      <color rgb="FF000000"/>
      <name val="Cambria"/>
      <family val="1"/>
      <charset val="1"/>
    </font>
    <font>
      <b/>
      <sz val="11"/>
      <color rgb="FF9DC3E6"/>
      <name val="Cambria"/>
      <family val="1"/>
      <charset val="1"/>
    </font>
    <font>
      <b/>
      <sz val="12"/>
      <name val="Cambria"/>
      <family val="1"/>
      <charset val="1"/>
    </font>
    <font>
      <b/>
      <sz val="12"/>
      <color rgb="FFA9D18E"/>
      <name val="Cambria"/>
      <family val="1"/>
      <charset val="1"/>
    </font>
    <font>
      <b/>
      <sz val="11"/>
      <color rgb="FFA9D18E"/>
      <name val="Cambria"/>
      <family val="1"/>
      <charset val="1"/>
    </font>
    <font>
      <sz val="11"/>
      <color rgb="FF0000FF"/>
      <name val="Cambria"/>
      <family val="1"/>
      <charset val="1"/>
    </font>
    <font>
      <sz val="11"/>
      <color rgb="FF00000A"/>
      <name val="Cambria"/>
      <family val="1"/>
    </font>
    <font>
      <sz val="11"/>
      <name val="Cambria"/>
      <family val="1"/>
      <charset val="1"/>
    </font>
    <font>
      <sz val="11"/>
      <color rgb="FF000000"/>
      <name val="Cambria"/>
      <family val="1"/>
    </font>
    <font>
      <sz val="11"/>
      <name val="Cambria"/>
      <family val="1"/>
    </font>
    <font>
      <sz val="11"/>
      <color rgb="FF9DC3E6"/>
      <name val="Cambria"/>
      <family val="1"/>
      <charset val="1"/>
    </font>
    <font>
      <b/>
      <sz val="14"/>
      <color rgb="FF000000"/>
      <name val="Cambria"/>
      <family val="1"/>
      <charset val="1"/>
    </font>
    <font>
      <b/>
      <sz val="12"/>
      <color rgb="FF000000"/>
      <name val="Cambria"/>
      <family val="1"/>
      <charset val="1"/>
    </font>
    <font>
      <sz val="11"/>
      <color rgb="FFFFFFFF"/>
      <name val="Cambria"/>
      <family val="1"/>
      <charset val="1"/>
    </font>
    <font>
      <sz val="11"/>
      <color rgb="FF111111"/>
      <name val="Cambria"/>
      <family val="1"/>
      <charset val="1"/>
    </font>
    <font>
      <vertAlign val="subscript"/>
      <sz val="11"/>
      <color rgb="FF111111"/>
      <name val="Cambria"/>
      <family val="1"/>
      <charset val="1"/>
    </font>
    <font>
      <sz val="12"/>
      <color rgb="FF000000"/>
      <name val="Cambria"/>
      <family val="1"/>
      <charset val="1"/>
    </font>
    <font>
      <sz val="10"/>
      <color rgb="FF000000"/>
      <name val="Cambria"/>
      <family val="1"/>
      <charset val="1"/>
    </font>
    <font>
      <b/>
      <sz val="11"/>
      <color rgb="FF000000"/>
      <name val="Calibri"/>
      <family val="2"/>
      <charset val="1"/>
    </font>
    <font>
      <b/>
      <sz val="10"/>
      <color rgb="FF000000"/>
      <name val="Calibri"/>
      <family val="2"/>
      <charset val="1"/>
    </font>
    <font>
      <i/>
      <sz val="9"/>
      <color rgb="FF000000"/>
      <name val="Calibri"/>
      <family val="2"/>
      <charset val="1"/>
    </font>
    <font>
      <i/>
      <sz val="9"/>
      <name val="Calibri"/>
      <family val="2"/>
      <charset val="1"/>
    </font>
    <font>
      <i/>
      <sz val="11"/>
      <color rgb="FF000000"/>
      <name val="Calibri"/>
      <family val="2"/>
      <charset val="1"/>
    </font>
    <font>
      <b/>
      <i/>
      <sz val="11"/>
      <color rgb="FF000000"/>
      <name val="Calibri"/>
      <family val="2"/>
      <charset val="1"/>
    </font>
    <font>
      <b/>
      <sz val="14"/>
      <color rgb="FF000000"/>
      <name val="Calibri"/>
      <family val="2"/>
      <charset val="1"/>
    </font>
    <font>
      <b/>
      <sz val="14"/>
      <name val="Calibri"/>
      <family val="2"/>
      <charset val="1"/>
    </font>
    <font>
      <sz val="11"/>
      <name val="Calibri"/>
      <family val="2"/>
      <charset val="1"/>
    </font>
    <font>
      <sz val="11"/>
      <color rgb="FF000000"/>
      <name val="Calibri"/>
      <family val="2"/>
      <charset val="1"/>
    </font>
    <font>
      <b/>
      <sz val="11"/>
      <color theme="1"/>
      <name val="Calibri"/>
      <family val="2"/>
      <scheme val="minor"/>
    </font>
    <font>
      <b/>
      <sz val="14"/>
      <color theme="1"/>
      <name val="Calibri"/>
      <family val="2"/>
      <scheme val="minor"/>
    </font>
    <font>
      <sz val="10"/>
      <name val="Humanist Slabserif 712 Std Roma"/>
    </font>
    <font>
      <sz val="10"/>
      <color theme="1"/>
      <name val="Humanist Slabserif 712 Std Roma"/>
    </font>
    <font>
      <b/>
      <sz val="10"/>
      <name val="Humanist Slabserif 712 Std Roma"/>
    </font>
    <font>
      <sz val="11"/>
      <color rgb="FF00B0F0"/>
      <name val="Cambria"/>
      <family val="1"/>
    </font>
  </fonts>
  <fills count="30">
    <fill>
      <patternFill patternType="none"/>
    </fill>
    <fill>
      <patternFill patternType="gray125"/>
    </fill>
    <fill>
      <patternFill patternType="solid">
        <fgColor rgb="FFD6DCE5"/>
        <bgColor rgb="FFD9D9D9"/>
      </patternFill>
    </fill>
    <fill>
      <patternFill patternType="solid">
        <fgColor rgb="FFDAE3F3"/>
        <bgColor rgb="FFD6DCE5"/>
      </patternFill>
    </fill>
    <fill>
      <patternFill patternType="solid">
        <fgColor rgb="FFFFFFFF"/>
        <bgColor rgb="FFF2F2F2"/>
      </patternFill>
    </fill>
    <fill>
      <patternFill patternType="solid">
        <fgColor rgb="FFF8CBAD"/>
        <bgColor rgb="FFFFE699"/>
      </patternFill>
    </fill>
    <fill>
      <patternFill patternType="solid">
        <fgColor rgb="FFFBE5D6"/>
        <bgColor rgb="FFEDEDED"/>
      </patternFill>
    </fill>
    <fill>
      <patternFill patternType="solid">
        <fgColor rgb="FF9DC3E6"/>
        <bgColor rgb="FFBFBFBF"/>
      </patternFill>
    </fill>
    <fill>
      <patternFill patternType="solid">
        <fgColor rgb="FFFFD966"/>
        <bgColor rgb="FFFFE699"/>
      </patternFill>
    </fill>
    <fill>
      <patternFill patternType="solid">
        <fgColor rgb="FFF4B183"/>
        <bgColor rgb="FFF8CBAD"/>
      </patternFill>
    </fill>
    <fill>
      <patternFill patternType="solid">
        <fgColor rgb="FFA9D18E"/>
        <bgColor rgb="FF92D050"/>
      </patternFill>
    </fill>
    <fill>
      <patternFill patternType="solid">
        <fgColor rgb="FFD9D9D9"/>
        <bgColor rgb="FFD6DCE5"/>
      </patternFill>
    </fill>
    <fill>
      <patternFill patternType="solid">
        <fgColor rgb="FFF2F2F2"/>
        <bgColor rgb="FFEDEDED"/>
      </patternFill>
    </fill>
    <fill>
      <patternFill patternType="solid">
        <fgColor rgb="FFBFBFBF"/>
        <bgColor rgb="FF9DC3E6"/>
      </patternFill>
    </fill>
    <fill>
      <patternFill patternType="solid">
        <fgColor rgb="FFE2F0D9"/>
        <bgColor rgb="FFEDEDED"/>
      </patternFill>
    </fill>
    <fill>
      <patternFill patternType="solid">
        <fgColor rgb="FFCCFFFF"/>
        <bgColor rgb="FFE2F0D9"/>
      </patternFill>
    </fill>
    <fill>
      <patternFill patternType="solid">
        <fgColor rgb="FF92D050"/>
        <bgColor rgb="FFA9D18E"/>
      </patternFill>
    </fill>
    <fill>
      <patternFill patternType="solid">
        <fgColor rgb="FFFFFF00"/>
        <bgColor rgb="FFFFD966"/>
      </patternFill>
    </fill>
    <fill>
      <patternFill patternType="solid">
        <fgColor rgb="FFFF0000"/>
        <bgColor rgb="FFC00000"/>
      </patternFill>
    </fill>
    <fill>
      <patternFill patternType="solid">
        <fgColor rgb="FFC00000"/>
        <bgColor rgb="FFFF0000"/>
      </patternFill>
    </fill>
    <fill>
      <patternFill patternType="solid">
        <fgColor rgb="FFBDD7EE"/>
        <bgColor rgb="FFD6DCE5"/>
      </patternFill>
    </fill>
    <fill>
      <patternFill patternType="solid">
        <fgColor rgb="FFFFE699"/>
        <bgColor rgb="FFFFD966"/>
      </patternFill>
    </fill>
    <fill>
      <patternFill patternType="solid">
        <fgColor rgb="FFEDEDED"/>
        <bgColor rgb="FFF2F2F2"/>
      </patternFill>
    </fill>
    <fill>
      <patternFill patternType="solid">
        <fgColor theme="3" tint="0.59996337778862885"/>
        <bgColor indexed="64"/>
      </patternFill>
    </fill>
    <fill>
      <patternFill patternType="solid">
        <fgColor theme="8" tint="0.79998168889431442"/>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rgb="FFC65911"/>
        <bgColor indexed="64"/>
      </patternFill>
    </fill>
    <fill>
      <patternFill patternType="solid">
        <fgColor rgb="FFFFFFFF"/>
        <bgColor indexed="64"/>
      </patternFill>
    </fill>
    <fill>
      <patternFill patternType="solid">
        <fgColor rgb="FFFFFF00"/>
        <bgColor indexed="64"/>
      </patternFill>
    </fill>
  </fills>
  <borders count="42">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thin">
        <color auto="1"/>
      </left>
      <right style="thin">
        <color auto="1"/>
      </right>
      <top/>
      <bottom/>
      <diagonal/>
    </border>
    <border>
      <left/>
      <right style="thin">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right/>
      <top style="medium">
        <color auto="1"/>
      </top>
      <bottom/>
      <diagonal/>
    </border>
    <border>
      <left style="medium">
        <color auto="1"/>
      </left>
      <right/>
      <top/>
      <bottom/>
      <diagonal/>
    </border>
    <border>
      <left style="thin">
        <color auto="1"/>
      </left>
      <right style="thin">
        <color auto="1"/>
      </right>
      <top style="medium">
        <color auto="1"/>
      </top>
      <bottom/>
      <diagonal/>
    </border>
    <border>
      <left style="thin">
        <color auto="1"/>
      </left>
      <right/>
      <top style="medium">
        <color auto="1"/>
      </top>
      <bottom/>
      <diagonal/>
    </border>
    <border>
      <left/>
      <right style="medium">
        <color auto="1"/>
      </right>
      <top/>
      <bottom/>
      <diagonal/>
    </border>
    <border>
      <left style="thin">
        <color auto="1"/>
      </left>
      <right style="medium">
        <color auto="1"/>
      </right>
      <top style="medium">
        <color auto="1"/>
      </top>
      <bottom/>
      <diagonal/>
    </border>
    <border>
      <left style="thin">
        <color auto="1"/>
      </left>
      <right/>
      <top/>
      <bottom/>
      <diagonal/>
    </border>
    <border>
      <left style="thin">
        <color auto="1"/>
      </left>
      <right style="medium">
        <color auto="1"/>
      </right>
      <top/>
      <bottom/>
      <diagonal/>
    </border>
    <border>
      <left style="medium">
        <color auto="1"/>
      </left>
      <right style="thin">
        <color auto="1"/>
      </right>
      <top/>
      <bottom/>
      <diagonal/>
    </border>
    <border>
      <left style="medium">
        <color auto="1"/>
      </left>
      <right/>
      <top/>
      <bottom style="medium">
        <color auto="1"/>
      </bottom>
      <diagonal/>
    </border>
    <border>
      <left style="thin">
        <color auto="1"/>
      </left>
      <right style="thin">
        <color auto="1"/>
      </right>
      <top/>
      <bottom style="medium">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top/>
      <bottom style="medium">
        <color auto="1"/>
      </bottom>
      <diagonal/>
    </border>
    <border>
      <left style="thin">
        <color auto="1"/>
      </left>
      <right style="medium">
        <color auto="1"/>
      </right>
      <top/>
      <bottom style="medium">
        <color auto="1"/>
      </bottom>
      <diagonal/>
    </border>
    <border>
      <left style="thin">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medium">
        <color auto="1"/>
      </bottom>
      <diagonal/>
    </border>
  </borders>
  <cellStyleXfs count="5">
    <xf numFmtId="0" fontId="0" fillId="0" borderId="0"/>
    <xf numFmtId="0" fontId="36" fillId="0" borderId="0"/>
    <xf numFmtId="0" fontId="36" fillId="0" borderId="0"/>
    <xf numFmtId="0" fontId="3" fillId="0" borderId="0"/>
    <xf numFmtId="0" fontId="3" fillId="0" borderId="0"/>
  </cellStyleXfs>
  <cellXfs count="271">
    <xf numFmtId="0" fontId="0" fillId="0" borderId="0" xfId="0"/>
    <xf numFmtId="0" fontId="4" fillId="0" borderId="0" xfId="0" applyFont="1" applyAlignment="1">
      <alignment vertical="top" wrapText="1"/>
    </xf>
    <xf numFmtId="0" fontId="5" fillId="0" borderId="0" xfId="0" applyFont="1" applyAlignment="1">
      <alignment vertical="top"/>
    </xf>
    <xf numFmtId="0" fontId="6" fillId="0" borderId="0" xfId="0" applyFont="1" applyAlignment="1">
      <alignment vertical="top" wrapText="1"/>
    </xf>
    <xf numFmtId="0" fontId="5" fillId="2" borderId="1" xfId="0" applyFont="1" applyFill="1" applyBorder="1" applyAlignment="1">
      <alignment vertical="top"/>
    </xf>
    <xf numFmtId="0" fontId="5" fillId="2" borderId="2" xfId="0" applyFont="1" applyFill="1" applyBorder="1" applyAlignment="1">
      <alignment vertical="top" wrapText="1"/>
    </xf>
    <xf numFmtId="0" fontId="6" fillId="0" borderId="3" xfId="0" applyFont="1" applyBorder="1" applyAlignment="1">
      <alignment horizontal="left" vertical="top" wrapText="1"/>
    </xf>
    <xf numFmtId="0" fontId="5" fillId="2" borderId="4" xfId="0" applyFont="1" applyFill="1" applyBorder="1" applyAlignment="1">
      <alignment vertical="top"/>
    </xf>
    <xf numFmtId="0" fontId="5" fillId="2" borderId="5" xfId="0" applyFont="1" applyFill="1" applyBorder="1" applyAlignment="1">
      <alignment vertical="top" wrapText="1"/>
    </xf>
    <xf numFmtId="0" fontId="7" fillId="3" borderId="3" xfId="0" applyFont="1" applyFill="1" applyBorder="1" applyAlignment="1">
      <alignment horizontal="left" vertical="top"/>
    </xf>
    <xf numFmtId="0" fontId="6" fillId="2" borderId="2" xfId="0" applyFont="1" applyFill="1" applyBorder="1" applyAlignment="1">
      <alignment vertical="top" wrapText="1"/>
    </xf>
    <xf numFmtId="0" fontId="7" fillId="3" borderId="5" xfId="0" applyFont="1" applyFill="1" applyBorder="1" applyAlignment="1">
      <alignment horizontal="center" vertical="top" wrapText="1"/>
    </xf>
    <xf numFmtId="0" fontId="7" fillId="3" borderId="6" xfId="0" applyFont="1" applyFill="1" applyBorder="1" applyAlignment="1">
      <alignment horizontal="center" vertical="top" wrapText="1"/>
    </xf>
    <xf numFmtId="0" fontId="7" fillId="3" borderId="4" xfId="0" applyFont="1" applyFill="1" applyBorder="1" applyAlignment="1">
      <alignment horizontal="center" vertical="top" wrapText="1"/>
    </xf>
    <xf numFmtId="0" fontId="6" fillId="0" borderId="2" xfId="0" applyFont="1" applyBorder="1" applyAlignment="1">
      <alignment horizontal="center" vertical="top" wrapText="1"/>
    </xf>
    <xf numFmtId="0" fontId="8" fillId="0" borderId="3" xfId="0" applyFont="1" applyBorder="1" applyAlignment="1">
      <alignment horizontal="center" vertical="top" wrapText="1"/>
    </xf>
    <xf numFmtId="0" fontId="8" fillId="0" borderId="3" xfId="0" applyFont="1" applyBorder="1" applyAlignment="1">
      <alignment horizontal="left" vertical="top" wrapText="1"/>
    </xf>
    <xf numFmtId="0" fontId="8" fillId="0" borderId="3" xfId="0" applyFont="1" applyBorder="1" applyAlignment="1">
      <alignment vertical="top" wrapText="1"/>
    </xf>
    <xf numFmtId="0" fontId="6" fillId="0" borderId="3" xfId="0" applyFont="1" applyBorder="1" applyAlignment="1">
      <alignment horizontal="center" vertical="top" wrapText="1"/>
    </xf>
    <xf numFmtId="0" fontId="6" fillId="0" borderId="3" xfId="0" applyFont="1" applyBorder="1" applyAlignment="1">
      <alignment vertical="top" wrapText="1"/>
    </xf>
    <xf numFmtId="0" fontId="6" fillId="0" borderId="7" xfId="0" applyFont="1" applyBorder="1" applyAlignment="1">
      <alignment horizontal="center" vertical="top" wrapText="1"/>
    </xf>
    <xf numFmtId="0" fontId="6" fillId="0" borderId="7" xfId="0" applyFont="1" applyBorder="1" applyAlignment="1">
      <alignment vertical="top" wrapText="1"/>
    </xf>
    <xf numFmtId="0" fontId="9" fillId="0" borderId="0" xfId="0" applyFont="1"/>
    <xf numFmtId="0" fontId="9" fillId="0" borderId="0" xfId="0" applyFont="1" applyAlignment="1">
      <alignment wrapText="1"/>
    </xf>
    <xf numFmtId="0" fontId="0" fillId="0" borderId="0" xfId="0" applyAlignment="1">
      <alignment vertical="top"/>
    </xf>
    <xf numFmtId="0" fontId="0" fillId="0" borderId="0" xfId="0" applyAlignment="1">
      <alignment vertical="top" wrapText="1"/>
    </xf>
    <xf numFmtId="0" fontId="6" fillId="0" borderId="0" xfId="0" applyFont="1" applyAlignment="1">
      <alignment vertical="top"/>
    </xf>
    <xf numFmtId="0" fontId="7" fillId="5" borderId="5" xfId="0" applyFont="1" applyFill="1" applyBorder="1" applyAlignment="1">
      <alignment vertical="top"/>
    </xf>
    <xf numFmtId="0" fontId="7" fillId="5" borderId="6" xfId="0" applyFont="1" applyFill="1" applyBorder="1" applyAlignment="1">
      <alignment horizontal="center" vertical="top" wrapText="1"/>
    </xf>
    <xf numFmtId="0" fontId="7" fillId="5" borderId="6" xfId="0" applyFont="1" applyFill="1" applyBorder="1" applyAlignment="1">
      <alignment horizontal="center" vertical="top"/>
    </xf>
    <xf numFmtId="0" fontId="6" fillId="0" borderId="5" xfId="0" applyFont="1" applyBorder="1" applyAlignment="1">
      <alignment vertical="top"/>
    </xf>
    <xf numFmtId="0" fontId="6" fillId="0" borderId="6" xfId="0" applyFont="1" applyBorder="1" applyAlignment="1">
      <alignment vertical="top" wrapText="1"/>
    </xf>
    <xf numFmtId="0" fontId="6" fillId="0" borderId="2" xfId="0" applyFont="1" applyBorder="1" applyAlignment="1">
      <alignment vertical="top"/>
    </xf>
    <xf numFmtId="0" fontId="6" fillId="6" borderId="10" xfId="0" applyFont="1" applyFill="1" applyBorder="1" applyAlignment="1">
      <alignment horizontal="left" vertical="top"/>
    </xf>
    <xf numFmtId="0" fontId="6" fillId="6" borderId="10" xfId="0" applyFont="1" applyFill="1" applyBorder="1" applyAlignment="1">
      <alignment horizontal="left" vertical="top" wrapText="1"/>
    </xf>
    <xf numFmtId="0" fontId="6" fillId="0" borderId="2" xfId="0" applyFont="1" applyBorder="1" applyAlignment="1">
      <alignment vertical="top" wrapText="1"/>
    </xf>
    <xf numFmtId="0" fontId="6" fillId="0" borderId="3" xfId="0" applyFont="1" applyBorder="1" applyAlignment="1">
      <alignment vertical="top"/>
    </xf>
    <xf numFmtId="0" fontId="6" fillId="0" borderId="9" xfId="0" applyFont="1" applyBorder="1" applyAlignment="1">
      <alignment vertical="top" wrapText="1"/>
    </xf>
    <xf numFmtId="0" fontId="6" fillId="0" borderId="7" xfId="0" applyFont="1" applyBorder="1" applyAlignment="1">
      <alignment vertical="top"/>
    </xf>
    <xf numFmtId="0" fontId="6" fillId="4" borderId="9" xfId="0" applyFont="1" applyFill="1" applyBorder="1" applyAlignment="1">
      <alignment vertical="top"/>
    </xf>
    <xf numFmtId="0" fontId="6" fillId="4" borderId="2" xfId="0" applyFont="1" applyFill="1" applyBorder="1" applyAlignment="1">
      <alignment vertical="top"/>
    </xf>
    <xf numFmtId="0" fontId="6" fillId="6" borderId="2" xfId="0" applyFont="1" applyFill="1" applyBorder="1" applyAlignment="1">
      <alignment horizontal="left" vertical="top"/>
    </xf>
    <xf numFmtId="0" fontId="6" fillId="6" borderId="3" xfId="0" applyFont="1" applyFill="1" applyBorder="1" applyAlignment="1">
      <alignment horizontal="left" vertical="top" wrapText="1"/>
    </xf>
    <xf numFmtId="0" fontId="6" fillId="6" borderId="3" xfId="0" applyFont="1" applyFill="1" applyBorder="1" applyAlignment="1">
      <alignment horizontal="left" vertical="top"/>
    </xf>
    <xf numFmtId="0" fontId="0" fillId="0" borderId="0" xfId="0" applyAlignment="1">
      <alignment horizontal="center" vertical="top"/>
    </xf>
    <xf numFmtId="0" fontId="6" fillId="0" borderId="0" xfId="0" applyFont="1" applyAlignment="1">
      <alignment horizontal="center" vertical="top"/>
    </xf>
    <xf numFmtId="0" fontId="7" fillId="5" borderId="4" xfId="0" applyFont="1" applyFill="1" applyBorder="1" applyAlignment="1">
      <alignment horizontal="center" vertical="top" wrapText="1"/>
    </xf>
    <xf numFmtId="0" fontId="6" fillId="0" borderId="11" xfId="0" applyFont="1" applyBorder="1" applyAlignment="1">
      <alignment horizontal="center" vertical="top" wrapText="1"/>
    </xf>
    <xf numFmtId="0" fontId="6" fillId="0" borderId="3" xfId="2" applyFont="1" applyBorder="1" applyAlignment="1">
      <alignment vertical="top" wrapText="1"/>
    </xf>
    <xf numFmtId="0" fontId="6" fillId="0" borderId="3" xfId="0" applyFont="1" applyBorder="1" applyAlignment="1">
      <alignment horizontal="center" vertical="top"/>
    </xf>
    <xf numFmtId="0" fontId="6" fillId="0" borderId="1" xfId="0" applyFont="1" applyBorder="1" applyAlignment="1">
      <alignment vertical="top"/>
    </xf>
    <xf numFmtId="0" fontId="8" fillId="0" borderId="0" xfId="0" applyFont="1" applyAlignment="1">
      <alignment vertical="top"/>
    </xf>
    <xf numFmtId="0" fontId="6" fillId="4" borderId="11" xfId="0" applyFont="1" applyFill="1" applyBorder="1" applyAlignment="1">
      <alignment horizontal="center" vertical="top" wrapText="1"/>
    </xf>
    <xf numFmtId="0" fontId="6" fillId="4" borderId="3" xfId="0" applyFont="1" applyFill="1" applyBorder="1" applyAlignment="1">
      <alignment vertical="top" wrapText="1"/>
    </xf>
    <xf numFmtId="0" fontId="6" fillId="4" borderId="7" xfId="0" applyFont="1" applyFill="1" applyBorder="1" applyAlignment="1">
      <alignment horizontal="center" vertical="top" wrapText="1"/>
    </xf>
    <xf numFmtId="0" fontId="6" fillId="0" borderId="7" xfId="0" applyFont="1" applyBorder="1" applyAlignment="1">
      <alignment horizontal="center" vertical="top"/>
    </xf>
    <xf numFmtId="0" fontId="6" fillId="0" borderId="8" xfId="0" applyFont="1" applyBorder="1" applyAlignment="1">
      <alignment vertical="top"/>
    </xf>
    <xf numFmtId="0" fontId="0" fillId="0" borderId="0" xfId="0" applyAlignment="1">
      <alignment horizontal="center" vertical="center"/>
    </xf>
    <xf numFmtId="0" fontId="0" fillId="0" borderId="0" xfId="0" applyAlignment="1">
      <alignment wrapText="1"/>
    </xf>
    <xf numFmtId="0" fontId="6" fillId="0" borderId="0" xfId="0" applyFont="1" applyAlignment="1">
      <alignment horizontal="center" vertical="center"/>
    </xf>
    <xf numFmtId="0" fontId="6" fillId="0" borderId="0" xfId="0" applyFont="1"/>
    <xf numFmtId="0" fontId="6" fillId="0" borderId="0" xfId="0" applyFont="1" applyAlignment="1">
      <alignment wrapText="1"/>
    </xf>
    <xf numFmtId="0" fontId="5" fillId="7" borderId="7" xfId="0" applyFont="1" applyFill="1" applyBorder="1" applyAlignment="1">
      <alignment vertical="center" wrapText="1"/>
    </xf>
    <xf numFmtId="0" fontId="5" fillId="7" borderId="12" xfId="0" applyFont="1" applyFill="1" applyBorder="1" applyAlignment="1">
      <alignment horizontal="center" vertical="center" wrapText="1"/>
    </xf>
    <xf numFmtId="0" fontId="5" fillId="7" borderId="12" xfId="0" applyFont="1" applyFill="1" applyBorder="1" applyAlignment="1">
      <alignment vertical="center" wrapText="1"/>
    </xf>
    <xf numFmtId="0" fontId="5" fillId="7" borderId="8" xfId="0" applyFont="1" applyFill="1" applyBorder="1" applyAlignment="1">
      <alignment horizontal="center" vertical="center" wrapText="1"/>
    </xf>
    <xf numFmtId="0" fontId="5" fillId="7" borderId="9" xfId="0" applyFont="1" applyFill="1" applyBorder="1" applyAlignment="1">
      <alignment vertical="center" wrapText="1"/>
    </xf>
    <xf numFmtId="0" fontId="7" fillId="10" borderId="3" xfId="0" applyFont="1" applyFill="1" applyBorder="1" applyAlignment="1">
      <alignment horizontal="center" vertical="center" wrapText="1"/>
    </xf>
    <xf numFmtId="0" fontId="7" fillId="7" borderId="6" xfId="0" applyFont="1" applyFill="1" applyBorder="1" applyAlignment="1">
      <alignment vertical="center" wrapText="1"/>
    </xf>
    <xf numFmtId="0" fontId="10" fillId="7" borderId="13" xfId="0" applyFont="1" applyFill="1" applyBorder="1" applyAlignment="1">
      <alignment horizontal="center" vertical="center" wrapText="1"/>
    </xf>
    <xf numFmtId="0" fontId="7" fillId="7" borderId="13"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7" fillId="7" borderId="5" xfId="0" applyFont="1" applyFill="1" applyBorder="1" applyAlignment="1">
      <alignment horizontal="center" vertical="center" wrapText="1"/>
    </xf>
    <xf numFmtId="0" fontId="10" fillId="7" borderId="12" xfId="0" applyFont="1" applyFill="1" applyBorder="1" applyAlignment="1">
      <alignment horizontal="center" vertical="center" wrapText="1"/>
    </xf>
    <xf numFmtId="0" fontId="7" fillId="7" borderId="9"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11" fillId="8" borderId="15" xfId="0" applyFont="1" applyFill="1" applyBorder="1" applyAlignment="1">
      <alignment horizontal="center" vertical="center" textRotation="90" wrapText="1"/>
    </xf>
    <xf numFmtId="0" fontId="7" fillId="8" borderId="15" xfId="0" applyFont="1" applyFill="1" applyBorder="1" applyAlignment="1">
      <alignment horizontal="center" vertical="center" wrapText="1"/>
    </xf>
    <xf numFmtId="0" fontId="7" fillId="8" borderId="4" xfId="0" applyFont="1" applyFill="1" applyBorder="1" applyAlignment="1">
      <alignment horizontal="center" vertical="center" wrapText="1"/>
    </xf>
    <xf numFmtId="0" fontId="7" fillId="8" borderId="6" xfId="0" applyFont="1" applyFill="1" applyBorder="1" applyAlignment="1">
      <alignment horizontal="center" vertical="center" wrapText="1"/>
    </xf>
    <xf numFmtId="0" fontId="7" fillId="8" borderId="14"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11" fillId="10" borderId="9" xfId="0" applyFont="1" applyFill="1" applyBorder="1" applyAlignment="1">
      <alignment horizontal="center" vertical="center" textRotation="90" wrapText="1"/>
    </xf>
    <xf numFmtId="0" fontId="7" fillId="10" borderId="8" xfId="0" applyFont="1" applyFill="1" applyBorder="1" applyAlignment="1">
      <alignment horizontal="center" vertical="center" wrapText="1"/>
    </xf>
    <xf numFmtId="0" fontId="6" fillId="0" borderId="6" xfId="0" applyFont="1" applyBorder="1" applyAlignment="1">
      <alignment horizontal="center" vertical="top"/>
    </xf>
    <xf numFmtId="0" fontId="6" fillId="0" borderId="6" xfId="0" applyFont="1" applyBorder="1" applyAlignment="1">
      <alignment horizontal="center" vertical="center"/>
    </xf>
    <xf numFmtId="0" fontId="6" fillId="11" borderId="6" xfId="0" applyFont="1" applyFill="1" applyBorder="1" applyAlignment="1">
      <alignment vertical="top" wrapText="1"/>
    </xf>
    <xf numFmtId="0" fontId="6" fillId="0" borderId="3" xfId="0" applyFont="1" applyBorder="1" applyAlignment="1">
      <alignment horizontal="center" vertical="center"/>
    </xf>
    <xf numFmtId="0" fontId="6" fillId="11" borderId="3" xfId="0" applyFont="1" applyFill="1" applyBorder="1" applyAlignment="1">
      <alignment vertical="top" wrapText="1"/>
    </xf>
    <xf numFmtId="0" fontId="6" fillId="0" borderId="3" xfId="0" applyFont="1" applyBorder="1" applyAlignment="1">
      <alignment horizontal="center" vertical="center" wrapText="1"/>
    </xf>
    <xf numFmtId="0" fontId="6" fillId="4" borderId="3" xfId="0" applyFont="1" applyFill="1" applyBorder="1" applyAlignment="1">
      <alignment horizontal="center" vertical="center" wrapText="1"/>
    </xf>
    <xf numFmtId="164" fontId="14" fillId="11" borderId="3" xfId="0" applyNumberFormat="1" applyFont="1" applyFill="1" applyBorder="1" applyAlignment="1">
      <alignment horizontal="center" vertical="center" wrapText="1"/>
    </xf>
    <xf numFmtId="2" fontId="14" fillId="11" borderId="3" xfId="0" applyNumberFormat="1" applyFont="1" applyFill="1" applyBorder="1" applyAlignment="1">
      <alignment horizontal="center" vertical="center" wrapText="1"/>
    </xf>
    <xf numFmtId="164" fontId="6" fillId="11" borderId="3" xfId="0" applyNumberFormat="1" applyFont="1" applyFill="1" applyBorder="1" applyAlignment="1">
      <alignment horizontal="center" vertical="center" wrapText="1"/>
    </xf>
    <xf numFmtId="0" fontId="14" fillId="13" borderId="3" xfId="0" applyFont="1" applyFill="1" applyBorder="1" applyAlignment="1">
      <alignment horizontal="center" vertical="center" wrapText="1"/>
    </xf>
    <xf numFmtId="0" fontId="6" fillId="4" borderId="6" xfId="0" applyFont="1" applyFill="1" applyBorder="1" applyAlignment="1">
      <alignment horizontal="center" vertical="top"/>
    </xf>
    <xf numFmtId="0" fontId="6" fillId="0" borderId="7" xfId="0" applyFont="1" applyBorder="1" applyAlignment="1">
      <alignment horizontal="center" vertical="center"/>
    </xf>
    <xf numFmtId="0" fontId="6" fillId="4" borderId="7" xfId="0" applyFont="1" applyFill="1" applyBorder="1" applyAlignment="1">
      <alignment horizontal="center" vertical="top"/>
    </xf>
    <xf numFmtId="0" fontId="6" fillId="4" borderId="7" xfId="0" applyFont="1" applyFill="1" applyBorder="1" applyAlignment="1">
      <alignment horizontal="center" vertical="center" wrapText="1"/>
    </xf>
    <xf numFmtId="164" fontId="6" fillId="11" borderId="7" xfId="0" applyNumberFormat="1" applyFont="1" applyFill="1" applyBorder="1" applyAlignment="1">
      <alignment horizontal="center" vertical="center" wrapText="1"/>
    </xf>
    <xf numFmtId="164" fontId="14" fillId="11" borderId="7" xfId="0" applyNumberFormat="1" applyFont="1" applyFill="1" applyBorder="1" applyAlignment="1">
      <alignment horizontal="center" vertical="center" wrapText="1"/>
    </xf>
    <xf numFmtId="164" fontId="14" fillId="4" borderId="7" xfId="0" applyNumberFormat="1" applyFont="1" applyFill="1" applyBorder="1" applyAlignment="1">
      <alignment horizontal="center" vertical="center" wrapText="1"/>
    </xf>
    <xf numFmtId="164" fontId="14" fillId="4" borderId="3" xfId="0" applyNumberFormat="1" applyFont="1" applyFill="1" applyBorder="1" applyAlignment="1">
      <alignment horizontal="center" vertical="center" wrapText="1"/>
    </xf>
    <xf numFmtId="0" fontId="16" fillId="7" borderId="6" xfId="0" applyFont="1" applyFill="1" applyBorder="1" applyAlignment="1">
      <alignment vertical="center" wrapText="1"/>
    </xf>
    <xf numFmtId="0" fontId="19" fillId="7" borderId="13" xfId="0" applyFont="1" applyFill="1" applyBorder="1" applyAlignment="1">
      <alignment vertical="center" wrapText="1"/>
    </xf>
    <xf numFmtId="0" fontId="16" fillId="7" borderId="13" xfId="0" applyFont="1" applyFill="1" applyBorder="1" applyAlignment="1">
      <alignment horizontal="center" vertical="center" wrapText="1"/>
    </xf>
    <xf numFmtId="0" fontId="19" fillId="7" borderId="4" xfId="0" applyFont="1" applyFill="1" applyBorder="1" applyAlignment="1">
      <alignment vertical="center" wrapText="1"/>
    </xf>
    <xf numFmtId="0" fontId="16" fillId="7" borderId="5" xfId="0" applyFont="1" applyFill="1" applyBorder="1" applyAlignment="1">
      <alignment horizontal="center" vertical="center" wrapText="1"/>
    </xf>
    <xf numFmtId="0" fontId="19" fillId="7" borderId="12" xfId="0" applyFont="1" applyFill="1" applyBorder="1" applyAlignment="1">
      <alignment vertical="center" wrapText="1"/>
    </xf>
    <xf numFmtId="0" fontId="16" fillId="7" borderId="9" xfId="0" applyFont="1" applyFill="1" applyBorder="1" applyAlignment="1">
      <alignment horizontal="center" vertical="center" wrapText="1"/>
    </xf>
    <xf numFmtId="0" fontId="16" fillId="7" borderId="14" xfId="0" applyFont="1" applyFill="1" applyBorder="1" applyAlignment="1">
      <alignment horizontal="center" vertical="center" wrapText="1"/>
    </xf>
    <xf numFmtId="0" fontId="16" fillId="8" borderId="14" xfId="0" applyFont="1" applyFill="1" applyBorder="1" applyAlignment="1">
      <alignment horizontal="center" vertical="center" wrapText="1"/>
    </xf>
    <xf numFmtId="0" fontId="16" fillId="9" borderId="7" xfId="0" applyFont="1" applyFill="1" applyBorder="1" applyAlignment="1">
      <alignment horizontal="center" vertical="center" wrapText="1"/>
    </xf>
    <xf numFmtId="0" fontId="16" fillId="10" borderId="3" xfId="0" applyFont="1" applyFill="1" applyBorder="1" applyAlignment="1">
      <alignment horizontal="center" vertical="center" wrapText="1"/>
    </xf>
    <xf numFmtId="0" fontId="16" fillId="10" borderId="8" xfId="0" applyFont="1" applyFill="1" applyBorder="1" applyAlignment="1">
      <alignment horizontal="center" vertical="center" wrapText="1"/>
    </xf>
    <xf numFmtId="0" fontId="6" fillId="0" borderId="6" xfId="0" applyFont="1" applyBorder="1" applyAlignment="1">
      <alignment vertical="top"/>
    </xf>
    <xf numFmtId="0" fontId="6" fillId="12" borderId="3" xfId="0" applyFont="1" applyFill="1" applyBorder="1" applyAlignment="1">
      <alignment vertical="top"/>
    </xf>
    <xf numFmtId="0" fontId="5" fillId="0" borderId="0" xfId="0" applyFont="1" applyAlignment="1">
      <alignment vertical="center"/>
    </xf>
    <xf numFmtId="0" fontId="21" fillId="14" borderId="17" xfId="0" applyFont="1" applyFill="1" applyBorder="1" applyAlignment="1">
      <alignment horizontal="center" vertical="center"/>
    </xf>
    <xf numFmtId="0" fontId="21" fillId="14" borderId="18" xfId="0" applyFont="1" applyFill="1" applyBorder="1" applyAlignment="1">
      <alignment horizontal="center" vertical="center"/>
    </xf>
    <xf numFmtId="0" fontId="16" fillId="11" borderId="0" xfId="0" applyFont="1" applyFill="1" applyAlignment="1">
      <alignment horizontal="center" vertical="center"/>
    </xf>
    <xf numFmtId="2" fontId="16" fillId="0" borderId="0" xfId="0" applyNumberFormat="1" applyFont="1" applyAlignment="1">
      <alignment horizontal="center" vertical="center"/>
    </xf>
    <xf numFmtId="0" fontId="5" fillId="15" borderId="16" xfId="0" applyFont="1" applyFill="1" applyBorder="1" applyAlignment="1">
      <alignment horizontal="center" vertical="center"/>
    </xf>
    <xf numFmtId="0" fontId="21" fillId="14" borderId="19" xfId="0" applyFont="1" applyFill="1" applyBorder="1" applyAlignment="1">
      <alignment horizontal="center" vertical="center"/>
    </xf>
    <xf numFmtId="0" fontId="6" fillId="11" borderId="20" xfId="0" applyFont="1" applyFill="1" applyBorder="1" applyAlignment="1">
      <alignment horizontal="center" vertical="center"/>
    </xf>
    <xf numFmtId="2" fontId="6" fillId="0" borderId="20" xfId="0" applyNumberFormat="1" applyFont="1" applyBorder="1" applyAlignment="1">
      <alignment horizontal="center" vertical="center"/>
    </xf>
    <xf numFmtId="0" fontId="6" fillId="0" borderId="21" xfId="0" applyFont="1" applyBorder="1"/>
    <xf numFmtId="0" fontId="6" fillId="0" borderId="22" xfId="0" applyFont="1" applyBorder="1"/>
    <xf numFmtId="0" fontId="6" fillId="0" borderId="23" xfId="0" applyFont="1" applyBorder="1"/>
    <xf numFmtId="0" fontId="6" fillId="0" borderId="24" xfId="0" applyFont="1" applyBorder="1"/>
    <xf numFmtId="0" fontId="6" fillId="0" borderId="25" xfId="0" applyFont="1" applyBorder="1"/>
    <xf numFmtId="0" fontId="6" fillId="0" borderId="24" xfId="0" applyFont="1" applyBorder="1" applyAlignment="1">
      <alignment horizontal="center" vertical="center"/>
    </xf>
    <xf numFmtId="0" fontId="6" fillId="16" borderId="0" xfId="0" applyFont="1" applyFill="1" applyAlignment="1">
      <alignment horizontal="center" vertical="center"/>
    </xf>
    <xf numFmtId="2" fontId="6" fillId="0" borderId="0" xfId="0" applyNumberFormat="1" applyFont="1" applyAlignment="1">
      <alignment horizontal="center" vertical="center"/>
    </xf>
    <xf numFmtId="0" fontId="6" fillId="0" borderId="14" xfId="0" applyFont="1" applyBorder="1"/>
    <xf numFmtId="0" fontId="6" fillId="0" borderId="26" xfId="0" applyFont="1" applyBorder="1"/>
    <xf numFmtId="0" fontId="6" fillId="0" borderId="27" xfId="0" applyFont="1" applyBorder="1"/>
    <xf numFmtId="0" fontId="6" fillId="17" borderId="0" xfId="0" applyFont="1" applyFill="1" applyAlignment="1">
      <alignment horizontal="center" vertical="center"/>
    </xf>
    <xf numFmtId="0" fontId="6" fillId="18" borderId="0" xfId="0" applyFont="1" applyFill="1" applyAlignment="1">
      <alignment horizontal="center" vertical="center"/>
    </xf>
    <xf numFmtId="0" fontId="6" fillId="0" borderId="28" xfId="0" applyFont="1" applyBorder="1"/>
    <xf numFmtId="0" fontId="6" fillId="0" borderId="27" xfId="0" applyFont="1" applyBorder="1" applyAlignment="1">
      <alignment horizontal="center" vertical="center"/>
    </xf>
    <xf numFmtId="0" fontId="22" fillId="19" borderId="0" xfId="0" applyFont="1" applyFill="1" applyAlignment="1">
      <alignment horizontal="center" vertical="center"/>
    </xf>
    <xf numFmtId="0" fontId="6" fillId="0" borderId="29" xfId="0" applyFont="1" applyBorder="1"/>
    <xf numFmtId="0" fontId="6" fillId="0" borderId="30" xfId="0" applyFont="1" applyBorder="1"/>
    <xf numFmtId="0" fontId="6" fillId="0" borderId="31" xfId="0" applyFont="1" applyBorder="1" applyAlignment="1">
      <alignment horizontal="center" vertical="center"/>
    </xf>
    <xf numFmtId="0" fontId="6" fillId="0" borderId="32" xfId="0" applyFont="1" applyBorder="1"/>
    <xf numFmtId="0" fontId="6" fillId="0" borderId="33" xfId="0" applyFont="1" applyBorder="1"/>
    <xf numFmtId="0" fontId="6" fillId="0" borderId="34" xfId="0" applyFont="1" applyBorder="1" applyAlignment="1">
      <alignment horizontal="center" vertical="center"/>
    </xf>
    <xf numFmtId="0" fontId="6" fillId="0" borderId="35" xfId="0" applyFont="1" applyBorder="1"/>
    <xf numFmtId="0" fontId="6" fillId="0" borderId="31" xfId="0" applyFont="1" applyBorder="1"/>
    <xf numFmtId="0" fontId="20" fillId="20" borderId="36" xfId="0" applyFont="1" applyFill="1" applyBorder="1"/>
    <xf numFmtId="0" fontId="6" fillId="0" borderId="37" xfId="0" applyFont="1" applyBorder="1"/>
    <xf numFmtId="0" fontId="6" fillId="0" borderId="20" xfId="0" applyFont="1" applyBorder="1"/>
    <xf numFmtId="0" fontId="6" fillId="0" borderId="38" xfId="0" applyFont="1" applyBorder="1"/>
    <xf numFmtId="0" fontId="6" fillId="0" borderId="22" xfId="0" applyFont="1" applyBorder="1" applyAlignment="1">
      <alignment horizontal="center" vertical="center"/>
    </xf>
    <xf numFmtId="0" fontId="23" fillId="0" borderId="0" xfId="0" applyFont="1"/>
    <xf numFmtId="0" fontId="6" fillId="0" borderId="14" xfId="0" applyFont="1" applyBorder="1" applyAlignment="1">
      <alignment horizontal="center" vertical="center"/>
    </xf>
    <xf numFmtId="0" fontId="6" fillId="0" borderId="30" xfId="0" applyFont="1" applyBorder="1" applyAlignment="1">
      <alignment horizontal="center" vertical="center"/>
    </xf>
    <xf numFmtId="0" fontId="25" fillId="0" borderId="16" xfId="0" applyFont="1" applyBorder="1" applyAlignment="1">
      <alignment horizontal="center" vertical="center"/>
    </xf>
    <xf numFmtId="0" fontId="6" fillId="0" borderId="16" xfId="0" applyFont="1" applyBorder="1" applyAlignment="1">
      <alignment horizontal="center" vertical="center"/>
    </xf>
    <xf numFmtId="0" fontId="25" fillId="0" borderId="40" xfId="0" applyFont="1" applyBorder="1" applyAlignment="1">
      <alignment horizontal="center" vertical="center"/>
    </xf>
    <xf numFmtId="0" fontId="9" fillId="0" borderId="17" xfId="0" applyFont="1" applyBorder="1" applyAlignment="1">
      <alignment horizontal="center" vertical="center"/>
    </xf>
    <xf numFmtId="0" fontId="7" fillId="5" borderId="5" xfId="0" applyFont="1" applyFill="1" applyBorder="1" applyAlignment="1">
      <alignment horizontal="center" vertical="top" wrapText="1"/>
    </xf>
    <xf numFmtId="0" fontId="7" fillId="5" borderId="14" xfId="0" applyFont="1" applyFill="1" applyBorder="1" applyAlignment="1">
      <alignment horizontal="center" vertical="top" wrapText="1"/>
    </xf>
    <xf numFmtId="0" fontId="7" fillId="5" borderId="26" xfId="0" applyFont="1" applyFill="1" applyBorder="1" applyAlignment="1">
      <alignment horizontal="center" vertical="top" wrapText="1"/>
    </xf>
    <xf numFmtId="0" fontId="7" fillId="21" borderId="5" xfId="0" applyFont="1" applyFill="1" applyBorder="1" applyAlignment="1">
      <alignment horizontal="center" vertical="top" wrapText="1"/>
    </xf>
    <xf numFmtId="0" fontId="7" fillId="21" borderId="14" xfId="0" applyFont="1" applyFill="1" applyBorder="1" applyAlignment="1">
      <alignment horizontal="center" vertical="top" wrapText="1"/>
    </xf>
    <xf numFmtId="0" fontId="7" fillId="21" borderId="4" xfId="0" applyFont="1" applyFill="1" applyBorder="1" applyAlignment="1">
      <alignment horizontal="center" vertical="top" wrapText="1"/>
    </xf>
    <xf numFmtId="0" fontId="6" fillId="0" borderId="5" xfId="0" applyFont="1" applyBorder="1" applyAlignment="1">
      <alignment horizontal="center" vertical="top" wrapText="1"/>
    </xf>
    <xf numFmtId="0" fontId="6" fillId="0" borderId="1" xfId="0" applyFont="1" applyBorder="1" applyAlignment="1">
      <alignment horizontal="center" vertical="top"/>
    </xf>
    <xf numFmtId="0" fontId="16" fillId="0" borderId="3" xfId="0" applyFont="1" applyBorder="1" applyAlignment="1">
      <alignment horizontal="left" vertical="top" wrapText="1"/>
    </xf>
    <xf numFmtId="0" fontId="6" fillId="0" borderId="4" xfId="0" applyFont="1" applyBorder="1" applyAlignment="1">
      <alignment horizontal="center" vertical="top" wrapText="1"/>
    </xf>
    <xf numFmtId="0" fontId="6" fillId="0" borderId="1" xfId="0" applyFont="1" applyBorder="1" applyAlignment="1">
      <alignment horizontal="center" vertical="top" wrapText="1"/>
    </xf>
    <xf numFmtId="0" fontId="6" fillId="0" borderId="9" xfId="0" applyFont="1" applyBorder="1" applyAlignment="1">
      <alignment horizontal="center" vertical="top" wrapText="1"/>
    </xf>
    <xf numFmtId="0" fontId="6" fillId="0" borderId="7" xfId="0" applyFont="1" applyBorder="1" applyAlignment="1">
      <alignment horizontal="left" vertical="top" wrapText="1"/>
    </xf>
    <xf numFmtId="0" fontId="6" fillId="0" borderId="8" xfId="0" applyFont="1" applyBorder="1" applyAlignment="1">
      <alignment horizontal="center" vertical="top"/>
    </xf>
    <xf numFmtId="0" fontId="16" fillId="0" borderId="7" xfId="0" applyFont="1" applyBorder="1" applyAlignment="1">
      <alignment horizontal="left" vertical="top" wrapText="1"/>
    </xf>
    <xf numFmtId="0" fontId="6" fillId="0" borderId="8" xfId="0" applyFont="1" applyBorder="1" applyAlignment="1">
      <alignment horizontal="center" vertical="top" wrapText="1"/>
    </xf>
    <xf numFmtId="0" fontId="27" fillId="5" borderId="3" xfId="0" applyFont="1" applyFill="1" applyBorder="1" applyAlignment="1">
      <alignment horizontal="center" vertical="center" wrapText="1"/>
    </xf>
    <xf numFmtId="0" fontId="28" fillId="5" borderId="3" xfId="0" applyFont="1" applyFill="1" applyBorder="1" applyAlignment="1">
      <alignment horizontal="center" vertical="center" wrapText="1"/>
    </xf>
    <xf numFmtId="0" fontId="27" fillId="5" borderId="2" xfId="0" applyFont="1" applyFill="1" applyBorder="1" applyAlignment="1">
      <alignment horizontal="center" vertical="center" wrapText="1"/>
    </xf>
    <xf numFmtId="0" fontId="29" fillId="0" borderId="11" xfId="0" applyFont="1" applyBorder="1" applyAlignment="1">
      <alignment horizontal="center" vertical="center" wrapText="1"/>
    </xf>
    <xf numFmtId="0" fontId="29" fillId="0" borderId="3" xfId="0" applyFont="1" applyBorder="1" applyAlignment="1">
      <alignment vertical="center" wrapText="1"/>
    </xf>
    <xf numFmtId="0" fontId="29" fillId="0" borderId="3" xfId="0" applyFont="1" applyBorder="1" applyAlignment="1">
      <alignment horizontal="center" vertical="center" wrapText="1"/>
    </xf>
    <xf numFmtId="0" fontId="30" fillId="0" borderId="2" xfId="0" applyFont="1" applyBorder="1" applyAlignment="1">
      <alignment horizontal="center" vertical="center" wrapText="1"/>
    </xf>
    <xf numFmtId="0" fontId="31" fillId="0" borderId="3" xfId="0" applyFont="1" applyBorder="1" applyAlignment="1">
      <alignment horizontal="center" vertical="center" wrapText="1"/>
    </xf>
    <xf numFmtId="0" fontId="32" fillId="0" borderId="3" xfId="0" applyFont="1" applyBorder="1" applyAlignment="1">
      <alignment horizontal="center" vertical="center" wrapText="1"/>
    </xf>
    <xf numFmtId="0" fontId="31" fillId="0" borderId="0" xfId="0" applyFont="1"/>
    <xf numFmtId="0" fontId="0" fillId="0" borderId="3" xfId="0" applyBorder="1"/>
    <xf numFmtId="0" fontId="0" fillId="0" borderId="2" xfId="0" applyBorder="1"/>
    <xf numFmtId="0" fontId="33" fillId="0" borderId="0" xfId="0" applyFont="1" applyAlignment="1">
      <alignment horizontal="center" vertical="center" wrapText="1"/>
    </xf>
    <xf numFmtId="0" fontId="0" fillId="0" borderId="0" xfId="0" applyAlignment="1">
      <alignment horizontal="left" vertical="center" wrapText="1"/>
    </xf>
    <xf numFmtId="0" fontId="34" fillId="22" borderId="40" xfId="0" applyFont="1" applyFill="1" applyBorder="1" applyAlignment="1">
      <alignment horizontal="center" vertical="center" wrapText="1"/>
    </xf>
    <xf numFmtId="0" fontId="35" fillId="22" borderId="16" xfId="0" applyFont="1" applyFill="1" applyBorder="1" applyAlignment="1">
      <alignment horizontal="center" vertical="center" wrapText="1"/>
    </xf>
    <xf numFmtId="0" fontId="34" fillId="0" borderId="0" xfId="0" applyFont="1" applyAlignment="1">
      <alignment horizontal="center" vertical="center" wrapText="1"/>
    </xf>
    <xf numFmtId="0" fontId="35" fillId="0" borderId="0" xfId="0" applyFont="1" applyAlignment="1">
      <alignment horizontal="center" vertical="center" wrapText="1"/>
    </xf>
    <xf numFmtId="0" fontId="0" fillId="0" borderId="37" xfId="0" applyBorder="1" applyAlignment="1">
      <alignment horizontal="left" vertical="center" wrapText="1"/>
    </xf>
    <xf numFmtId="0" fontId="0" fillId="0" borderId="24" xfId="0" applyBorder="1" applyAlignment="1">
      <alignment horizontal="left" vertical="center" wrapText="1"/>
    </xf>
    <xf numFmtId="0" fontId="0" fillId="0" borderId="31" xfId="0" applyBorder="1" applyAlignment="1">
      <alignment horizontal="left" vertical="center" wrapText="1"/>
    </xf>
    <xf numFmtId="0" fontId="37" fillId="23" borderId="3" xfId="3" applyFont="1" applyFill="1" applyBorder="1" applyAlignment="1">
      <alignment horizontal="left" vertical="center" wrapText="1"/>
    </xf>
    <xf numFmtId="0" fontId="37" fillId="23" borderId="3" xfId="3" applyFont="1" applyFill="1" applyBorder="1" applyAlignment="1">
      <alignment horizontal="center" vertical="center" wrapText="1"/>
    </xf>
    <xf numFmtId="0" fontId="37" fillId="24" borderId="3" xfId="3" applyFont="1" applyFill="1" applyBorder="1" applyAlignment="1">
      <alignment horizontal="left" vertical="center" wrapText="1"/>
    </xf>
    <xf numFmtId="0" fontId="3" fillId="0" borderId="3" xfId="3" applyBorder="1" applyAlignment="1">
      <alignment horizontal="center" vertical="center" wrapText="1"/>
    </xf>
    <xf numFmtId="0" fontId="39" fillId="0" borderId="0" xfId="3" applyFont="1"/>
    <xf numFmtId="0" fontId="40" fillId="0" borderId="0" xfId="3" applyFont="1"/>
    <xf numFmtId="0" fontId="3" fillId="0" borderId="0" xfId="3"/>
    <xf numFmtId="0" fontId="41" fillId="25" borderId="3" xfId="3" applyFont="1" applyFill="1" applyBorder="1"/>
    <xf numFmtId="0" fontId="37" fillId="26" borderId="3" xfId="3" applyFont="1" applyFill="1" applyBorder="1" applyAlignment="1">
      <alignment horizontal="center"/>
    </xf>
    <xf numFmtId="0" fontId="3" fillId="0" borderId="3" xfId="3" applyBorder="1"/>
    <xf numFmtId="0" fontId="6" fillId="28" borderId="6" xfId="0" applyFont="1" applyFill="1" applyBorder="1" applyAlignment="1">
      <alignment horizontal="center" vertical="top"/>
    </xf>
    <xf numFmtId="0" fontId="6" fillId="28" borderId="6" xfId="0" applyFont="1" applyFill="1" applyBorder="1" applyAlignment="1">
      <alignment horizontal="center" vertical="center"/>
    </xf>
    <xf numFmtId="0" fontId="6" fillId="28" borderId="3" xfId="0" applyFont="1" applyFill="1" applyBorder="1" applyAlignment="1">
      <alignment vertical="top" wrapText="1"/>
    </xf>
    <xf numFmtId="0" fontId="6" fillId="28" borderId="3" xfId="0" applyFont="1" applyFill="1" applyBorder="1" applyAlignment="1">
      <alignment horizontal="center" vertical="center" wrapText="1"/>
    </xf>
    <xf numFmtId="164" fontId="14" fillId="28" borderId="3" xfId="0" applyNumberFormat="1" applyFont="1" applyFill="1" applyBorder="1" applyAlignment="1">
      <alignment horizontal="center" vertical="center" wrapText="1"/>
    </xf>
    <xf numFmtId="0" fontId="6" fillId="28" borderId="3" xfId="0" applyFont="1" applyFill="1" applyBorder="1" applyAlignment="1">
      <alignment horizontal="center" vertical="top" wrapText="1"/>
    </xf>
    <xf numFmtId="0" fontId="6" fillId="28" borderId="3" xfId="0" applyFont="1" applyFill="1" applyBorder="1" applyAlignment="1">
      <alignment vertical="top"/>
    </xf>
    <xf numFmtId="0" fontId="0" fillId="28" borderId="0" xfId="0" applyFill="1"/>
    <xf numFmtId="164" fontId="14" fillId="27" borderId="3" xfId="0" applyNumberFormat="1" applyFont="1" applyFill="1" applyBorder="1" applyAlignment="1">
      <alignment horizontal="center" vertical="center" wrapText="1"/>
    </xf>
    <xf numFmtId="0" fontId="6" fillId="27" borderId="3" xfId="0" applyFont="1" applyFill="1" applyBorder="1" applyAlignment="1">
      <alignment horizontal="center" vertical="top" wrapText="1"/>
    </xf>
    <xf numFmtId="0" fontId="6" fillId="0" borderId="6" xfId="0" applyFont="1" applyFill="1" applyBorder="1" applyAlignment="1">
      <alignment horizontal="center" vertical="top"/>
    </xf>
    <xf numFmtId="0" fontId="6" fillId="0" borderId="6" xfId="0" applyFont="1" applyFill="1" applyBorder="1" applyAlignment="1">
      <alignment horizontal="center" vertical="center"/>
    </xf>
    <xf numFmtId="0" fontId="6" fillId="0" borderId="3" xfId="0" applyFont="1" applyFill="1" applyBorder="1" applyAlignment="1">
      <alignment vertical="top" wrapText="1"/>
    </xf>
    <xf numFmtId="0" fontId="6" fillId="0" borderId="3" xfId="0" applyFont="1" applyFill="1" applyBorder="1" applyAlignment="1">
      <alignment horizontal="center" vertical="center"/>
    </xf>
    <xf numFmtId="0" fontId="6" fillId="0" borderId="3" xfId="0" applyFont="1" applyFill="1" applyBorder="1" applyAlignment="1">
      <alignment vertical="top"/>
    </xf>
    <xf numFmtId="0" fontId="6" fillId="0" borderId="3" xfId="0" applyFont="1" applyFill="1" applyBorder="1" applyAlignment="1">
      <alignment horizontal="center" vertical="center" wrapText="1"/>
    </xf>
    <xf numFmtId="164" fontId="14" fillId="0" borderId="3" xfId="0" applyNumberFormat="1" applyFont="1" applyFill="1" applyBorder="1" applyAlignment="1">
      <alignment horizontal="center" vertical="center" wrapText="1"/>
    </xf>
    <xf numFmtId="0" fontId="6" fillId="0" borderId="0" xfId="0" applyFont="1" applyFill="1" applyAlignment="1">
      <alignment vertical="top"/>
    </xf>
    <xf numFmtId="0" fontId="6" fillId="0" borderId="7" xfId="0" applyFont="1" applyFill="1" applyBorder="1" applyAlignment="1">
      <alignment horizontal="center" vertical="top"/>
    </xf>
    <xf numFmtId="0" fontId="6" fillId="0" borderId="7" xfId="0" applyFont="1" applyFill="1" applyBorder="1" applyAlignment="1">
      <alignment horizontal="center" vertical="center"/>
    </xf>
    <xf numFmtId="0" fontId="6" fillId="0" borderId="7" xfId="0" applyFont="1" applyFill="1" applyBorder="1" applyAlignment="1">
      <alignment vertical="top" wrapText="1"/>
    </xf>
    <xf numFmtId="0" fontId="6" fillId="0" borderId="7" xfId="0" applyFont="1" applyFill="1" applyBorder="1" applyAlignment="1">
      <alignment vertical="top"/>
    </xf>
    <xf numFmtId="0" fontId="6" fillId="0" borderId="7" xfId="0" applyFont="1" applyFill="1" applyBorder="1" applyAlignment="1">
      <alignment horizontal="center" vertical="center" wrapText="1"/>
    </xf>
    <xf numFmtId="164" fontId="14" fillId="0" borderId="7" xfId="0" applyNumberFormat="1" applyFont="1" applyFill="1" applyBorder="1" applyAlignment="1">
      <alignment horizontal="center" vertical="center" wrapText="1"/>
    </xf>
    <xf numFmtId="0" fontId="6" fillId="0" borderId="7" xfId="0" applyFont="1" applyFill="1" applyBorder="1" applyAlignment="1">
      <alignment horizontal="center" vertical="top" wrapText="1"/>
    </xf>
    <xf numFmtId="0" fontId="0" fillId="0" borderId="0" xfId="0" applyFill="1"/>
    <xf numFmtId="0" fontId="6" fillId="0" borderId="3" xfId="0" applyFont="1" applyFill="1" applyBorder="1" applyAlignment="1">
      <alignment horizontal="center" vertical="top"/>
    </xf>
    <xf numFmtId="0" fontId="6" fillId="0" borderId="3" xfId="0" applyFont="1" applyFill="1" applyBorder="1" applyAlignment="1">
      <alignment horizontal="center" vertical="top" wrapText="1"/>
    </xf>
    <xf numFmtId="15" fontId="39" fillId="0" borderId="3" xfId="4" applyNumberFormat="1" applyFont="1" applyBorder="1" applyAlignment="1">
      <alignment horizontal="center" vertical="center"/>
    </xf>
    <xf numFmtId="0" fontId="2" fillId="0" borderId="3" xfId="3" applyFont="1" applyBorder="1" applyAlignment="1">
      <alignment horizontal="center" vertical="center" wrapText="1"/>
    </xf>
    <xf numFmtId="0" fontId="39" fillId="0" borderId="3" xfId="4" quotePrefix="1" applyFont="1" applyBorder="1" applyAlignment="1">
      <alignment horizontal="center" vertical="center"/>
    </xf>
    <xf numFmtId="0" fontId="3" fillId="0" borderId="3" xfId="3" applyBorder="1" applyAlignment="1">
      <alignment vertical="center"/>
    </xf>
    <xf numFmtId="0" fontId="6" fillId="29" borderId="3" xfId="0" applyFont="1" applyFill="1" applyBorder="1" applyAlignment="1">
      <alignment vertical="top" wrapText="1"/>
    </xf>
    <xf numFmtId="0" fontId="3" fillId="24" borderId="3" xfId="3" applyFill="1" applyBorder="1" applyAlignment="1">
      <alignment horizontal="left" vertical="center" wrapText="1"/>
    </xf>
    <xf numFmtId="0" fontId="3" fillId="0" borderId="3" xfId="3" applyBorder="1" applyAlignment="1">
      <alignment horizontal="left" vertical="center" wrapText="1"/>
    </xf>
    <xf numFmtId="15" fontId="3" fillId="0" borderId="3" xfId="3" applyNumberFormat="1" applyBorder="1" applyAlignment="1">
      <alignment horizontal="left" vertical="center" wrapText="1"/>
    </xf>
    <xf numFmtId="0" fontId="1" fillId="0" borderId="3" xfId="3" applyFont="1" applyBorder="1" applyAlignment="1">
      <alignment horizontal="left" vertical="center" wrapText="1"/>
    </xf>
    <xf numFmtId="0" fontId="38" fillId="0" borderId="1" xfId="3" applyFont="1" applyBorder="1" applyAlignment="1">
      <alignment horizontal="center" vertical="center"/>
    </xf>
    <xf numFmtId="0" fontId="38" fillId="0" borderId="10" xfId="3" applyFont="1" applyBorder="1" applyAlignment="1">
      <alignment horizontal="center" vertical="center"/>
    </xf>
    <xf numFmtId="0" fontId="38" fillId="0" borderId="2" xfId="3" applyFont="1" applyBorder="1" applyAlignment="1">
      <alignment horizontal="center" vertical="center"/>
    </xf>
    <xf numFmtId="0" fontId="41" fillId="25" borderId="3" xfId="3" applyFont="1" applyFill="1" applyBorder="1" applyAlignment="1">
      <alignment horizontal="center"/>
    </xf>
    <xf numFmtId="0" fontId="39" fillId="0" borderId="3" xfId="4" applyFont="1" applyBorder="1" applyAlignment="1">
      <alignment horizontal="left" vertical="center" wrapText="1"/>
    </xf>
    <xf numFmtId="0" fontId="39" fillId="0" borderId="3" xfId="4" applyFont="1" applyBorder="1" applyAlignment="1">
      <alignment horizontal="left" vertical="center"/>
    </xf>
    <xf numFmtId="0" fontId="39" fillId="0" borderId="3" xfId="4" applyFont="1" applyBorder="1" applyAlignment="1">
      <alignment horizontal="center"/>
    </xf>
    <xf numFmtId="0" fontId="6" fillId="0" borderId="3" xfId="0" applyFont="1" applyBorder="1" applyAlignment="1">
      <alignment horizontal="left" vertical="top" wrapText="1"/>
    </xf>
    <xf numFmtId="0" fontId="9" fillId="0" borderId="0" xfId="0" applyFont="1" applyAlignment="1">
      <alignment wrapText="1"/>
    </xf>
    <xf numFmtId="0" fontId="5" fillId="7" borderId="10" xfId="0" applyFont="1" applyFill="1" applyBorder="1" applyAlignment="1">
      <alignment horizontal="center" vertical="center" wrapText="1"/>
    </xf>
    <xf numFmtId="0" fontId="7" fillId="8" borderId="3" xfId="0" applyFont="1" applyFill="1" applyBorder="1" applyAlignment="1">
      <alignment horizontal="center" vertical="center" wrapText="1"/>
    </xf>
    <xf numFmtId="0" fontId="5" fillId="9" borderId="3" xfId="0" applyFont="1" applyFill="1" applyBorder="1" applyAlignment="1">
      <alignment horizontal="center" vertical="center" wrapText="1"/>
    </xf>
    <xf numFmtId="0" fontId="7" fillId="10" borderId="3" xfId="0" applyFont="1" applyFill="1" applyBorder="1" applyAlignment="1">
      <alignment horizontal="center" vertical="center" wrapText="1"/>
    </xf>
    <xf numFmtId="0" fontId="26" fillId="0" borderId="16" xfId="0" applyFont="1" applyBorder="1" applyAlignment="1">
      <alignment horizontal="left" vertical="center" wrapText="1"/>
    </xf>
    <xf numFmtId="0" fontId="6" fillId="0" borderId="0" xfId="0" applyFont="1" applyAlignment="1">
      <alignment horizontal="left" vertical="top" wrapText="1"/>
    </xf>
    <xf numFmtId="0" fontId="5" fillId="15" borderId="16" xfId="0" applyFont="1" applyFill="1" applyBorder="1" applyAlignment="1">
      <alignment horizontal="center" vertical="center"/>
    </xf>
    <xf numFmtId="0" fontId="20" fillId="3" borderId="16" xfId="0" applyFont="1" applyFill="1" applyBorder="1" applyAlignment="1">
      <alignment horizontal="center"/>
    </xf>
    <xf numFmtId="0" fontId="21" fillId="14" borderId="16" xfId="0" applyFont="1" applyFill="1" applyBorder="1" applyAlignment="1">
      <alignment horizontal="left" vertical="center"/>
    </xf>
    <xf numFmtId="0" fontId="26" fillId="0" borderId="39" xfId="0" applyFont="1" applyBorder="1" applyAlignment="1">
      <alignment horizontal="left" vertical="center" wrapText="1"/>
    </xf>
    <xf numFmtId="0" fontId="21" fillId="14" borderId="17" xfId="0" applyFont="1" applyFill="1" applyBorder="1" applyAlignment="1">
      <alignment horizontal="center" vertical="center"/>
    </xf>
    <xf numFmtId="0" fontId="21" fillId="14" borderId="16" xfId="0" applyFont="1" applyFill="1" applyBorder="1" applyAlignment="1">
      <alignment horizontal="center" vertical="center"/>
    </xf>
    <xf numFmtId="0" fontId="5" fillId="9" borderId="41" xfId="0" applyFont="1" applyFill="1" applyBorder="1" applyAlignment="1">
      <alignment horizontal="center" vertical="top" wrapText="1"/>
    </xf>
    <xf numFmtId="0" fontId="5" fillId="8" borderId="38" xfId="0" applyFont="1" applyFill="1" applyBorder="1" applyAlignment="1">
      <alignment horizontal="center" vertical="top" wrapText="1"/>
    </xf>
    <xf numFmtId="0" fontId="27" fillId="9" borderId="3" xfId="0" applyFont="1" applyFill="1" applyBorder="1" applyAlignment="1">
      <alignment horizontal="center" vertical="center" wrapText="1"/>
    </xf>
    <xf numFmtId="0" fontId="33" fillId="0" borderId="16" xfId="0" applyFont="1" applyBorder="1" applyAlignment="1">
      <alignment horizontal="center" vertical="center" wrapText="1"/>
    </xf>
  </cellXfs>
  <cellStyles count="5">
    <cellStyle name="Excel Built-in Normal" xfId="2" xr:uid="{00000000-0005-0000-0000-000000000000}"/>
    <cellStyle name="Normal" xfId="0" builtinId="0"/>
    <cellStyle name="Normal 2" xfId="1" xr:uid="{00000000-0005-0000-0000-000002000000}"/>
    <cellStyle name="Normal 2 2" xfId="4" xr:uid="{00000000-0005-0000-0000-000003000000}"/>
    <cellStyle name="Normal 3" xfId="3" xr:uid="{00000000-0005-0000-0000-000004000000}"/>
  </cellStyles>
  <dxfs count="23">
    <dxf>
      <font>
        <b/>
        <i val="0"/>
        <color rgb="FFFFFFFF"/>
      </font>
      <fill>
        <patternFill>
          <bgColor rgb="FF548235"/>
        </patternFill>
      </fill>
      <border diagonalUp="0" diagonalDown="0">
        <left style="thin">
          <color auto="1"/>
        </left>
        <right style="thin">
          <color auto="1"/>
        </right>
        <top style="thin">
          <color auto="1"/>
        </top>
        <bottom style="thin">
          <color auto="1"/>
        </bottom>
      </border>
    </dxf>
    <dxf>
      <font>
        <b/>
        <i val="0"/>
      </font>
      <fill>
        <patternFill>
          <bgColor rgb="FFBFBFBF"/>
        </patternFill>
      </fill>
      <border diagonalUp="0" diagonalDown="0">
        <left style="thin">
          <color auto="1"/>
        </left>
        <right style="thin">
          <color auto="1"/>
        </right>
        <top style="thin">
          <color auto="1"/>
        </top>
        <bottom style="thin">
          <color auto="1"/>
        </bottom>
      </border>
    </dxf>
    <dxf>
      <font>
        <b/>
        <i val="0"/>
      </font>
      <fill>
        <patternFill>
          <bgColor rgb="FFFFC000"/>
        </patternFill>
      </fill>
      <border diagonalUp="0" diagonalDown="0">
        <left style="thin">
          <color auto="1"/>
        </left>
        <right style="thin">
          <color auto="1"/>
        </right>
        <top style="thin">
          <color auto="1"/>
        </top>
        <bottom style="thin">
          <color auto="1"/>
        </bottom>
      </border>
    </dxf>
    <dxf>
      <font>
        <b/>
        <i val="0"/>
        <color rgb="FFFFFFFF"/>
      </font>
      <fill>
        <patternFill>
          <bgColor rgb="FFFF3F3F"/>
        </patternFill>
      </fill>
      <border diagonalUp="0" diagonalDown="0">
        <left style="thin">
          <color auto="1"/>
        </left>
        <right style="thin">
          <color auto="1"/>
        </right>
        <top style="thin">
          <color auto="1"/>
        </top>
        <bottom style="thin">
          <color auto="1"/>
        </bottom>
      </border>
    </dxf>
    <dxf>
      <font>
        <b/>
        <i val="0"/>
        <color rgb="FFFFFFFF"/>
      </font>
      <fill>
        <patternFill>
          <bgColor rgb="FFC00000"/>
        </patternFill>
      </fill>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rgb="FF0000FF"/>
        <name val="Cambria"/>
        <family val="1"/>
        <charset val="1"/>
        <scheme val="none"/>
      </font>
      <numFmt numFmtId="164" formatCode="0.0"/>
      <fill>
        <patternFill patternType="solid">
          <fgColor rgb="FFD6DCE5"/>
          <bgColor rgb="FFD9D9D9"/>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0000FF"/>
        <name val="Cambria"/>
        <family val="1"/>
        <charset val="1"/>
        <scheme val="none"/>
      </font>
      <numFmt numFmtId="164" formatCode="0.0"/>
      <fill>
        <patternFill patternType="solid">
          <fgColor rgb="FFD6DCE5"/>
          <bgColor rgb="FFD9D9D9"/>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000000"/>
        <name val="Cambria"/>
        <family val="1"/>
        <charset val="1"/>
        <scheme val="none"/>
      </font>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000000"/>
        <name val="Cambria"/>
        <family val="1"/>
        <charset val="1"/>
        <scheme val="none"/>
      </font>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000000"/>
        <name val="Cambria"/>
        <family val="1"/>
        <charset val="1"/>
        <scheme val="none"/>
      </font>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000000"/>
        <name val="Cambria"/>
        <scheme val="none"/>
      </font>
      <alignment horizontal="general" vertical="top" textRotation="0" wrapText="0" indent="0" justifyLastLine="0" shrinkToFit="0" readingOrder="0"/>
      <border diagonalUp="0" diagonalDown="0">
        <left style="thin">
          <color auto="1"/>
        </left>
        <right style="thin">
          <color auto="1"/>
        </right>
        <top style="thin">
          <color auto="1"/>
        </top>
        <bottom/>
        <vertical/>
        <horizontal/>
      </border>
    </dxf>
    <dxf>
      <font>
        <name val="Cambria"/>
        <family val="1"/>
        <charset val="1"/>
      </font>
      <fill>
        <patternFill patternType="solid">
          <fgColor rgb="FFD6DCE5"/>
          <bgColor rgb="FFD9D9D9"/>
        </patternFill>
      </fill>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name val="Cambria"/>
        <family val="1"/>
        <charset val="1"/>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000000"/>
        <name val="Cambria"/>
        <family val="1"/>
        <charset val="1"/>
        <scheme val="none"/>
      </font>
      <fill>
        <patternFill patternType="solid">
          <fgColor rgb="FFD6DCE5"/>
          <bgColor rgb="FFD9D9D9"/>
        </patternFill>
      </fill>
      <alignment horizontal="general" vertical="top" textRotation="0" wrapText="1" indent="0" justifyLastLine="0" shrinkToFit="0" readingOrder="0"/>
      <border diagonalUp="0" diagonalDown="0">
        <left style="thin">
          <color auto="1"/>
        </left>
        <right style="thin">
          <color auto="1"/>
        </right>
        <top/>
        <bottom style="thin">
          <color auto="1"/>
        </bottom>
        <vertical/>
        <horizontal/>
      </border>
    </dxf>
    <dxf>
      <alignment horizontal="center" vertical="center" textRotation="0" wrapText="0" indent="0" justifyLastLine="0" shrinkToFit="0" readingOrder="0"/>
    </dxf>
    <dxf>
      <font>
        <b val="0"/>
        <i val="0"/>
        <strike val="0"/>
        <condense val="0"/>
        <extend val="0"/>
        <outline val="0"/>
        <shadow val="0"/>
        <u val="none"/>
        <vertAlign val="baseline"/>
        <sz val="11"/>
        <color rgb="FF000000"/>
        <name val="Cambria"/>
        <family val="1"/>
        <charset val="1"/>
        <scheme val="none"/>
      </font>
      <fill>
        <patternFill patternType="solid">
          <fgColor rgb="FFD6DCE5"/>
          <bgColor rgb="FFD9D9D9"/>
        </patternFill>
      </fill>
      <alignment horizontal="general" vertical="top" textRotation="0" wrapText="1"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11"/>
        <color rgb="FF000000"/>
        <name val="Cambria"/>
        <family val="1"/>
        <charset val="1"/>
        <scheme val="none"/>
      </font>
      <alignment horizontal="center" vertical="center" textRotation="0" wrapText="0" indent="0" justifyLastLine="0" shrinkToFit="0" readingOrder="0"/>
      <border diagonalUp="0" diagonalDown="0">
        <left style="thin">
          <color auto="1"/>
        </left>
        <right style="thin">
          <color auto="1"/>
        </right>
        <top/>
        <bottom style="thin">
          <color auto="1"/>
        </bottom>
        <vertical/>
        <horizontal/>
      </border>
    </dxf>
    <dxf>
      <font>
        <b/>
        <i val="0"/>
        <color rgb="FFFFFFFF"/>
      </font>
      <fill>
        <patternFill>
          <bgColor rgb="FF548235"/>
        </patternFill>
      </fill>
      <border diagonalUp="0" diagonalDown="0">
        <left style="thin">
          <color auto="1"/>
        </left>
        <right style="thin">
          <color auto="1"/>
        </right>
        <top style="thin">
          <color auto="1"/>
        </top>
        <bottom style="thin">
          <color auto="1"/>
        </bottom>
      </border>
    </dxf>
    <dxf>
      <font>
        <b/>
        <i val="0"/>
      </font>
      <fill>
        <patternFill>
          <bgColor rgb="FFBFBFBF"/>
        </patternFill>
      </fill>
      <border diagonalUp="0" diagonalDown="0">
        <left style="thin">
          <color auto="1"/>
        </left>
        <right style="thin">
          <color auto="1"/>
        </right>
        <top style="thin">
          <color auto="1"/>
        </top>
        <bottom style="thin">
          <color auto="1"/>
        </bottom>
      </border>
    </dxf>
    <dxf>
      <font>
        <b/>
        <i val="0"/>
      </font>
      <fill>
        <patternFill>
          <bgColor rgb="FFFFC000"/>
        </patternFill>
      </fill>
      <border diagonalUp="0" diagonalDown="0">
        <left style="thin">
          <color auto="1"/>
        </left>
        <right style="thin">
          <color auto="1"/>
        </right>
        <top style="thin">
          <color auto="1"/>
        </top>
        <bottom style="thin">
          <color auto="1"/>
        </bottom>
      </border>
    </dxf>
    <dxf>
      <font>
        <b/>
        <i val="0"/>
        <color rgb="FFFFFFFF"/>
      </font>
      <fill>
        <patternFill>
          <bgColor rgb="FFFF3F3F"/>
        </patternFill>
      </fill>
      <border diagonalUp="0" diagonalDown="0">
        <left style="thin">
          <color auto="1"/>
        </left>
        <right style="thin">
          <color auto="1"/>
        </right>
        <top style="thin">
          <color auto="1"/>
        </top>
        <bottom style="thin">
          <color auto="1"/>
        </bottom>
      </border>
    </dxf>
    <dxf>
      <font>
        <b/>
        <i val="0"/>
        <color rgb="FFFFFFFF"/>
      </font>
      <fill>
        <patternFill>
          <bgColor rgb="FFC00000"/>
        </patternFill>
      </fill>
      <border diagonalUp="0" diagonalDown="0">
        <left style="thin">
          <color auto="1"/>
        </left>
        <right style="thin">
          <color auto="1"/>
        </right>
        <top style="thin">
          <color auto="1"/>
        </top>
        <bottom style="thin">
          <color auto="1"/>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0A"/>
      <rgbColor rgb="FF548235"/>
      <rgbColor rgb="FF800080"/>
      <rgbColor rgb="FF008080"/>
      <rgbColor rgb="FFBFBFBF"/>
      <rgbColor rgb="FF808080"/>
      <rgbColor rgb="FFD6DCE5"/>
      <rgbColor rgb="FF993366"/>
      <rgbColor rgb="FFF2F2F2"/>
      <rgbColor rgb="FFCCFFFF"/>
      <rgbColor rgb="FF660066"/>
      <rgbColor rgb="FFFBE5D6"/>
      <rgbColor rgb="FF0066CC"/>
      <rgbColor rgb="FFBDD7EE"/>
      <rgbColor rgb="FF000080"/>
      <rgbColor rgb="FFFF00FF"/>
      <rgbColor rgb="FFFFD966"/>
      <rgbColor rgb="FF00FFFF"/>
      <rgbColor rgb="FF800080"/>
      <rgbColor rgb="FF800000"/>
      <rgbColor rgb="FF008080"/>
      <rgbColor rgb="FF0000FF"/>
      <rgbColor rgb="FF00CCFF"/>
      <rgbColor rgb="FFDAE3F3"/>
      <rgbColor rgb="FFE2F0D9"/>
      <rgbColor rgb="FFFFE699"/>
      <rgbColor rgb="FF9DC3E6"/>
      <rgbColor rgb="FFF4B183"/>
      <rgbColor rgb="FFD9D9D9"/>
      <rgbColor rgb="FFF8CBAD"/>
      <rgbColor rgb="FF3366FF"/>
      <rgbColor rgb="FF33CCCC"/>
      <rgbColor rgb="FF92D050"/>
      <rgbColor rgb="FFFFC000"/>
      <rgbColor rgb="FFEDEDED"/>
      <rgbColor rgb="FFFF3F3F"/>
      <rgbColor rgb="FF666699"/>
      <rgbColor rgb="FFA9D18E"/>
      <rgbColor rgb="FF003366"/>
      <rgbColor rgb="FF339966"/>
      <rgbColor rgb="FF111111"/>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ssets" displayName="Assets" ref="A10:D25" totalsRowShown="0">
  <autoFilter ref="A10:D25" xr:uid="{00000000-0009-0000-0100-000001000000}"/>
  <tableColumns count="4">
    <tableColumn id="1" xr3:uid="{00000000-0010-0000-0000-000001000000}" name="ID #"/>
    <tableColumn id="2" xr3:uid="{00000000-0010-0000-0000-000002000000}" name="Asset Type_x000a_(Information/Physical)"/>
    <tableColumn id="3" xr3:uid="{00000000-0010-0000-0000-000003000000}" name="Asset"/>
    <tableColumn id="4" xr3:uid="{00000000-0010-0000-0000-000004000000}" name="Asset Description" dataDxfId="2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1000000}" name="Vulnerabilities" displayName="Vulnerabilities" ref="A5:D44" totalsRowShown="0">
  <autoFilter ref="A5:D44" xr:uid="{00000000-0009-0000-0100-000008000000}"/>
  <tableColumns count="4">
    <tableColumn id="1" xr3:uid="{00000000-0010-0000-0100-000001000000}" name="Vuln. ID"/>
    <tableColumn id="2" xr3:uid="{00000000-0010-0000-0100-000002000000}" name="Vulnerability Description"/>
    <tableColumn id="3" xr3:uid="{00000000-0010-0000-0100-000003000000}" name="Applicable (Yes/No)"/>
    <tableColumn id="4" xr3:uid="{00000000-0010-0000-0100-000004000000}" name="Rationale (if Vulnerability not applicable)"/>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4:F18" totalsRowShown="0">
  <autoFilter ref="A4:F18" xr:uid="{00000000-0009-0000-0100-000005000000}"/>
  <tableColumns count="6">
    <tableColumn id="1" xr3:uid="{00000000-0010-0000-0200-000001000000}" name="#"/>
    <tableColumn id="2" xr3:uid="{00000000-0010-0000-0200-000002000000}" name="Threat Event "/>
    <tableColumn id="3" xr3:uid="{00000000-0010-0000-0200-000003000000}" name="Description "/>
    <tableColumn id="4" xr3:uid="{00000000-0010-0000-0200-000004000000}" name="Threat Source"/>
    <tableColumn id="5" xr3:uid="{00000000-0010-0000-0200-000005000000}" name="In Scope (Yes/No)"/>
    <tableColumn id="6" xr3:uid="{00000000-0010-0000-0200-000006000000}" name="Rationale _x000a_(if out of scope)"/>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4" displayName="Table4" ref="A4:AQ104" totalsRowShown="0">
  <autoFilter ref="A4:AQ104" xr:uid="{00000000-0009-0000-0100-000003000000}"/>
  <tableColumns count="43">
    <tableColumn id="1" xr3:uid="{00000000-0010-0000-0300-000001000000}" name="_x000a_ID #"/>
    <tableColumn id="2" xr3:uid="{00000000-0010-0000-0300-000002000000}" name="T ID" dataDxfId="16"/>
    <tableColumn id="3" xr3:uid="{00000000-0010-0000-0300-000003000000}" name="Threat Event(s)" dataDxfId="15"/>
    <tableColumn id="4" xr3:uid="{00000000-0010-0000-0300-000004000000}" name="V ID" dataDxfId="14"/>
    <tableColumn id="5" xr3:uid="{00000000-0010-0000-0300-000005000000}" name="Vulnerabilities" dataDxfId="13"/>
    <tableColumn id="6" xr3:uid="{00000000-0010-0000-0300-000006000000}" name="A ID" dataDxfId="12"/>
    <tableColumn id="7" xr3:uid="{00000000-0010-0000-0300-000007000000}" name="Asset" dataDxfId="11"/>
    <tableColumn id="8" xr3:uid="{00000000-0010-0000-0300-000008000000}" name="Impact Description"/>
    <tableColumn id="9" xr3:uid="{00000000-0010-0000-0300-000009000000}" name="Safety Impact _x000a_(Risk ID# or N/A)" dataDxfId="10"/>
    <tableColumn id="10" xr3:uid="{00000000-0010-0000-0300-00000A000000}" name="Confidentiality"/>
    <tableColumn id="11" xr3:uid="{00000000-0010-0000-0300-00000B000000}" name="Integrity"/>
    <tableColumn id="12" xr3:uid="{00000000-0010-0000-0300-00000C000000}" name="Availability"/>
    <tableColumn id="13" xr3:uid="{00000000-0010-0000-0300-00000D000000}" name="Attack Vector"/>
    <tableColumn id="14" xr3:uid="{00000000-0010-0000-0300-00000E000000}" name="Attack Complexity"/>
    <tableColumn id="15" xr3:uid="{00000000-0010-0000-0300-00000F000000}" name="Privileges Required"/>
    <tableColumn id="16" xr3:uid="{00000000-0010-0000-0300-000010000000}" name="User Interaction"/>
    <tableColumn id="17" xr3:uid="{00000000-0010-0000-0300-000011000000}" name="Scope"/>
    <tableColumn id="18" xr3:uid="{00000000-0010-0000-0300-000012000000}" name="Exploitability Sub Score"/>
    <tableColumn id="19" xr3:uid="{00000000-0010-0000-0300-000013000000}" name="ISC Base"/>
    <tableColumn id="20" xr3:uid="{00000000-0010-0000-0300-000014000000}" name="Impact Sub Score"/>
    <tableColumn id="21" xr3:uid="{00000000-0010-0000-0300-000015000000}" name="CVSS v3.0 Base Score"/>
    <tableColumn id="22" xr3:uid="{00000000-0010-0000-0300-000016000000}" name="Threat Event Initiation"/>
    <tableColumn id="23" xr3:uid="{00000000-0010-0000-0300-000017000000}" name="Threat Event Initiation_x000a_Score"/>
    <tableColumn id="24" xr3:uid="{00000000-0010-0000-0300-000018000000}" name="Overall Risk Score"/>
    <tableColumn id="25" xr3:uid="{00000000-0010-0000-0300-000019000000}" name="Security _x000a_Risk _x000a_Level"/>
    <tableColumn id="26" xr3:uid="{00000000-0010-0000-0300-00001A000000}" name="Security Risk Control Measures" dataDxfId="9"/>
    <tableColumn id="27" xr3:uid="{00000000-0010-0000-0300-00001B000000}" name="Implementation of Risk Control Measures " dataDxfId="8"/>
    <tableColumn id="28" xr3:uid="{00000000-0010-0000-0300-00001C000000}" name="Verification of Risk Control Measures (Effectiveness)" dataDxfId="7"/>
    <tableColumn id="29" xr3:uid="{00000000-0010-0000-0300-00001D000000}" name="ConfidentialityP"/>
    <tableColumn id="30" xr3:uid="{00000000-0010-0000-0300-00001E000000}" name="IntegrityP"/>
    <tableColumn id="31" xr3:uid="{00000000-0010-0000-0300-00001F000000}" name="AvailabilityP"/>
    <tableColumn id="32" xr3:uid="{00000000-0010-0000-0300-000020000000}" name="Attack VectorP"/>
    <tableColumn id="33" xr3:uid="{00000000-0010-0000-0300-000021000000}" name="Attack ComplexityP"/>
    <tableColumn id="34" xr3:uid="{00000000-0010-0000-0300-000022000000}" name="Privileges RequiredP"/>
    <tableColumn id="35" xr3:uid="{00000000-0010-0000-0300-000023000000}" name="User InteractionP"/>
    <tableColumn id="36" xr3:uid="{00000000-0010-0000-0300-000024000000}" name="ScopeP"/>
    <tableColumn id="37" xr3:uid="{00000000-0010-0000-0300-000025000000}" name="Exploitability Sub ScoreP"/>
    <tableColumn id="38" xr3:uid="{00000000-0010-0000-0300-000026000000}" name="ISC BaseP"/>
    <tableColumn id="39" xr3:uid="{00000000-0010-0000-0300-000027000000}" name="Impact Sub ScoreP"/>
    <tableColumn id="40" xr3:uid="{00000000-0010-0000-0300-000028000000}" name="CVSS v3.0 Base ScoreP" dataDxfId="6"/>
    <tableColumn id="41" xr3:uid="{00000000-0010-0000-0300-000029000000}" name="Overall Risk ScoreP" dataDxfId="5"/>
    <tableColumn id="42" xr3:uid="{00000000-0010-0000-0300-00002A000000}" name="Security Risk LevelP"/>
    <tableColumn id="43" xr3:uid="{00000000-0010-0000-0300-00002B000000}" name="Residual Security Risk Acceptability Justificatio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able41415" displayName="Table41415" ref="A8:M88" totalsRowShown="0">
  <autoFilter ref="A8:M88" xr:uid="{00000000-0009-0000-0100-000004000000}"/>
  <tableColumns count="13">
    <tableColumn id="1" xr3:uid="{00000000-0010-0000-0400-000001000000}" name="_x000a_ID #"/>
    <tableColumn id="2" xr3:uid="{00000000-0010-0000-0400-000002000000}" name="T ID"/>
    <tableColumn id="3" xr3:uid="{00000000-0010-0000-0400-000003000000}" name="Threat Event(s)"/>
    <tableColumn id="4" xr3:uid="{00000000-0010-0000-0400-000004000000}" name="V ID"/>
    <tableColumn id="5" xr3:uid="{00000000-0010-0000-0400-000005000000}" name="Vulnerabilities"/>
    <tableColumn id="6" xr3:uid="{00000000-0010-0000-0400-000006000000}" name="A ID"/>
    <tableColumn id="7" xr3:uid="{00000000-0010-0000-0400-000007000000}" name="Assets"/>
    <tableColumn id="8" xr3:uid="{00000000-0010-0000-0400-000008000000}" name="Impact Description"/>
    <tableColumn id="9" xr3:uid="{00000000-0010-0000-0400-000009000000}" name="Safety Impact _x000a_(Risk ID# or N/A)"/>
    <tableColumn id="10" xr3:uid="{00000000-0010-0000-0400-00000A000000}" name="Pre-Controls _x000a_Risk Level"/>
    <tableColumn id="11" xr3:uid="{00000000-0010-0000-0400-00000B000000}" name="Security Risk Control Measures"/>
    <tableColumn id="12" xr3:uid="{00000000-0010-0000-0400-00000C000000}" name="Post-Controls Risk Level"/>
    <tableColumn id="13" xr3:uid="{00000000-0010-0000-0400-00000D000000}" name="Residual Security Risk Acceptability Justificatio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5000000}" name="NIST_Scale_LOAI" displayName="NIST_Scale_LOAI" ref="Q5:R11" totalsRowShown="0">
  <autoFilter ref="Q5:R11" xr:uid="{00000000-0009-0000-0100-000002000000}"/>
  <tableColumns count="2">
    <tableColumn id="1" xr3:uid="{00000000-0010-0000-0500-000001000000}" name="Rating"/>
    <tableColumn id="2" xr3:uid="{00000000-0010-0000-0500-000002000000}" name="Score"/>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Table7" displayName="Table7" ref="A5:C11" totalsRowShown="0">
  <autoFilter ref="A5:C11" xr:uid="{00000000-0009-0000-0100-000006000000}"/>
  <tableColumns count="3">
    <tableColumn id="1" xr3:uid="{00000000-0010-0000-0600-000001000000}" name="ID#"/>
    <tableColumn id="2" xr3:uid="{00000000-0010-0000-0600-000002000000}" name="Threat Source"/>
    <tableColumn id="3" xr3:uid="{00000000-0010-0000-0600-000003000000}" name="In Scope (Y/N)"/>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Table8" displayName="Table8" ref="E5:G11" totalsRowShown="0">
  <autoFilter ref="E5:G11" xr:uid="{00000000-0009-0000-0100-000007000000}"/>
  <tableColumns count="3">
    <tableColumn id="1" xr3:uid="{00000000-0010-0000-0700-000001000000}" name="ID#"/>
    <tableColumn id="2" xr3:uid="{00000000-0010-0000-0700-000002000000}" name="Source"/>
    <tableColumn id="3" xr3:uid="{00000000-0010-0000-0700-000003000000}" name="In Scope (Y/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7.vml"/><Relationship Id="rId1" Type="http://schemas.openxmlformats.org/officeDocument/2006/relationships/printerSettings" Target="../printerSettings/printerSettings8.bin"/><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3:F28"/>
  <sheetViews>
    <sheetView view="pageBreakPreview" topLeftCell="A17" zoomScale="112" zoomScaleNormal="90" zoomScaleSheetLayoutView="112" workbookViewId="0">
      <selection activeCell="C9" sqref="C9"/>
    </sheetView>
  </sheetViews>
  <sheetFormatPr defaultRowHeight="15"/>
  <cols>
    <col min="2" max="2" width="13.42578125" customWidth="1"/>
    <col min="3" max="3" width="15.42578125" customWidth="1"/>
    <col min="4" max="4" width="28.85546875" customWidth="1"/>
    <col min="5" max="5" width="19.140625" customWidth="1"/>
    <col min="6" max="6" width="24.140625" customWidth="1"/>
  </cols>
  <sheetData>
    <row r="3" spans="2:6" ht="32.1" customHeight="1">
      <c r="B3" s="243" t="s">
        <v>0</v>
      </c>
      <c r="C3" s="243"/>
      <c r="D3" s="243" t="s">
        <v>1</v>
      </c>
      <c r="E3" s="243"/>
      <c r="F3" s="243"/>
    </row>
    <row r="4" spans="2:6" ht="32.1" customHeight="1">
      <c r="B4" s="243" t="s">
        <v>2</v>
      </c>
      <c r="C4" s="243"/>
      <c r="D4" s="243" t="s">
        <v>3</v>
      </c>
      <c r="E4" s="243"/>
      <c r="F4" s="243"/>
    </row>
    <row r="5" spans="2:6" ht="32.1" customHeight="1">
      <c r="B5" s="243" t="s">
        <v>4</v>
      </c>
      <c r="C5" s="243"/>
      <c r="D5" s="244">
        <v>44659</v>
      </c>
      <c r="E5" s="243"/>
      <c r="F5" s="243"/>
    </row>
    <row r="6" spans="2:6" ht="32.1" customHeight="1">
      <c r="B6" s="243" t="s">
        <v>5</v>
      </c>
      <c r="C6" s="243"/>
      <c r="D6" s="245" t="s">
        <v>466</v>
      </c>
      <c r="E6" s="243"/>
      <c r="F6" s="243"/>
    </row>
    <row r="7" spans="2:6" ht="32.1" customHeight="1">
      <c r="B7" s="243" t="s">
        <v>7</v>
      </c>
      <c r="C7" s="243"/>
      <c r="D7" s="243" t="s">
        <v>8</v>
      </c>
      <c r="E7" s="243"/>
      <c r="F7" s="243"/>
    </row>
    <row r="13" spans="2:6" ht="33.6" customHeight="1">
      <c r="B13" s="246" t="s">
        <v>9</v>
      </c>
      <c r="C13" s="247"/>
      <c r="D13" s="247"/>
      <c r="E13" s="247"/>
      <c r="F13" s="248"/>
    </row>
    <row r="14" spans="2:6" ht="14.45" customHeight="1">
      <c r="B14" s="199" t="s">
        <v>10</v>
      </c>
      <c r="C14" s="200" t="s">
        <v>11</v>
      </c>
      <c r="D14" s="200" t="s">
        <v>12</v>
      </c>
      <c r="E14" s="200" t="s">
        <v>13</v>
      </c>
      <c r="F14" s="200" t="s">
        <v>4</v>
      </c>
    </row>
    <row r="15" spans="2:6" ht="45" customHeight="1">
      <c r="B15" s="201" t="s">
        <v>14</v>
      </c>
      <c r="C15" s="202" t="s">
        <v>15</v>
      </c>
      <c r="D15" s="238" t="s">
        <v>463</v>
      </c>
      <c r="E15" s="202"/>
      <c r="F15" s="202"/>
    </row>
    <row r="16" spans="2:6" ht="45" customHeight="1">
      <c r="B16" s="242" t="s">
        <v>16</v>
      </c>
      <c r="C16" s="238" t="s">
        <v>461</v>
      </c>
      <c r="D16" s="238" t="s">
        <v>462</v>
      </c>
      <c r="E16" s="202"/>
      <c r="F16" s="202"/>
    </row>
    <row r="17" spans="2:6" ht="45" customHeight="1">
      <c r="B17" s="242"/>
      <c r="C17" s="202" t="s">
        <v>17</v>
      </c>
      <c r="D17" s="202" t="s">
        <v>18</v>
      </c>
      <c r="E17" s="202"/>
      <c r="F17" s="202"/>
    </row>
    <row r="18" spans="2:6" ht="45" customHeight="1">
      <c r="B18" s="242"/>
      <c r="C18" s="202" t="s">
        <v>19</v>
      </c>
      <c r="D18" s="202" t="s">
        <v>20</v>
      </c>
      <c r="E18" s="202"/>
      <c r="F18" s="202"/>
    </row>
    <row r="23" spans="2:6">
      <c r="B23" s="203" t="s">
        <v>21</v>
      </c>
      <c r="C23" s="204"/>
      <c r="D23" s="205"/>
      <c r="E23" s="204"/>
      <c r="F23" s="204"/>
    </row>
    <row r="24" spans="2:6">
      <c r="B24" s="206" t="s">
        <v>22</v>
      </c>
      <c r="C24" s="206" t="s">
        <v>23</v>
      </c>
      <c r="D24" s="207" t="s">
        <v>24</v>
      </c>
      <c r="E24" s="249" t="s">
        <v>25</v>
      </c>
      <c r="F24" s="249"/>
    </row>
    <row r="25" spans="2:6" ht="39" customHeight="1">
      <c r="B25" s="239" t="s">
        <v>26</v>
      </c>
      <c r="C25" s="237">
        <v>44438</v>
      </c>
      <c r="D25" s="240" t="s">
        <v>15</v>
      </c>
      <c r="E25" s="250" t="s">
        <v>464</v>
      </c>
      <c r="F25" s="251"/>
    </row>
    <row r="26" spans="2:6" ht="90.6" customHeight="1">
      <c r="B26" s="239" t="s">
        <v>27</v>
      </c>
      <c r="C26" s="237">
        <v>44659</v>
      </c>
      <c r="D26" s="240" t="s">
        <v>15</v>
      </c>
      <c r="E26" s="250" t="s">
        <v>468</v>
      </c>
      <c r="F26" s="251"/>
    </row>
    <row r="27" spans="2:6">
      <c r="B27" s="208"/>
      <c r="C27" s="208"/>
      <c r="D27" s="208"/>
      <c r="E27" s="252"/>
      <c r="F27" s="252"/>
    </row>
    <row r="28" spans="2:6">
      <c r="B28" s="208"/>
      <c r="C28" s="208"/>
      <c r="D28" s="208"/>
      <c r="E28" s="252"/>
      <c r="F28" s="252"/>
    </row>
  </sheetData>
  <mergeCells count="17">
    <mergeCell ref="E24:F24"/>
    <mergeCell ref="E25:F25"/>
    <mergeCell ref="E26:F26"/>
    <mergeCell ref="E27:F27"/>
    <mergeCell ref="E28:F28"/>
    <mergeCell ref="B16:B18"/>
    <mergeCell ref="B3:C3"/>
    <mergeCell ref="D3:F3"/>
    <mergeCell ref="B4:C4"/>
    <mergeCell ref="D4:F4"/>
    <mergeCell ref="B5:C5"/>
    <mergeCell ref="D5:F5"/>
    <mergeCell ref="B6:C6"/>
    <mergeCell ref="D6:F6"/>
    <mergeCell ref="B7:C7"/>
    <mergeCell ref="D7:F7"/>
    <mergeCell ref="B13:F13"/>
  </mergeCells>
  <pageMargins left="0.25" right="0.25" top="0.75" bottom="0.75" header="0.3" footer="0.3"/>
  <pageSetup paperSize="9" scale="89" fitToHeight="0" orientation="portrait" r:id="rId1"/>
  <headerFooter>
    <oddFooter>&amp;L&amp;"Cambria,Regular"&amp;8Stryker Confidential&amp;R&amp;"Cambria,Regular"&amp;8Page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3"/>
  <sheetViews>
    <sheetView zoomScale="95" zoomScaleNormal="95" workbookViewId="0">
      <selection activeCell="H13" sqref="H13"/>
    </sheetView>
  </sheetViews>
  <sheetFormatPr defaultColWidth="9.140625" defaultRowHeight="15"/>
  <cols>
    <col min="1" max="1" width="27.85546875" customWidth="1"/>
    <col min="2" max="2" width="102.140625" customWidth="1"/>
  </cols>
  <sheetData>
    <row r="1" spans="1:2" ht="18.75">
      <c r="A1" s="190"/>
      <c r="B1" s="191"/>
    </row>
    <row r="2" spans="1:2" ht="18.75">
      <c r="A2" s="192" t="s">
        <v>419</v>
      </c>
      <c r="B2" s="193" t="s">
        <v>420</v>
      </c>
    </row>
    <row r="3" spans="1:2" ht="18.75">
      <c r="A3" s="194"/>
      <c r="B3" s="195"/>
    </row>
    <row r="4" spans="1:2">
      <c r="A4" s="270"/>
      <c r="B4" s="196"/>
    </row>
    <row r="5" spans="1:2">
      <c r="A5" s="270"/>
      <c r="B5" s="197"/>
    </row>
    <row r="6" spans="1:2">
      <c r="A6" s="270"/>
      <c r="B6" s="197"/>
    </row>
    <row r="7" spans="1:2">
      <c r="A7" s="270"/>
      <c r="B7" s="198"/>
    </row>
    <row r="8" spans="1:2" ht="18.75">
      <c r="A8" s="190"/>
      <c r="B8" s="191"/>
    </row>
    <row r="9" spans="1:2">
      <c r="A9" s="270"/>
      <c r="B9" s="196"/>
    </row>
    <row r="10" spans="1:2">
      <c r="A10" s="270"/>
      <c r="B10" s="197"/>
    </row>
    <row r="11" spans="1:2">
      <c r="A11" s="270"/>
      <c r="B11" s="197"/>
    </row>
    <row r="12" spans="1:2">
      <c r="A12" s="270"/>
      <c r="B12" s="197"/>
    </row>
    <row r="13" spans="1:2">
      <c r="A13" s="270"/>
      <c r="B13" s="198"/>
    </row>
  </sheetData>
  <mergeCells count="2">
    <mergeCell ref="A4:A7"/>
    <mergeCell ref="A9:A13"/>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J31"/>
  <sheetViews>
    <sheetView view="pageBreakPreview" zoomScale="60" zoomScaleNormal="95" workbookViewId="0">
      <selection activeCell="C9" sqref="C9"/>
    </sheetView>
  </sheetViews>
  <sheetFormatPr defaultColWidth="9.140625" defaultRowHeight="15"/>
  <cols>
    <col min="1" max="1" width="7.85546875" style="1" customWidth="1"/>
    <col min="2" max="2" width="30.85546875" style="1" customWidth="1"/>
    <col min="3" max="3" width="40.85546875" style="1" customWidth="1"/>
    <col min="4" max="4" width="51.140625" style="1" customWidth="1"/>
    <col min="5" max="5" width="16.140625" style="1" customWidth="1"/>
    <col min="6" max="6" width="14.140625" style="1" customWidth="1"/>
    <col min="7" max="1024" width="9.140625" style="1"/>
  </cols>
  <sheetData>
    <row r="1" spans="1:4" ht="53.45" customHeight="1"/>
    <row r="2" spans="1:4" s="3" customFormat="1" ht="14.25">
      <c r="A2" s="117" t="s">
        <v>28</v>
      </c>
    </row>
    <row r="3" spans="1:4" s="3" customFormat="1" ht="14.25"/>
    <row r="4" spans="1:4" s="3" customFormat="1" ht="14.25">
      <c r="A4" s="4" t="s">
        <v>29</v>
      </c>
      <c r="B4" s="5"/>
      <c r="C4" s="253" t="s">
        <v>6</v>
      </c>
      <c r="D4" s="253"/>
    </row>
    <row r="5" spans="1:4" s="3" customFormat="1" ht="14.25">
      <c r="A5" s="7" t="s">
        <v>30</v>
      </c>
      <c r="B5" s="8"/>
      <c r="C5" s="253" t="s">
        <v>31</v>
      </c>
      <c r="D5" s="253"/>
    </row>
    <row r="6" spans="1:4" s="3" customFormat="1" ht="13.7" customHeight="1">
      <c r="A6" s="7" t="s">
        <v>32</v>
      </c>
      <c r="B6" s="8"/>
      <c r="C6" s="253" t="s">
        <v>437</v>
      </c>
      <c r="D6" s="253"/>
    </row>
    <row r="7" spans="1:4" s="3" customFormat="1" ht="30" customHeight="1">
      <c r="A7" s="9" t="s">
        <v>33</v>
      </c>
      <c r="B7" s="10"/>
      <c r="C7" s="253" t="s">
        <v>467</v>
      </c>
      <c r="D7" s="253"/>
    </row>
    <row r="8" spans="1:4" s="3" customFormat="1" ht="14.25"/>
    <row r="9" spans="1:4" s="3" customFormat="1" ht="14.25"/>
    <row r="10" spans="1:4" s="3" customFormat="1" ht="28.5">
      <c r="A10" s="11" t="s">
        <v>34</v>
      </c>
      <c r="B10" s="12" t="s">
        <v>35</v>
      </c>
      <c r="C10" s="12" t="s">
        <v>36</v>
      </c>
      <c r="D10" s="13" t="s">
        <v>37</v>
      </c>
    </row>
    <row r="11" spans="1:4" s="3" customFormat="1" ht="71.25">
      <c r="A11" s="14" t="s">
        <v>38</v>
      </c>
      <c r="B11" s="15" t="s">
        <v>39</v>
      </c>
      <c r="C11" s="16" t="s">
        <v>40</v>
      </c>
      <c r="D11" s="16" t="s">
        <v>41</v>
      </c>
    </row>
    <row r="12" spans="1:4" s="3" customFormat="1" ht="42.75">
      <c r="A12" s="14" t="s">
        <v>42</v>
      </c>
      <c r="B12" s="15" t="s">
        <v>43</v>
      </c>
      <c r="C12" s="16" t="s">
        <v>44</v>
      </c>
      <c r="D12" s="16" t="s">
        <v>45</v>
      </c>
    </row>
    <row r="13" spans="1:4" s="3" customFormat="1" ht="42.75">
      <c r="A13" s="14" t="s">
        <v>46</v>
      </c>
      <c r="B13" s="15" t="s">
        <v>47</v>
      </c>
      <c r="C13" s="16" t="s">
        <v>48</v>
      </c>
      <c r="D13" s="16" t="s">
        <v>49</v>
      </c>
    </row>
    <row r="14" spans="1:4" s="3" customFormat="1" ht="28.5">
      <c r="A14" s="14" t="s">
        <v>50</v>
      </c>
      <c r="B14" s="15" t="s">
        <v>43</v>
      </c>
      <c r="C14" s="16" t="s">
        <v>51</v>
      </c>
      <c r="D14" s="16" t="s">
        <v>52</v>
      </c>
    </row>
    <row r="15" spans="1:4" s="3" customFormat="1" ht="42.75">
      <c r="A15" s="14" t="s">
        <v>53</v>
      </c>
      <c r="B15" s="15" t="s">
        <v>47</v>
      </c>
      <c r="C15" s="16" t="s">
        <v>54</v>
      </c>
      <c r="D15" s="16" t="s">
        <v>55</v>
      </c>
    </row>
    <row r="16" spans="1:4" s="3" customFormat="1" ht="28.5">
      <c r="A16" s="14" t="s">
        <v>56</v>
      </c>
      <c r="B16" s="15" t="s">
        <v>43</v>
      </c>
      <c r="C16" s="17" t="s">
        <v>57</v>
      </c>
      <c r="D16" s="16" t="s">
        <v>58</v>
      </c>
    </row>
    <row r="17" spans="1:8" s="3" customFormat="1" ht="28.5">
      <c r="A17" s="14" t="s">
        <v>59</v>
      </c>
      <c r="B17" s="15" t="s">
        <v>43</v>
      </c>
      <c r="C17" s="16" t="s">
        <v>60</v>
      </c>
      <c r="D17" s="19" t="s">
        <v>61</v>
      </c>
    </row>
    <row r="18" spans="1:8" s="3" customFormat="1" ht="28.5">
      <c r="A18" s="14" t="s">
        <v>62</v>
      </c>
      <c r="B18" s="18" t="s">
        <v>47</v>
      </c>
      <c r="C18" s="19" t="s">
        <v>63</v>
      </c>
      <c r="D18" s="19" t="s">
        <v>64</v>
      </c>
    </row>
    <row r="19" spans="1:8" s="3" customFormat="1" ht="28.5">
      <c r="A19" s="14" t="s">
        <v>65</v>
      </c>
      <c r="B19" s="18" t="s">
        <v>43</v>
      </c>
      <c r="C19" s="19" t="s">
        <v>66</v>
      </c>
      <c r="D19" s="19" t="s">
        <v>67</v>
      </c>
    </row>
    <row r="20" spans="1:8" s="3" customFormat="1" ht="28.5">
      <c r="A20" s="14" t="s">
        <v>68</v>
      </c>
      <c r="B20" s="18" t="s">
        <v>43</v>
      </c>
      <c r="C20" s="19" t="s">
        <v>69</v>
      </c>
      <c r="D20" s="19" t="s">
        <v>70</v>
      </c>
    </row>
    <row r="21" spans="1:8" s="3" customFormat="1" ht="28.5">
      <c r="A21" s="14" t="s">
        <v>71</v>
      </c>
      <c r="B21" s="18" t="s">
        <v>43</v>
      </c>
      <c r="C21" s="19" t="s">
        <v>72</v>
      </c>
      <c r="D21" s="19" t="s">
        <v>73</v>
      </c>
    </row>
    <row r="22" spans="1:8" s="3" customFormat="1" ht="28.5">
      <c r="A22" s="14" t="s">
        <v>74</v>
      </c>
      <c r="B22" s="18" t="s">
        <v>43</v>
      </c>
      <c r="C22" s="19" t="s">
        <v>75</v>
      </c>
      <c r="D22" s="19" t="s">
        <v>76</v>
      </c>
    </row>
    <row r="23" spans="1:8" s="3" customFormat="1" ht="14.25">
      <c r="A23" s="14" t="s">
        <v>77</v>
      </c>
      <c r="B23" s="18" t="s">
        <v>43</v>
      </c>
      <c r="C23" s="19" t="s">
        <v>78</v>
      </c>
      <c r="D23" s="19" t="s">
        <v>79</v>
      </c>
    </row>
    <row r="24" spans="1:8" s="3" customFormat="1" ht="28.5">
      <c r="A24" s="14" t="s">
        <v>80</v>
      </c>
      <c r="B24" s="20" t="s">
        <v>43</v>
      </c>
      <c r="C24" s="21" t="s">
        <v>81</v>
      </c>
      <c r="D24" s="19" t="s">
        <v>82</v>
      </c>
    </row>
    <row r="25" spans="1:8" ht="28.5">
      <c r="A25" s="90" t="s">
        <v>83</v>
      </c>
      <c r="B25" s="18" t="s">
        <v>43</v>
      </c>
      <c r="C25" s="19" t="s">
        <v>84</v>
      </c>
      <c r="D25" s="19" t="s">
        <v>85</v>
      </c>
    </row>
    <row r="28" spans="1:8">
      <c r="A28" s="22" t="s">
        <v>86</v>
      </c>
    </row>
    <row r="29" spans="1:8" ht="34.5" customHeight="1">
      <c r="B29" s="254" t="s">
        <v>87</v>
      </c>
      <c r="C29" s="254"/>
      <c r="D29" s="23"/>
      <c r="E29" s="23"/>
      <c r="F29" s="23"/>
      <c r="G29" s="23"/>
      <c r="H29" s="23"/>
    </row>
    <row r="31" spans="1:8">
      <c r="B31" s="3" t="s">
        <v>88</v>
      </c>
    </row>
  </sheetData>
  <mergeCells count="5">
    <mergeCell ref="C4:D4"/>
    <mergeCell ref="C5:D5"/>
    <mergeCell ref="C6:D6"/>
    <mergeCell ref="C7:D7"/>
    <mergeCell ref="B29:C29"/>
  </mergeCells>
  <pageMargins left="0.25" right="0.25" top="0.75" bottom="0.75" header="0.3" footer="0.3"/>
  <pageSetup paperSize="9" scale="75" firstPageNumber="0" fitToHeight="0" orientation="portrait" r:id="rId1"/>
  <headerFooter>
    <oddFooter>&amp;L&amp;"Cambria,Regular"&amp;8Stryker Confidential&amp;R&amp;"Cambria,Regular"&amp;8Page &amp;P of &amp;N</oddFooter>
  </headerFooter>
  <legacyDrawingHF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J47"/>
  <sheetViews>
    <sheetView view="pageBreakPreview" topLeftCell="A37" zoomScale="60" zoomScaleNormal="95" workbookViewId="0">
      <selection activeCell="D67" sqref="D67"/>
    </sheetView>
  </sheetViews>
  <sheetFormatPr defaultColWidth="9.140625" defaultRowHeight="15"/>
  <cols>
    <col min="1" max="1" width="31.85546875" style="24" customWidth="1"/>
    <col min="2" max="2" width="58.42578125" style="25" customWidth="1"/>
    <col min="3" max="3" width="20.85546875" style="24" customWidth="1"/>
    <col min="4" max="4" width="42.85546875" style="24" customWidth="1"/>
    <col min="5" max="1024" width="9.140625" style="24"/>
  </cols>
  <sheetData>
    <row r="1" spans="1:4" ht="53.45" customHeight="1"/>
    <row r="2" spans="1:4" s="26" customFormat="1" ht="15" customHeight="1">
      <c r="A2" s="2" t="s">
        <v>89</v>
      </c>
      <c r="B2" s="3"/>
    </row>
    <row r="3" spans="1:4" s="26" customFormat="1" ht="15" customHeight="1">
      <c r="A3" s="2"/>
      <c r="B3" s="3"/>
    </row>
    <row r="4" spans="1:4" s="26" customFormat="1" ht="14.25" hidden="1">
      <c r="B4" s="3"/>
    </row>
    <row r="5" spans="1:4" s="26" customFormat="1" ht="14.25">
      <c r="A5" s="27" t="s">
        <v>90</v>
      </c>
      <c r="B5" s="28" t="s">
        <v>91</v>
      </c>
      <c r="C5" s="29" t="s">
        <v>92</v>
      </c>
      <c r="D5" s="29" t="s">
        <v>93</v>
      </c>
    </row>
    <row r="6" spans="1:4" s="26" customFormat="1" ht="28.5">
      <c r="A6" s="30" t="s">
        <v>94</v>
      </c>
      <c r="B6" s="31" t="s">
        <v>95</v>
      </c>
      <c r="C6" s="19" t="s">
        <v>96</v>
      </c>
      <c r="D6" s="19" t="s">
        <v>97</v>
      </c>
    </row>
    <row r="7" spans="1:4" s="26" customFormat="1" ht="42.75">
      <c r="A7" s="32" t="s">
        <v>98</v>
      </c>
      <c r="B7" s="31" t="s">
        <v>99</v>
      </c>
      <c r="C7" s="19" t="s">
        <v>96</v>
      </c>
      <c r="D7" s="19" t="s">
        <v>97</v>
      </c>
    </row>
    <row r="8" spans="1:4" s="26" customFormat="1" ht="28.5">
      <c r="A8" s="32" t="s">
        <v>100</v>
      </c>
      <c r="B8" s="19" t="s">
        <v>101</v>
      </c>
      <c r="C8" s="19" t="s">
        <v>96</v>
      </c>
      <c r="D8" s="19" t="s">
        <v>97</v>
      </c>
    </row>
    <row r="9" spans="1:4" s="26" customFormat="1" ht="28.5">
      <c r="A9" s="32" t="s">
        <v>102</v>
      </c>
      <c r="B9" s="19" t="s">
        <v>103</v>
      </c>
      <c r="C9" s="19" t="s">
        <v>96</v>
      </c>
      <c r="D9" s="19" t="s">
        <v>97</v>
      </c>
    </row>
    <row r="10" spans="1:4" s="26" customFormat="1" ht="14.25">
      <c r="A10" s="32" t="s">
        <v>104</v>
      </c>
      <c r="B10" s="19" t="s">
        <v>105</v>
      </c>
      <c r="C10" s="19" t="s">
        <v>96</v>
      </c>
      <c r="D10" s="19" t="s">
        <v>97</v>
      </c>
    </row>
    <row r="11" spans="1:4" s="26" customFormat="1" ht="14.25">
      <c r="A11" s="33" t="s">
        <v>106</v>
      </c>
      <c r="B11" s="34"/>
      <c r="C11" s="33"/>
      <c r="D11" s="33"/>
    </row>
    <row r="12" spans="1:4" s="26" customFormat="1" ht="14.25">
      <c r="A12" s="35" t="s">
        <v>107</v>
      </c>
      <c r="B12" s="35" t="s">
        <v>108</v>
      </c>
      <c r="C12" s="19" t="s">
        <v>96</v>
      </c>
      <c r="D12" s="19" t="s">
        <v>97</v>
      </c>
    </row>
    <row r="13" spans="1:4" s="26" customFormat="1" ht="28.5">
      <c r="A13" s="35" t="s">
        <v>109</v>
      </c>
      <c r="B13" s="19" t="s">
        <v>110</v>
      </c>
      <c r="C13" s="19" t="s">
        <v>96</v>
      </c>
      <c r="D13" s="19" t="s">
        <v>97</v>
      </c>
    </row>
    <row r="14" spans="1:4" s="26" customFormat="1" ht="28.5">
      <c r="A14" s="35" t="s">
        <v>111</v>
      </c>
      <c r="B14" s="19" t="s">
        <v>112</v>
      </c>
      <c r="C14" s="19" t="s">
        <v>96</v>
      </c>
      <c r="D14" s="19" t="s">
        <v>97</v>
      </c>
    </row>
    <row r="15" spans="1:4" s="26" customFormat="1" ht="14.25">
      <c r="A15" s="35" t="s">
        <v>113</v>
      </c>
      <c r="B15" s="19" t="s">
        <v>114</v>
      </c>
      <c r="C15" s="19" t="s">
        <v>96</v>
      </c>
      <c r="D15" s="19" t="s">
        <v>97</v>
      </c>
    </row>
    <row r="16" spans="1:4" s="26" customFormat="1" ht="42.75">
      <c r="A16" s="35" t="s">
        <v>115</v>
      </c>
      <c r="B16" s="19" t="s">
        <v>116</v>
      </c>
      <c r="C16" s="19" t="s">
        <v>96</v>
      </c>
      <c r="D16" s="19" t="s">
        <v>97</v>
      </c>
    </row>
    <row r="17" spans="1:4" s="26" customFormat="1" ht="28.5">
      <c r="A17" s="35" t="s">
        <v>117</v>
      </c>
      <c r="B17" s="19" t="s">
        <v>118</v>
      </c>
      <c r="C17" s="19" t="s">
        <v>96</v>
      </c>
      <c r="D17" s="19" t="s">
        <v>97</v>
      </c>
    </row>
    <row r="18" spans="1:4" s="26" customFormat="1" ht="14.25">
      <c r="A18" s="33" t="s">
        <v>119</v>
      </c>
      <c r="B18" s="34"/>
      <c r="C18" s="33"/>
      <c r="D18" s="33"/>
    </row>
    <row r="19" spans="1:4" s="26" customFormat="1" ht="28.5">
      <c r="A19" s="35" t="s">
        <v>120</v>
      </c>
      <c r="B19" s="19" t="s">
        <v>121</v>
      </c>
      <c r="C19" s="19" t="s">
        <v>96</v>
      </c>
      <c r="D19" s="19" t="s">
        <v>97</v>
      </c>
    </row>
    <row r="20" spans="1:4" s="26" customFormat="1" ht="14.25">
      <c r="A20" s="35" t="s">
        <v>122</v>
      </c>
      <c r="B20" s="19" t="s">
        <v>123</v>
      </c>
      <c r="C20" s="19" t="s">
        <v>96</v>
      </c>
      <c r="D20" s="19" t="s">
        <v>97</v>
      </c>
    </row>
    <row r="21" spans="1:4" s="26" customFormat="1" ht="28.5">
      <c r="A21" s="35" t="s">
        <v>124</v>
      </c>
      <c r="B21" s="19" t="s">
        <v>125</v>
      </c>
      <c r="C21" s="19" t="s">
        <v>96</v>
      </c>
      <c r="D21" s="19" t="s">
        <v>97</v>
      </c>
    </row>
    <row r="22" spans="1:4" s="26" customFormat="1" ht="14.25">
      <c r="A22" s="35" t="s">
        <v>126</v>
      </c>
      <c r="B22" s="19" t="s">
        <v>127</v>
      </c>
      <c r="C22" s="19" t="s">
        <v>96</v>
      </c>
      <c r="D22" s="19" t="s">
        <v>97</v>
      </c>
    </row>
    <row r="23" spans="1:4" s="26" customFormat="1" ht="14.25">
      <c r="A23" s="33" t="s">
        <v>128</v>
      </c>
      <c r="B23" s="34"/>
      <c r="C23" s="33"/>
      <c r="D23" s="33"/>
    </row>
    <row r="24" spans="1:4" s="26" customFormat="1" ht="14.25">
      <c r="A24" s="35" t="s">
        <v>129</v>
      </c>
      <c r="B24" s="19" t="s">
        <v>130</v>
      </c>
      <c r="C24" s="19" t="s">
        <v>96</v>
      </c>
      <c r="D24" s="36" t="s">
        <v>97</v>
      </c>
    </row>
    <row r="25" spans="1:4" s="26" customFormat="1" ht="14.25">
      <c r="A25" s="35" t="s">
        <v>131</v>
      </c>
      <c r="B25" s="19" t="s">
        <v>132</v>
      </c>
      <c r="C25" s="19" t="s">
        <v>96</v>
      </c>
      <c r="D25" s="36" t="s">
        <v>97</v>
      </c>
    </row>
    <row r="26" spans="1:4" s="26" customFormat="1" ht="28.5">
      <c r="A26" s="35" t="s">
        <v>133</v>
      </c>
      <c r="B26" s="19" t="s">
        <v>134</v>
      </c>
      <c r="C26" s="19" t="s">
        <v>96</v>
      </c>
      <c r="D26" s="36" t="s">
        <v>97</v>
      </c>
    </row>
    <row r="27" spans="1:4" s="26" customFormat="1" ht="14.25">
      <c r="A27" s="35" t="s">
        <v>135</v>
      </c>
      <c r="B27" s="19" t="s">
        <v>136</v>
      </c>
      <c r="C27" s="19" t="s">
        <v>96</v>
      </c>
      <c r="D27" s="36" t="s">
        <v>97</v>
      </c>
    </row>
    <row r="28" spans="1:4" s="26" customFormat="1" ht="14.25">
      <c r="A28" s="33" t="s">
        <v>137</v>
      </c>
      <c r="B28" s="34"/>
      <c r="C28" s="33"/>
      <c r="D28" s="33"/>
    </row>
    <row r="29" spans="1:4" s="26" customFormat="1" ht="28.5">
      <c r="A29" s="35" t="s">
        <v>138</v>
      </c>
      <c r="B29" s="19" t="s">
        <v>139</v>
      </c>
      <c r="C29" s="19" t="s">
        <v>96</v>
      </c>
      <c r="D29" s="36" t="s">
        <v>97</v>
      </c>
    </row>
    <row r="30" spans="1:4" s="26" customFormat="1" ht="28.5">
      <c r="A30" s="35" t="s">
        <v>140</v>
      </c>
      <c r="B30" s="19" t="s">
        <v>141</v>
      </c>
      <c r="C30" s="19" t="s">
        <v>96</v>
      </c>
      <c r="D30" s="36" t="s">
        <v>97</v>
      </c>
    </row>
    <row r="31" spans="1:4" s="26" customFormat="1" ht="14.25">
      <c r="A31" s="35" t="s">
        <v>142</v>
      </c>
      <c r="B31" s="21" t="s">
        <v>143</v>
      </c>
      <c r="C31" s="19" t="s">
        <v>96</v>
      </c>
      <c r="D31" s="36" t="s">
        <v>97</v>
      </c>
    </row>
    <row r="32" spans="1:4" s="26" customFormat="1" ht="14.25">
      <c r="A32" s="37" t="s">
        <v>144</v>
      </c>
      <c r="B32" s="21" t="s">
        <v>145</v>
      </c>
      <c r="C32" s="19" t="s">
        <v>96</v>
      </c>
      <c r="D32" s="38" t="s">
        <v>97</v>
      </c>
    </row>
    <row r="33" spans="1:8" s="26" customFormat="1" ht="14.25">
      <c r="A33" s="35" t="s">
        <v>146</v>
      </c>
      <c r="B33" s="19" t="s">
        <v>147</v>
      </c>
      <c r="C33" s="19" t="s">
        <v>96</v>
      </c>
      <c r="D33" s="38" t="s">
        <v>97</v>
      </c>
    </row>
    <row r="34" spans="1:8" s="26" customFormat="1" ht="23.45" customHeight="1">
      <c r="A34" s="35" t="s">
        <v>148</v>
      </c>
      <c r="B34" s="19" t="s">
        <v>149</v>
      </c>
      <c r="C34" s="19" t="s">
        <v>96</v>
      </c>
      <c r="D34" s="38" t="s">
        <v>97</v>
      </c>
    </row>
    <row r="35" spans="1:8" s="26" customFormat="1" ht="14.25">
      <c r="A35" s="33" t="s">
        <v>150</v>
      </c>
      <c r="B35" s="34"/>
      <c r="C35" s="33"/>
      <c r="D35" s="33"/>
    </row>
    <row r="36" spans="1:8" s="26" customFormat="1" ht="28.5">
      <c r="A36" s="39" t="s">
        <v>151</v>
      </c>
      <c r="B36" s="21" t="s">
        <v>152</v>
      </c>
      <c r="C36" s="21" t="s">
        <v>96</v>
      </c>
      <c r="D36" s="38" t="s">
        <v>97</v>
      </c>
    </row>
    <row r="37" spans="1:8" s="26" customFormat="1" ht="28.5">
      <c r="A37" s="40" t="s">
        <v>153</v>
      </c>
      <c r="B37" s="19" t="s">
        <v>154</v>
      </c>
      <c r="C37" s="19" t="s">
        <v>96</v>
      </c>
      <c r="D37" s="36" t="s">
        <v>97</v>
      </c>
    </row>
    <row r="38" spans="1:8" s="26" customFormat="1" ht="14.25">
      <c r="A38" s="40" t="s">
        <v>155</v>
      </c>
      <c r="B38" s="19" t="s">
        <v>156</v>
      </c>
      <c r="C38" s="19" t="s">
        <v>96</v>
      </c>
      <c r="D38" s="36" t="s">
        <v>97</v>
      </c>
    </row>
    <row r="39" spans="1:8" s="26" customFormat="1" ht="14.25">
      <c r="A39" s="40" t="s">
        <v>157</v>
      </c>
      <c r="B39" s="19" t="s">
        <v>158</v>
      </c>
      <c r="C39" s="19" t="s">
        <v>96</v>
      </c>
      <c r="D39" s="36" t="s">
        <v>97</v>
      </c>
    </row>
    <row r="40" spans="1:8" s="26" customFormat="1" ht="14.25">
      <c r="A40" s="41" t="s">
        <v>159</v>
      </c>
      <c r="B40" s="42"/>
      <c r="C40" s="43"/>
      <c r="D40" s="43"/>
    </row>
    <row r="41" spans="1:8" s="26" customFormat="1" ht="14.25">
      <c r="A41" s="40" t="s">
        <v>160</v>
      </c>
      <c r="B41" s="19" t="s">
        <v>161</v>
      </c>
      <c r="C41" s="19" t="s">
        <v>96</v>
      </c>
      <c r="D41" s="36" t="s">
        <v>97</v>
      </c>
      <c r="E41" s="23"/>
      <c r="F41" s="23"/>
      <c r="G41" s="23"/>
      <c r="H41" s="23"/>
    </row>
    <row r="42" spans="1:8" s="26" customFormat="1" ht="28.5">
      <c r="A42" s="40" t="s">
        <v>162</v>
      </c>
      <c r="B42" s="19" t="s">
        <v>163</v>
      </c>
      <c r="C42" s="19" t="s">
        <v>96</v>
      </c>
      <c r="D42" s="36" t="s">
        <v>97</v>
      </c>
    </row>
    <row r="43" spans="1:8">
      <c r="A43" s="41" t="s">
        <v>164</v>
      </c>
      <c r="B43" s="42"/>
      <c r="C43" s="43"/>
      <c r="D43" s="43"/>
    </row>
    <row r="44" spans="1:8" ht="28.5">
      <c r="A44" s="39" t="s">
        <v>165</v>
      </c>
      <c r="B44" s="21" t="s">
        <v>166</v>
      </c>
      <c r="C44" s="21" t="s">
        <v>96</v>
      </c>
      <c r="D44" s="38" t="s">
        <v>97</v>
      </c>
    </row>
    <row r="45" spans="1:8">
      <c r="A45" s="22" t="s">
        <v>86</v>
      </c>
      <c r="B45" s="3"/>
      <c r="C45" s="26"/>
      <c r="D45" s="26"/>
    </row>
    <row r="46" spans="1:8" ht="43.5">
      <c r="A46" s="26"/>
      <c r="B46" s="23" t="s">
        <v>87</v>
      </c>
      <c r="C46" s="23"/>
      <c r="D46" s="23"/>
    </row>
    <row r="47" spans="1:8">
      <c r="A47" s="26"/>
      <c r="B47" s="3"/>
      <c r="C47" s="26"/>
      <c r="D47" s="26"/>
    </row>
  </sheetData>
  <pageMargins left="0.25" right="0.25" top="0.75" bottom="0.75" header="0.3" footer="0.3"/>
  <pageSetup paperSize="9" scale="64" firstPageNumber="0" fitToHeight="0" orientation="portrait" r:id="rId1"/>
  <headerFooter>
    <oddFooter>&amp;L&amp;"Cambria,Regular"&amp;8Stryker Confidential&amp;R&amp;"Cambria,Regular"&amp;8Page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'Reference - CVSSv3.0'!$Q$13:$Q$15</xm:f>
          </x14:formula1>
          <x14:formula2>
            <xm:f>0</xm:f>
          </x14:formula2>
          <xm:sqref>C6:C10 C12:C17 C19:C22 C24:C27 C29:C34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66"/>
  <sheetViews>
    <sheetView view="pageBreakPreview" topLeftCell="A16" zoomScale="60" zoomScaleNormal="60" workbookViewId="0">
      <selection activeCell="C23" sqref="C23"/>
    </sheetView>
  </sheetViews>
  <sheetFormatPr defaultColWidth="9.140625" defaultRowHeight="15"/>
  <cols>
    <col min="1" max="1" width="6.140625" style="24" customWidth="1"/>
    <col min="2" max="2" width="38.140625" style="24" customWidth="1"/>
    <col min="3" max="3" width="49.42578125" style="24" customWidth="1"/>
    <col min="4" max="4" width="27.85546875" style="24" customWidth="1"/>
    <col min="5" max="5" width="15.140625" style="44" customWidth="1"/>
    <col min="6" max="6" width="24.85546875" style="24" customWidth="1"/>
    <col min="7" max="1024" width="9.140625" style="24"/>
  </cols>
  <sheetData>
    <row r="1" spans="1:6" ht="41.45" customHeight="1"/>
    <row r="2" spans="1:6" s="26" customFormat="1" ht="14.25">
      <c r="A2" s="2" t="s">
        <v>167</v>
      </c>
      <c r="E2" s="45"/>
    </row>
    <row r="3" spans="1:6" s="26" customFormat="1" ht="14.25">
      <c r="E3" s="45"/>
    </row>
    <row r="4" spans="1:6" s="26" customFormat="1" ht="28.5">
      <c r="A4" s="28" t="s">
        <v>168</v>
      </c>
      <c r="B4" s="28" t="s">
        <v>169</v>
      </c>
      <c r="C4" s="28" t="s">
        <v>170</v>
      </c>
      <c r="D4" s="28" t="s">
        <v>171</v>
      </c>
      <c r="E4" s="28" t="s">
        <v>172</v>
      </c>
      <c r="F4" s="46" t="s">
        <v>173</v>
      </c>
    </row>
    <row r="5" spans="1:6" s="51" customFormat="1" ht="114">
      <c r="A5" s="47" t="s">
        <v>174</v>
      </c>
      <c r="B5" s="19" t="s">
        <v>175</v>
      </c>
      <c r="C5" s="48" t="s">
        <v>176</v>
      </c>
      <c r="D5" s="18" t="s">
        <v>177</v>
      </c>
      <c r="E5" s="49" t="s">
        <v>96</v>
      </c>
      <c r="F5" s="50" t="s">
        <v>97</v>
      </c>
    </row>
    <row r="6" spans="1:6" s="26" customFormat="1" ht="71.25">
      <c r="A6" s="47" t="s">
        <v>178</v>
      </c>
      <c r="B6" s="19" t="s">
        <v>179</v>
      </c>
      <c r="C6" s="48" t="s">
        <v>180</v>
      </c>
      <c r="D6" s="18" t="s">
        <v>181</v>
      </c>
      <c r="E6" s="49" t="s">
        <v>96</v>
      </c>
      <c r="F6" s="50" t="s">
        <v>97</v>
      </c>
    </row>
    <row r="7" spans="1:6" s="26" customFormat="1" ht="71.25">
      <c r="A7" s="47" t="s">
        <v>182</v>
      </c>
      <c r="B7" s="19" t="s">
        <v>183</v>
      </c>
      <c r="C7" s="19" t="s">
        <v>184</v>
      </c>
      <c r="D7" s="18" t="s">
        <v>181</v>
      </c>
      <c r="E7" s="49" t="s">
        <v>96</v>
      </c>
      <c r="F7" s="50" t="s">
        <v>97</v>
      </c>
    </row>
    <row r="8" spans="1:6" s="26" customFormat="1" ht="42.75">
      <c r="A8" s="52" t="s">
        <v>185</v>
      </c>
      <c r="B8" s="53" t="s">
        <v>186</v>
      </c>
      <c r="C8" s="53" t="s">
        <v>187</v>
      </c>
      <c r="D8" s="18" t="s">
        <v>181</v>
      </c>
      <c r="E8" s="49" t="s">
        <v>96</v>
      </c>
      <c r="F8" s="50" t="s">
        <v>97</v>
      </c>
    </row>
    <row r="9" spans="1:6" s="26" customFormat="1" ht="57">
      <c r="A9" s="47" t="s">
        <v>188</v>
      </c>
      <c r="B9" s="53" t="s">
        <v>189</v>
      </c>
      <c r="C9" s="53" t="s">
        <v>190</v>
      </c>
      <c r="D9" s="18" t="s">
        <v>181</v>
      </c>
      <c r="E9" s="49" t="s">
        <v>96</v>
      </c>
      <c r="F9" s="50" t="s">
        <v>97</v>
      </c>
    </row>
    <row r="10" spans="1:6" s="26" customFormat="1" ht="28.5">
      <c r="A10" s="47" t="s">
        <v>191</v>
      </c>
      <c r="B10" s="53" t="s">
        <v>192</v>
      </c>
      <c r="C10" s="53" t="s">
        <v>193</v>
      </c>
      <c r="D10" s="18" t="s">
        <v>181</v>
      </c>
      <c r="E10" s="49" t="s">
        <v>96</v>
      </c>
      <c r="F10" s="50" t="s">
        <v>97</v>
      </c>
    </row>
    <row r="11" spans="1:6" s="26" customFormat="1" ht="28.5">
      <c r="A11" s="47" t="s">
        <v>194</v>
      </c>
      <c r="B11" s="53" t="s">
        <v>195</v>
      </c>
      <c r="C11" s="53" t="s">
        <v>196</v>
      </c>
      <c r="D11" s="18" t="s">
        <v>177</v>
      </c>
      <c r="E11" s="49" t="s">
        <v>96</v>
      </c>
      <c r="F11" s="50" t="s">
        <v>97</v>
      </c>
    </row>
    <row r="12" spans="1:6" s="26" customFormat="1" ht="156.75">
      <c r="A12" s="47" t="s">
        <v>197</v>
      </c>
      <c r="B12" s="53" t="s">
        <v>198</v>
      </c>
      <c r="C12" s="53" t="s">
        <v>199</v>
      </c>
      <c r="D12" s="18" t="s">
        <v>181</v>
      </c>
      <c r="E12" s="49" t="s">
        <v>96</v>
      </c>
      <c r="F12" s="50" t="s">
        <v>97</v>
      </c>
    </row>
    <row r="13" spans="1:6" s="26" customFormat="1" ht="28.5">
      <c r="A13" s="47" t="s">
        <v>200</v>
      </c>
      <c r="B13" s="53" t="s">
        <v>201</v>
      </c>
      <c r="C13" s="53" t="s">
        <v>202</v>
      </c>
      <c r="D13" s="18" t="s">
        <v>177</v>
      </c>
      <c r="E13" s="49" t="s">
        <v>96</v>
      </c>
      <c r="F13" s="50" t="s">
        <v>97</v>
      </c>
    </row>
    <row r="14" spans="1:6" s="26" customFormat="1" ht="28.5">
      <c r="A14" s="47" t="s">
        <v>203</v>
      </c>
      <c r="B14" s="53" t="s">
        <v>204</v>
      </c>
      <c r="C14" s="53" t="s">
        <v>205</v>
      </c>
      <c r="D14" s="18" t="s">
        <v>177</v>
      </c>
      <c r="E14" s="49" t="s">
        <v>96</v>
      </c>
      <c r="F14" s="50" t="s">
        <v>97</v>
      </c>
    </row>
    <row r="15" spans="1:6" s="26" customFormat="1" ht="42.75">
      <c r="A15" s="47" t="s">
        <v>206</v>
      </c>
      <c r="B15" s="53" t="s">
        <v>207</v>
      </c>
      <c r="C15" s="53" t="s">
        <v>208</v>
      </c>
      <c r="D15" s="18" t="s">
        <v>181</v>
      </c>
      <c r="E15" s="49" t="s">
        <v>96</v>
      </c>
      <c r="F15" s="50" t="s">
        <v>97</v>
      </c>
    </row>
    <row r="16" spans="1:6" s="26" customFormat="1" ht="28.5">
      <c r="A16" s="47" t="s">
        <v>209</v>
      </c>
      <c r="B16" s="19" t="s">
        <v>210</v>
      </c>
      <c r="C16" s="36" t="s">
        <v>211</v>
      </c>
      <c r="D16" s="49" t="s">
        <v>177</v>
      </c>
      <c r="E16" s="49" t="s">
        <v>96</v>
      </c>
      <c r="F16" s="50" t="s">
        <v>97</v>
      </c>
    </row>
    <row r="17" spans="1:6" s="26" customFormat="1" ht="42.75">
      <c r="A17" s="54" t="s">
        <v>212</v>
      </c>
      <c r="B17" s="21" t="s">
        <v>213</v>
      </c>
      <c r="C17" s="3" t="s">
        <v>214</v>
      </c>
      <c r="D17" s="18" t="s">
        <v>181</v>
      </c>
      <c r="E17" s="55" t="s">
        <v>96</v>
      </c>
      <c r="F17" s="56" t="s">
        <v>97</v>
      </c>
    </row>
    <row r="18" spans="1:6" s="26" customFormat="1" ht="57">
      <c r="A18" s="54" t="s">
        <v>215</v>
      </c>
      <c r="B18" s="19" t="s">
        <v>216</v>
      </c>
      <c r="C18" s="53" t="s">
        <v>217</v>
      </c>
      <c r="D18" s="18" t="s">
        <v>181</v>
      </c>
      <c r="E18" s="55" t="s">
        <v>96</v>
      </c>
      <c r="F18" s="56" t="s">
        <v>97</v>
      </c>
    </row>
    <row r="19" spans="1:6" s="26" customFormat="1" ht="14.25">
      <c r="A19" s="22" t="s">
        <v>86</v>
      </c>
      <c r="E19" s="45"/>
    </row>
    <row r="20" spans="1:6" s="26" customFormat="1" ht="31.5" customHeight="1">
      <c r="B20" s="254" t="s">
        <v>87</v>
      </c>
      <c r="C20" s="254"/>
      <c r="D20" s="254"/>
      <c r="E20" s="23"/>
      <c r="F20" s="23"/>
    </row>
    <row r="21" spans="1:6" s="26" customFormat="1" ht="14.25">
      <c r="E21" s="45"/>
    </row>
    <row r="22" spans="1:6" s="26" customFormat="1" ht="14.25">
      <c r="E22" s="45"/>
    </row>
    <row r="23" spans="1:6" s="26" customFormat="1" ht="14.25">
      <c r="E23" s="45"/>
    </row>
    <row r="24" spans="1:6" s="26" customFormat="1" ht="14.25">
      <c r="E24" s="45"/>
    </row>
    <row r="25" spans="1:6" s="26" customFormat="1" ht="14.25">
      <c r="E25" s="45"/>
    </row>
    <row r="26" spans="1:6" s="26" customFormat="1" ht="14.25">
      <c r="E26" s="45"/>
    </row>
    <row r="27" spans="1:6" s="26" customFormat="1" ht="14.25">
      <c r="E27" s="45"/>
    </row>
    <row r="28" spans="1:6" s="26" customFormat="1" ht="14.25">
      <c r="E28" s="45"/>
    </row>
    <row r="29" spans="1:6" s="26" customFormat="1" ht="14.25">
      <c r="E29" s="45"/>
    </row>
    <row r="30" spans="1:6" s="26" customFormat="1" ht="14.25">
      <c r="E30" s="45"/>
    </row>
    <row r="31" spans="1:6" s="26" customFormat="1" ht="14.25">
      <c r="E31" s="45"/>
    </row>
    <row r="32" spans="1:6" s="26" customFormat="1" ht="14.25">
      <c r="E32" s="45"/>
    </row>
    <row r="33" spans="5:5" s="26" customFormat="1" ht="14.25">
      <c r="E33" s="45"/>
    </row>
    <row r="34" spans="5:5" s="26" customFormat="1" ht="14.25">
      <c r="E34" s="45"/>
    </row>
    <row r="35" spans="5:5" s="26" customFormat="1" ht="14.25">
      <c r="E35" s="45"/>
    </row>
    <row r="36" spans="5:5" s="26" customFormat="1" ht="14.25">
      <c r="E36" s="45"/>
    </row>
    <row r="37" spans="5:5" s="26" customFormat="1" ht="14.25">
      <c r="E37" s="45"/>
    </row>
    <row r="38" spans="5:5" s="26" customFormat="1" ht="14.25">
      <c r="E38" s="45"/>
    </row>
    <row r="39" spans="5:5" s="26" customFormat="1" ht="14.25">
      <c r="E39" s="45"/>
    </row>
    <row r="40" spans="5:5" s="26" customFormat="1" ht="14.25">
      <c r="E40" s="45"/>
    </row>
    <row r="41" spans="5:5" s="26" customFormat="1" ht="14.25">
      <c r="E41" s="45"/>
    </row>
    <row r="42" spans="5:5" s="26" customFormat="1" ht="14.25">
      <c r="E42" s="45"/>
    </row>
    <row r="43" spans="5:5" s="26" customFormat="1" ht="14.25">
      <c r="E43" s="45"/>
    </row>
    <row r="44" spans="5:5" s="26" customFormat="1" ht="14.25">
      <c r="E44" s="45"/>
    </row>
    <row r="45" spans="5:5" s="26" customFormat="1" ht="14.25">
      <c r="E45" s="45"/>
    </row>
    <row r="46" spans="5:5" s="26" customFormat="1" ht="14.25">
      <c r="E46" s="45"/>
    </row>
    <row r="47" spans="5:5" s="26" customFormat="1" ht="14.25">
      <c r="E47" s="45"/>
    </row>
    <row r="48" spans="5:5" s="26" customFormat="1" ht="14.25">
      <c r="E48" s="45"/>
    </row>
    <row r="49" spans="5:5" s="26" customFormat="1" ht="14.25">
      <c r="E49" s="45"/>
    </row>
    <row r="50" spans="5:5" s="26" customFormat="1" ht="14.25">
      <c r="E50" s="45"/>
    </row>
    <row r="51" spans="5:5" s="26" customFormat="1" ht="14.25">
      <c r="E51" s="45"/>
    </row>
    <row r="52" spans="5:5" s="26" customFormat="1" ht="14.25">
      <c r="E52" s="45"/>
    </row>
    <row r="53" spans="5:5" s="26" customFormat="1" ht="14.25">
      <c r="E53" s="45"/>
    </row>
    <row r="54" spans="5:5" s="26" customFormat="1" ht="14.25">
      <c r="E54" s="45"/>
    </row>
    <row r="55" spans="5:5" s="26" customFormat="1" ht="14.25">
      <c r="E55" s="45"/>
    </row>
    <row r="56" spans="5:5" s="26" customFormat="1" ht="14.25">
      <c r="E56" s="45"/>
    </row>
    <row r="57" spans="5:5" s="26" customFormat="1" ht="14.25">
      <c r="E57" s="45"/>
    </row>
    <row r="58" spans="5:5" s="26" customFormat="1" ht="14.25">
      <c r="E58" s="45"/>
    </row>
    <row r="59" spans="5:5" s="26" customFormat="1" ht="14.25">
      <c r="E59" s="45"/>
    </row>
    <row r="60" spans="5:5" s="26" customFormat="1" ht="14.25">
      <c r="E60" s="45"/>
    </row>
    <row r="61" spans="5:5" s="26" customFormat="1" ht="14.25">
      <c r="E61" s="45"/>
    </row>
    <row r="62" spans="5:5" s="26" customFormat="1" ht="14.25">
      <c r="E62" s="45"/>
    </row>
    <row r="63" spans="5:5" s="26" customFormat="1" ht="14.25">
      <c r="E63" s="45"/>
    </row>
    <row r="64" spans="5:5" s="26" customFormat="1" ht="14.25">
      <c r="E64" s="45"/>
    </row>
    <row r="65" spans="1:6">
      <c r="A65" s="26"/>
      <c r="B65" s="26"/>
      <c r="C65" s="26"/>
      <c r="D65" s="26"/>
      <c r="E65" s="45"/>
      <c r="F65" s="26"/>
    </row>
    <row r="66" spans="1:6">
      <c r="A66" s="26"/>
      <c r="B66" s="26"/>
      <c r="C66" s="26"/>
      <c r="D66" s="26"/>
      <c r="E66" s="45"/>
      <c r="F66" s="26"/>
    </row>
  </sheetData>
  <mergeCells count="1">
    <mergeCell ref="B20:D20"/>
  </mergeCells>
  <pageMargins left="0.25" right="0.25" top="0.75" bottom="0.75" header="0.3" footer="0.3"/>
  <pageSetup paperSize="9" scale="61" firstPageNumber="0" fitToHeight="0" orientation="portrait" r:id="rId1"/>
  <headerFooter>
    <oddFooter>&amp;L&amp;"Cambria,Regular"&amp;8Stryker Confidential&amp;R&amp;"Cambria,Regular"&amp;8Page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'Reference - CVSSv3.0'!$Q$13:$Q$15</xm:f>
          </x14:formula1>
          <x14:formula2>
            <xm:f>0</xm:f>
          </x14:formula2>
          <xm:sqref>E5:E18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S104"/>
  <sheetViews>
    <sheetView tabSelected="1" view="pageBreakPreview" topLeftCell="R37" zoomScale="60" zoomScaleNormal="70" workbookViewId="0">
      <selection activeCell="AB37" sqref="AB37"/>
    </sheetView>
  </sheetViews>
  <sheetFormatPr defaultColWidth="9.140625" defaultRowHeight="15"/>
  <cols>
    <col min="2" max="2" width="4.85546875" style="57" customWidth="1"/>
    <col min="3" max="3" width="25.42578125" customWidth="1"/>
    <col min="4" max="4" width="5" style="57" customWidth="1"/>
    <col min="5" max="5" width="29" style="58" customWidth="1"/>
    <col min="6" max="6" width="6.140625" style="57" customWidth="1"/>
    <col min="7" max="7" width="28.85546875" style="58" customWidth="1"/>
    <col min="8" max="8" width="59.42578125" customWidth="1"/>
    <col min="9" max="9" width="13.42578125" bestFit="1" customWidth="1"/>
    <col min="10" max="10" width="12.85546875" style="57" bestFit="1" customWidth="1"/>
    <col min="11" max="12" width="10.140625" style="57" bestFit="1" customWidth="1"/>
    <col min="13" max="13" width="19.85546875" bestFit="1" customWidth="1"/>
    <col min="14" max="14" width="24.140625" bestFit="1" customWidth="1"/>
    <col min="15" max="15" width="16.85546875" bestFit="1" customWidth="1"/>
    <col min="16" max="16" width="22.42578125" bestFit="1" customWidth="1"/>
    <col min="17" max="17" width="12.85546875" bestFit="1" customWidth="1"/>
    <col min="18" max="18" width="29.5703125" bestFit="1" customWidth="1"/>
    <col min="19" max="19" width="9.140625" bestFit="1" customWidth="1"/>
    <col min="20" max="20" width="23.140625" bestFit="1" customWidth="1"/>
    <col min="21" max="21" width="26.85546875" bestFit="1" customWidth="1"/>
    <col min="22" max="22" width="19.140625" bestFit="1" customWidth="1"/>
    <col min="23" max="23" width="28.42578125" bestFit="1" customWidth="1"/>
    <col min="24" max="24" width="18.85546875" bestFit="1" customWidth="1"/>
    <col min="25" max="25" width="14.5703125" bestFit="1" customWidth="1"/>
    <col min="26" max="26" width="35.85546875" style="58" customWidth="1"/>
    <col min="27" max="27" width="32.85546875" customWidth="1"/>
    <col min="28" max="28" width="28.140625" customWidth="1"/>
    <col min="32" max="36" width="15.85546875" customWidth="1"/>
    <col min="37" max="39" width="15.85546875" hidden="1" customWidth="1"/>
    <col min="40" max="42" width="15.85546875" customWidth="1"/>
    <col min="43" max="43" width="40.85546875" customWidth="1"/>
    <col min="44" max="44" width="13.140625" customWidth="1"/>
    <col min="45" max="45" width="24.85546875" customWidth="1"/>
  </cols>
  <sheetData>
    <row r="1" spans="1:45" s="60" customFormat="1" ht="14.25">
      <c r="A1" s="2" t="s">
        <v>218</v>
      </c>
      <c r="B1" s="59"/>
      <c r="D1" s="59"/>
      <c r="E1" s="61"/>
      <c r="F1" s="59"/>
      <c r="G1" s="61"/>
      <c r="J1" s="59"/>
      <c r="K1" s="59"/>
      <c r="L1" s="59"/>
      <c r="Z1" s="61"/>
    </row>
    <row r="2" spans="1:45" s="60" customFormat="1" ht="14.25">
      <c r="A2" s="60" t="s">
        <v>219</v>
      </c>
      <c r="B2" s="59"/>
      <c r="D2" s="59"/>
      <c r="E2" s="61"/>
      <c r="F2" s="59"/>
      <c r="G2" s="61"/>
      <c r="J2" s="59"/>
      <c r="K2" s="59"/>
      <c r="L2" s="59"/>
      <c r="Z2" s="61"/>
    </row>
    <row r="3" spans="1:45" s="60" customFormat="1" ht="23.25" customHeight="1">
      <c r="A3" s="62"/>
      <c r="B3" s="63"/>
      <c r="C3" s="64"/>
      <c r="D3" s="65"/>
      <c r="E3" s="66"/>
      <c r="F3" s="255" t="s">
        <v>220</v>
      </c>
      <c r="G3" s="255"/>
      <c r="H3" s="255"/>
      <c r="I3" s="255"/>
      <c r="J3" s="256" t="s">
        <v>221</v>
      </c>
      <c r="K3" s="256"/>
      <c r="L3" s="256"/>
      <c r="M3" s="256"/>
      <c r="N3" s="256"/>
      <c r="O3" s="256"/>
      <c r="P3" s="256"/>
      <c r="Q3" s="256"/>
      <c r="R3" s="256"/>
      <c r="S3" s="256"/>
      <c r="T3" s="256"/>
      <c r="U3" s="256"/>
      <c r="V3" s="256"/>
      <c r="W3" s="256"/>
      <c r="X3" s="256"/>
      <c r="Y3" s="256"/>
      <c r="Z3" s="257" t="s">
        <v>222</v>
      </c>
      <c r="AA3" s="257"/>
      <c r="AB3" s="257"/>
      <c r="AC3" s="258" t="s">
        <v>223</v>
      </c>
      <c r="AD3" s="258"/>
      <c r="AE3" s="258"/>
      <c r="AF3" s="258"/>
      <c r="AG3" s="258"/>
      <c r="AH3" s="258"/>
      <c r="AI3" s="258"/>
      <c r="AJ3" s="258"/>
      <c r="AK3" s="258"/>
      <c r="AL3" s="258"/>
      <c r="AM3" s="258"/>
      <c r="AN3" s="258"/>
      <c r="AO3" s="258"/>
      <c r="AP3" s="258"/>
      <c r="AQ3" s="258"/>
      <c r="AR3" s="61"/>
      <c r="AS3" s="61"/>
    </row>
    <row r="4" spans="1:45" s="60" customFormat="1" ht="88.5" customHeight="1">
      <c r="A4" s="68" t="s">
        <v>224</v>
      </c>
      <c r="B4" s="69" t="s">
        <v>225</v>
      </c>
      <c r="C4" s="70" t="s">
        <v>226</v>
      </c>
      <c r="D4" s="71" t="s">
        <v>227</v>
      </c>
      <c r="E4" s="72" t="s">
        <v>228</v>
      </c>
      <c r="F4" s="73" t="s">
        <v>229</v>
      </c>
      <c r="G4" s="74" t="s">
        <v>36</v>
      </c>
      <c r="H4" s="74" t="s">
        <v>230</v>
      </c>
      <c r="I4" s="75" t="s">
        <v>231</v>
      </c>
      <c r="J4" s="76" t="s">
        <v>232</v>
      </c>
      <c r="K4" s="76" t="s">
        <v>233</v>
      </c>
      <c r="L4" s="76" t="s">
        <v>234</v>
      </c>
      <c r="M4" s="77" t="s">
        <v>235</v>
      </c>
      <c r="N4" s="77" t="s">
        <v>236</v>
      </c>
      <c r="O4" s="77" t="s">
        <v>237</v>
      </c>
      <c r="P4" s="77" t="s">
        <v>238</v>
      </c>
      <c r="Q4" s="77" t="s">
        <v>239</v>
      </c>
      <c r="R4" s="77" t="s">
        <v>240</v>
      </c>
      <c r="S4" s="77" t="s">
        <v>241</v>
      </c>
      <c r="T4" s="77" t="s">
        <v>242</v>
      </c>
      <c r="U4" s="77" t="s">
        <v>243</v>
      </c>
      <c r="V4" s="78" t="s">
        <v>244</v>
      </c>
      <c r="W4" s="78" t="s">
        <v>245</v>
      </c>
      <c r="X4" s="79" t="s">
        <v>246</v>
      </c>
      <c r="Y4" s="80" t="s">
        <v>247</v>
      </c>
      <c r="Z4" s="81" t="s">
        <v>248</v>
      </c>
      <c r="AA4" s="81" t="s">
        <v>249</v>
      </c>
      <c r="AB4" s="81" t="s">
        <v>250</v>
      </c>
      <c r="AC4" s="82" t="s">
        <v>251</v>
      </c>
      <c r="AD4" s="82" t="s">
        <v>252</v>
      </c>
      <c r="AE4" s="82" t="s">
        <v>253</v>
      </c>
      <c r="AF4" s="67" t="s">
        <v>254</v>
      </c>
      <c r="AG4" s="67" t="s">
        <v>255</v>
      </c>
      <c r="AH4" s="67" t="s">
        <v>256</v>
      </c>
      <c r="AI4" s="67" t="s">
        <v>257</v>
      </c>
      <c r="AJ4" s="67" t="s">
        <v>258</v>
      </c>
      <c r="AK4" s="67" t="s">
        <v>259</v>
      </c>
      <c r="AL4" s="67" t="s">
        <v>260</v>
      </c>
      <c r="AM4" s="67" t="s">
        <v>261</v>
      </c>
      <c r="AN4" s="67" t="s">
        <v>262</v>
      </c>
      <c r="AO4" s="67" t="s">
        <v>263</v>
      </c>
      <c r="AP4" s="67" t="s">
        <v>264</v>
      </c>
      <c r="AQ4" s="83" t="s">
        <v>265</v>
      </c>
      <c r="AR4" s="61"/>
      <c r="AS4" s="61"/>
    </row>
    <row r="5" spans="1:45" s="26" customFormat="1" ht="240.75" customHeight="1">
      <c r="A5" s="84">
        <v>1</v>
      </c>
      <c r="B5" s="85" t="s">
        <v>174</v>
      </c>
      <c r="C5" s="86" t="str">
        <f>IF(VLOOKUP(Table4[[#This Row],[T ID]],Table5[#All],5,FALSE())="No","Not in scope",VLOOKUP(Table4[[#This Row],[T ID]],Table5[#All],2,FALSE()))</f>
        <v>Deliver undirected malware
(CAPEC-185)</v>
      </c>
      <c r="D5" s="57" t="s">
        <v>122</v>
      </c>
      <c r="E5" s="86" t="str">
        <f>IF(VLOOKUP(Table4[[#This Row],[V ID]],Vulnerabilities[#All],3,FALSE())="No","Not in scope",VLOOKUP(Table4[[#This Row],[V ID]],Vulnerabilities[#All],2,FALSE()))</f>
        <v>Unprotected external USB Port on the tablet/devices.</v>
      </c>
      <c r="F5" s="87" t="s">
        <v>38</v>
      </c>
      <c r="G5" s="88" t="str">
        <f>VLOOKUP(Table4[[#This Row],[A ID]],Assets[#All],3,FALSE())</f>
        <v>Tablet Resources - web cam, microphone, OTG devices, Removable USB, Tablet Application, Network interfaces (Bluetooth, Wifi)</v>
      </c>
      <c r="H5" s="19" t="s">
        <v>280</v>
      </c>
      <c r="I5" s="19" t="s">
        <v>465</v>
      </c>
      <c r="J5" s="89" t="s">
        <v>267</v>
      </c>
      <c r="K5" s="89" t="s">
        <v>267</v>
      </c>
      <c r="L5" s="89" t="s">
        <v>267</v>
      </c>
      <c r="M5" s="90" t="s">
        <v>268</v>
      </c>
      <c r="N5" s="90" t="s">
        <v>267</v>
      </c>
      <c r="O5" s="90" t="s">
        <v>267</v>
      </c>
      <c r="P5" s="90" t="s">
        <v>269</v>
      </c>
      <c r="Q5" s="90" t="s">
        <v>270</v>
      </c>
      <c r="R5" s="91">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0.486604272</v>
      </c>
      <c r="S5" s="91">
        <f>(1 - ((1 - VLOOKUP(Table4[[#This Row],[Confidentiality]],'Reference - CVSSv3.0'!$B$16:$C$18,2,FALSE())) * (1 - VLOOKUP(Table4[[#This Row],[Integrity]],'Reference - CVSSv3.0'!$B$16:$C$18,2,FALSE())) *  (1 - VLOOKUP(Table4[[#This Row],[Availability]],'Reference - CVSSv3.0'!$B$16:$C$18,2,FALSE()))))</f>
        <v>0.52544799999999992</v>
      </c>
      <c r="T5" s="91">
        <f>IF(Table4[[#This Row],[Scope]]="Unchanged",6.42*Table4[[#This Row],[ISC Base]],IF(Table4[[#This Row],[Scope]]="Changed",7.52*(Table4[[#This Row],[ISC Base]] - 0.029) - 3.25 * POWER(Table4[[#This Row],[ISC Base]] - 0.02,15),NA()))</f>
        <v>3.3733761599999994</v>
      </c>
      <c r="U5"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5" s="85" t="s">
        <v>267</v>
      </c>
      <c r="W5" s="92">
        <f>VLOOKUP(Table4[[#This Row],[Threat Event Initiation]],NIST_Scale_LOAI[],2,FALSE())</f>
        <v>0.2</v>
      </c>
      <c r="X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 s="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 s="19" t="s">
        <v>271</v>
      </c>
      <c r="AA5" s="19" t="s">
        <v>272</v>
      </c>
      <c r="AB5" s="19" t="s">
        <v>473</v>
      </c>
      <c r="AC5" s="89"/>
      <c r="AD5" s="89"/>
      <c r="AE5" s="89"/>
      <c r="AF5" s="90"/>
      <c r="AG5" s="90"/>
      <c r="AH5" s="90"/>
      <c r="AI5" s="90"/>
      <c r="AJ5" s="90"/>
      <c r="AK5"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 s="91" t="e">
        <f>(1 - ((1 - VLOOKUP(Table4[[#This Row],[ConfidentialityP]],'Reference - CVSSv3.0'!$B$16:$C$18,2,FALSE())) * (1 - VLOOKUP(Table4[[#This Row],[IntegrityP]],'Reference - CVSSv3.0'!$B$16:$C$18,2,FALSE())) *  (1 - VLOOKUP(Table4[[#This Row],[AvailabilityP]],'Reference - CVSSv3.0'!$B$16:$C$18,2,FALSE()))))</f>
        <v>#N/A</v>
      </c>
      <c r="AM5" s="91" t="e">
        <f>IF(Table4[[#This Row],[ScopeP]]="Unchanged",6.42*Table4[[#This Row],[ISC BaseP]],IF(Table4[[#This Row],[ScopeP]]="Changed",7.52*(Table4[[#This Row],[ISC BaseP]] - 0.029) - 3.25 * POWER(Table4[[#This Row],[ISC BaseP]] - 0.02,15),NA()))</f>
        <v>#N/A</v>
      </c>
      <c r="AN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 s="36" t="s">
        <v>219</v>
      </c>
    </row>
    <row r="6" spans="1:45" s="26" customFormat="1" ht="156.75">
      <c r="A6" s="84">
        <v>2</v>
      </c>
      <c r="B6" s="85" t="s">
        <v>174</v>
      </c>
      <c r="C6" s="86" t="str">
        <f>IF(VLOOKUP(Table4[[#This Row],[T ID]],Table5[#All],5,FALSE())="No","Not in scope",VLOOKUP(Table4[[#This Row],[T ID]],Table5[#All],2,FALSE()))</f>
        <v>Deliver undirected malware
(CAPEC-185)</v>
      </c>
      <c r="D6" s="57" t="s">
        <v>122</v>
      </c>
      <c r="E6" s="86" t="str">
        <f>IF(VLOOKUP(Table4[[#This Row],[V ID]],Vulnerabilities[#All],3,FALSE())="No","Not in scope",VLOOKUP(Table4[[#This Row],[V ID]],Vulnerabilities[#All],2,FALSE()))</f>
        <v>Unprotected external USB Port on the tablet/devices.</v>
      </c>
      <c r="F6" s="87" t="s">
        <v>46</v>
      </c>
      <c r="G6" s="88" t="str">
        <f>VLOOKUP(Table4[[#This Row],[A ID]],Assets[#All],3,FALSE())</f>
        <v>Smart medic (Stryker device) System Component</v>
      </c>
      <c r="H6" s="19" t="s">
        <v>472</v>
      </c>
      <c r="I6" s="19" t="s">
        <v>465</v>
      </c>
      <c r="J6" s="89" t="s">
        <v>267</v>
      </c>
      <c r="K6" s="89" t="s">
        <v>267</v>
      </c>
      <c r="L6" s="89" t="s">
        <v>267</v>
      </c>
      <c r="M6" s="90" t="s">
        <v>268</v>
      </c>
      <c r="N6" s="90" t="s">
        <v>267</v>
      </c>
      <c r="O6" s="90" t="s">
        <v>267</v>
      </c>
      <c r="P6" s="90" t="s">
        <v>269</v>
      </c>
      <c r="Q6" s="90" t="s">
        <v>270</v>
      </c>
      <c r="R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0.486604272</v>
      </c>
      <c r="S6" s="91">
        <f>(1 - ((1 - VLOOKUP(Table4[[#This Row],[Confidentiality]],'Reference - CVSSv3.0'!$B$16:$C$18,2,FALSE())) * (1 - VLOOKUP(Table4[[#This Row],[Integrity]],'Reference - CVSSv3.0'!$B$16:$C$18,2,FALSE())) *  (1 - VLOOKUP(Table4[[#This Row],[Availability]],'Reference - CVSSv3.0'!$B$16:$C$18,2,FALSE()))))</f>
        <v>0.52544799999999992</v>
      </c>
      <c r="T6" s="91">
        <f>IF(Table4[[#This Row],[Scope]]="Unchanged",6.42*Table4[[#This Row],[ISC Base]],IF(Table4[[#This Row],[Scope]]="Changed",7.52*(Table4[[#This Row],[ISC Base]] - 0.029) - 3.25 * POWER(Table4[[#This Row],[ISC Base]] - 0.02,15),NA()))</f>
        <v>3.3733761599999994</v>
      </c>
      <c r="U6"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6" s="85" t="s">
        <v>267</v>
      </c>
      <c r="W6" s="91">
        <f>VLOOKUP(Table4[[#This Row],[Threat Event Initiation]],NIST_Scale_LOAI[],2,FALSE())</f>
        <v>0.2</v>
      </c>
      <c r="X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 s="19" t="s">
        <v>271</v>
      </c>
      <c r="AA6" s="19" t="s">
        <v>431</v>
      </c>
      <c r="AB6" s="19" t="s">
        <v>474</v>
      </c>
      <c r="AC6" s="36"/>
      <c r="AD6" s="36"/>
      <c r="AE6" s="36"/>
      <c r="AF6" s="90"/>
      <c r="AG6" s="90"/>
      <c r="AH6" s="90"/>
      <c r="AI6" s="90"/>
      <c r="AJ6" s="90"/>
      <c r="AK6"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 s="91" t="e">
        <f>(1 - ((1 - VLOOKUP(Table4[[#This Row],[ConfidentialityP]],'Reference - CVSSv3.0'!$B$16:$C$18,2,FALSE())) * (1 - VLOOKUP(Table4[[#This Row],[IntegrityP]],'Reference - CVSSv3.0'!$B$16:$C$18,2,FALSE())) *  (1 - VLOOKUP(Table4[[#This Row],[AvailabilityP]],'Reference - CVSSv3.0'!$B$16:$C$18,2,FALSE()))))</f>
        <v>#N/A</v>
      </c>
      <c r="AM6" s="91" t="e">
        <f>IF(Table4[[#This Row],[ScopeP]]="Unchanged",6.42*Table4[[#This Row],[ISC BaseP]],IF(Table4[[#This Row],[ScopeP]]="Changed",7.52*(Table4[[#This Row],[ISC BaseP]] - 0.029) - 3.25 * POWER(Table4[[#This Row],[ISC BaseP]] - 0.02,15),NA()))</f>
        <v>#N/A</v>
      </c>
      <c r="AN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 s="36"/>
    </row>
    <row r="7" spans="1:45" s="26" customFormat="1" ht="156.75">
      <c r="A7" s="84">
        <v>3</v>
      </c>
      <c r="B7" s="85" t="s">
        <v>174</v>
      </c>
      <c r="C7" s="86" t="str">
        <f>IF(VLOOKUP(Table4[[#This Row],[T ID]],Table5[#All],5,FALSE())="No","Not in scope",VLOOKUP(Table4[[#This Row],[T ID]],Table5[#All],2,FALSE()))</f>
        <v>Deliver undirected malware
(CAPEC-185)</v>
      </c>
      <c r="D7" s="57" t="s">
        <v>98</v>
      </c>
      <c r="E7" s="86" t="str">
        <f>IF(VLOOKUP(Table4[[#This Row],[V ID]],Vulnerabilities[#All],3,FALSE())="No","Not in scope",VLOOKUP(Table4[[#This Row],[V ID]],Vulnerabilities[#All],2,FALSE()))</f>
        <v>External communications and exposure for communciation channels from and to application and devices like tablet and smartmedic device.</v>
      </c>
      <c r="F7" s="87" t="s">
        <v>46</v>
      </c>
      <c r="G7" s="88" t="str">
        <f>VLOOKUP(Table4[[#This Row],[A ID]],Assets[#All],3,FALSE())</f>
        <v>Smart medic (Stryker device) System Component</v>
      </c>
      <c r="H7" s="19" t="s">
        <v>280</v>
      </c>
      <c r="I7" s="19" t="s">
        <v>465</v>
      </c>
      <c r="J7" s="89" t="s">
        <v>267</v>
      </c>
      <c r="K7" s="89" t="s">
        <v>267</v>
      </c>
      <c r="L7" s="89" t="s">
        <v>267</v>
      </c>
      <c r="M7" s="90" t="s">
        <v>273</v>
      </c>
      <c r="N7" s="90" t="s">
        <v>267</v>
      </c>
      <c r="O7" s="90" t="s">
        <v>267</v>
      </c>
      <c r="P7" s="90" t="s">
        <v>269</v>
      </c>
      <c r="Q7" s="90" t="s">
        <v>270</v>
      </c>
      <c r="R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2.0680681560000003</v>
      </c>
      <c r="S7" s="91">
        <f>(1 - ((1 - VLOOKUP(Table4[[#This Row],[Confidentiality]],'Reference - CVSSv3.0'!$B$16:$C$18,2,FALSE())) * (1 - VLOOKUP(Table4[[#This Row],[Integrity]],'Reference - CVSSv3.0'!$B$16:$C$18,2,FALSE())) *  (1 - VLOOKUP(Table4[[#This Row],[Availability]],'Reference - CVSSv3.0'!$B$16:$C$18,2,FALSE()))))</f>
        <v>0.52544799999999992</v>
      </c>
      <c r="T7" s="91">
        <f>IF(Table4[[#This Row],[Scope]]="Unchanged",6.42*Table4[[#This Row],[ISC Base]],IF(Table4[[#This Row],[Scope]]="Changed",7.52*(Table4[[#This Row],[ISC Base]] - 0.029) - 3.25 * POWER(Table4[[#This Row],[ISC Base]] - 0.02,15),NA()))</f>
        <v>3.3733761599999994</v>
      </c>
      <c r="U7" s="91">
        <f>IF(Table4[[#This Row],[Impact Sub Score]]&lt;=0,0,IF(Table4[[#This Row],[Scope]]="Unchanged",ROUNDUP(MIN((Table4[[#This Row],[Impact Sub Score]]+Table4[[#This Row],[Exploitability Sub Score]]),10),1),IF(Table4[[#This Row],[Scope]]="Changed",ROUNDUP(MIN((1.08*(Table4[[#This Row],[Impact Sub Score]]+Table4[[#This Row],[Exploitability Sub Score]])),10),1),NA())))</f>
        <v>5.5</v>
      </c>
      <c r="V7" s="85" t="s">
        <v>267</v>
      </c>
      <c r="W7" s="91">
        <f>VLOOKUP(Table4[[#This Row],[Threat Event Initiation]],NIST_Scale_LOAI[],2,FALSE())</f>
        <v>0.2</v>
      </c>
      <c r="X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 s="19" t="s">
        <v>271</v>
      </c>
      <c r="AA7" s="19" t="s">
        <v>431</v>
      </c>
      <c r="AB7" s="19" t="s">
        <v>475</v>
      </c>
      <c r="AC7" s="36"/>
      <c r="AD7" s="36"/>
      <c r="AE7" s="36"/>
      <c r="AF7" s="90"/>
      <c r="AG7" s="90"/>
      <c r="AH7" s="90"/>
      <c r="AI7" s="90"/>
      <c r="AJ7" s="90"/>
      <c r="AK7"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 s="91" t="e">
        <f>(1 - ((1 - VLOOKUP(Table4[[#This Row],[ConfidentialityP]],'Reference - CVSSv3.0'!$B$16:$C$18,2,FALSE())) * (1 - VLOOKUP(Table4[[#This Row],[IntegrityP]],'Reference - CVSSv3.0'!$B$16:$C$18,2,FALSE())) *  (1 - VLOOKUP(Table4[[#This Row],[AvailabilityP]],'Reference - CVSSv3.0'!$B$16:$C$18,2,FALSE()))))</f>
        <v>#N/A</v>
      </c>
      <c r="AM7" s="91" t="e">
        <f>IF(Table4[[#This Row],[ScopeP]]="Unchanged",6.42*Table4[[#This Row],[ISC BaseP]],IF(Table4[[#This Row],[ScopeP]]="Changed",7.52*(Table4[[#This Row],[ISC BaseP]] - 0.029) - 3.25 * POWER(Table4[[#This Row],[ISC BaseP]] - 0.02,15),NA()))</f>
        <v>#N/A</v>
      </c>
      <c r="AN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 s="36"/>
    </row>
    <row r="8" spans="1:45" s="26" customFormat="1" ht="213.75">
      <c r="A8" s="84">
        <v>4</v>
      </c>
      <c r="B8" s="85" t="s">
        <v>174</v>
      </c>
      <c r="C8" s="86" t="str">
        <f>IF(VLOOKUP(Table4[[#This Row],[T ID]],Table5[#All],5,FALSE())="No","Not in scope",VLOOKUP(Table4[[#This Row],[T ID]],Table5[#All],2,FALSE()))</f>
        <v>Deliver undirected malware
(CAPEC-185)</v>
      </c>
      <c r="D8" s="57" t="s">
        <v>98</v>
      </c>
      <c r="E8" s="86" t="str">
        <f>IF(VLOOKUP(Table4[[#This Row],[V ID]],Vulnerabilities[#All],3,FALSE())="No","Not in scope",VLOOKUP(Table4[[#This Row],[V ID]],Vulnerabilities[#All],2,FALSE()))</f>
        <v>External communications and exposure for communciation channels from and to application and devices like tablet and smartmedic device.</v>
      </c>
      <c r="F8" s="87" t="s">
        <v>38</v>
      </c>
      <c r="G8" s="88" t="str">
        <f>VLOOKUP(Table4[[#This Row],[A ID]],Assets[#All],3,FALSE())</f>
        <v>Tablet Resources - web cam, microphone, OTG devices, Removable USB, Tablet Application, Network interfaces (Bluetooth, Wifi)</v>
      </c>
      <c r="H8" s="19" t="s">
        <v>280</v>
      </c>
      <c r="I8" s="19" t="s">
        <v>465</v>
      </c>
      <c r="J8" s="89" t="s">
        <v>267</v>
      </c>
      <c r="K8" s="89" t="s">
        <v>267</v>
      </c>
      <c r="L8" s="89" t="s">
        <v>267</v>
      </c>
      <c r="M8" s="90" t="s">
        <v>273</v>
      </c>
      <c r="N8" s="90" t="s">
        <v>267</v>
      </c>
      <c r="O8" s="90" t="s">
        <v>267</v>
      </c>
      <c r="P8" s="90" t="s">
        <v>269</v>
      </c>
      <c r="Q8" s="90" t="s">
        <v>270</v>
      </c>
      <c r="R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2.0680681560000003</v>
      </c>
      <c r="S8" s="91">
        <f>(1 - ((1 - VLOOKUP(Table4[[#This Row],[Confidentiality]],'Reference - CVSSv3.0'!$B$16:$C$18,2,FALSE())) * (1 - VLOOKUP(Table4[[#This Row],[Integrity]],'Reference - CVSSv3.0'!$B$16:$C$18,2,FALSE())) *  (1 - VLOOKUP(Table4[[#This Row],[Availability]],'Reference - CVSSv3.0'!$B$16:$C$18,2,FALSE()))))</f>
        <v>0.52544799999999992</v>
      </c>
      <c r="T8" s="91">
        <f>IF(Table4[[#This Row],[Scope]]="Unchanged",6.42*Table4[[#This Row],[ISC Base]],IF(Table4[[#This Row],[Scope]]="Changed",7.52*(Table4[[#This Row],[ISC Base]] - 0.029) - 3.25 * POWER(Table4[[#This Row],[ISC Base]] - 0.02,15),NA()))</f>
        <v>3.3733761599999994</v>
      </c>
      <c r="U8" s="91">
        <f>IF(Table4[[#This Row],[Impact Sub Score]]&lt;=0,0,IF(Table4[[#This Row],[Scope]]="Unchanged",ROUNDUP(MIN((Table4[[#This Row],[Impact Sub Score]]+Table4[[#This Row],[Exploitability Sub Score]]),10),1),IF(Table4[[#This Row],[Scope]]="Changed",ROUNDUP(MIN((1.08*(Table4[[#This Row],[Impact Sub Score]]+Table4[[#This Row],[Exploitability Sub Score]])),10),1),NA())))</f>
        <v>5.5</v>
      </c>
      <c r="V8" s="85" t="s">
        <v>267</v>
      </c>
      <c r="W8" s="91">
        <f>VLOOKUP(Table4[[#This Row],[Threat Event Initiation]],NIST_Scale_LOAI[],2,FALSE())</f>
        <v>0.2</v>
      </c>
      <c r="X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 s="19" t="s">
        <v>271</v>
      </c>
      <c r="AA8" s="19" t="s">
        <v>272</v>
      </c>
      <c r="AB8" s="19" t="s">
        <v>476</v>
      </c>
      <c r="AC8" s="36"/>
      <c r="AD8" s="36"/>
      <c r="AE8" s="36"/>
      <c r="AF8" s="90"/>
      <c r="AG8" s="90"/>
      <c r="AH8" s="90"/>
      <c r="AI8" s="90"/>
      <c r="AJ8" s="90"/>
      <c r="AK8"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 s="91" t="e">
        <f>(1 - ((1 - VLOOKUP(Table4[[#This Row],[ConfidentialityP]],'Reference - CVSSv3.0'!$B$16:$C$18,2,FALSE())) * (1 - VLOOKUP(Table4[[#This Row],[IntegrityP]],'Reference - CVSSv3.0'!$B$16:$C$18,2,FALSE())) *  (1 - VLOOKUP(Table4[[#This Row],[AvailabilityP]],'Reference - CVSSv3.0'!$B$16:$C$18,2,FALSE()))))</f>
        <v>#N/A</v>
      </c>
      <c r="AM8" s="91" t="e">
        <f>IF(Table4[[#This Row],[ScopeP]]="Unchanged",6.42*Table4[[#This Row],[ISC BaseP]],IF(Table4[[#This Row],[ScopeP]]="Changed",7.52*(Table4[[#This Row],[ISC BaseP]] - 0.029) - 3.25 * POWER(Table4[[#This Row],[ISC BaseP]] - 0.02,15),NA()))</f>
        <v>#N/A</v>
      </c>
      <c r="AN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 s="36"/>
    </row>
    <row r="9" spans="1:45" s="26" customFormat="1" ht="156.75">
      <c r="A9" s="84">
        <v>5</v>
      </c>
      <c r="B9" s="85" t="s">
        <v>174</v>
      </c>
      <c r="C9" s="86" t="str">
        <f>IF(VLOOKUP(Table4[[#This Row],[T ID]],Table5[#All],5,FALSE())="No","Not in scope",VLOOKUP(Table4[[#This Row],[T ID]],Table5[#All],2,FALSE()))</f>
        <v>Deliver undirected malware
(CAPEC-185)</v>
      </c>
      <c r="D9" s="57" t="s">
        <v>142</v>
      </c>
      <c r="E9" s="86" t="str">
        <f>IF(VLOOKUP(Table4[[#This Row],[V ID]],Vulnerabilities[#All],3,FALSE())="No","Not in scope",VLOOKUP(Table4[[#This Row],[V ID]],Vulnerabilities[#All],2,FALSE()))</f>
        <v>Legacy system identification if any</v>
      </c>
      <c r="F9" s="87" t="s">
        <v>46</v>
      </c>
      <c r="G9" s="88" t="str">
        <f>VLOOKUP(Table4[[#This Row],[A ID]],Assets[#All],3,FALSE())</f>
        <v>Smart medic (Stryker device) System Component</v>
      </c>
      <c r="H9" s="19" t="s">
        <v>280</v>
      </c>
      <c r="I9" s="19" t="s">
        <v>465</v>
      </c>
      <c r="J9" s="89" t="s">
        <v>267</v>
      </c>
      <c r="K9" s="89" t="s">
        <v>267</v>
      </c>
      <c r="L9" s="89" t="s">
        <v>267</v>
      </c>
      <c r="M9" s="90" t="s">
        <v>268</v>
      </c>
      <c r="N9" s="90" t="s">
        <v>267</v>
      </c>
      <c r="O9" s="90" t="s">
        <v>267</v>
      </c>
      <c r="P9" s="90" t="s">
        <v>274</v>
      </c>
      <c r="Q9" s="90" t="s">
        <v>270</v>
      </c>
      <c r="R9"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9" s="91">
        <f>(1 - ((1 - VLOOKUP(Table4[[#This Row],[Confidentiality]],'Reference - CVSSv3.0'!$B$16:$C$18,2,FALSE())) * (1 - VLOOKUP(Table4[[#This Row],[Integrity]],'Reference - CVSSv3.0'!$B$16:$C$18,2,FALSE())) *  (1 - VLOOKUP(Table4[[#This Row],[Availability]],'Reference - CVSSv3.0'!$B$16:$C$18,2,FALSE()))))</f>
        <v>0.52544799999999992</v>
      </c>
      <c r="T9" s="91">
        <f>IF(Table4[[#This Row],[Scope]]="Unchanged",6.42*Table4[[#This Row],[ISC Base]],IF(Table4[[#This Row],[Scope]]="Changed",7.52*(Table4[[#This Row],[ISC Base]] - 0.029) - 3.25 * POWER(Table4[[#This Row],[ISC Base]] - 0.02,15),NA()))</f>
        <v>3.3733761599999994</v>
      </c>
      <c r="U9"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9" s="85" t="s">
        <v>267</v>
      </c>
      <c r="W9" s="91">
        <f>VLOOKUP(Table4[[#This Row],[Threat Event Initiation]],NIST_Scale_LOAI[],2,FALSE())</f>
        <v>0.2</v>
      </c>
      <c r="X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 s="19" t="s">
        <v>271</v>
      </c>
      <c r="AA9" s="19" t="s">
        <v>431</v>
      </c>
      <c r="AB9" s="19" t="s">
        <v>477</v>
      </c>
      <c r="AC9" s="36"/>
      <c r="AD9" s="36"/>
      <c r="AE9" s="36"/>
      <c r="AF9" s="90"/>
      <c r="AG9" s="90"/>
      <c r="AH9" s="90"/>
      <c r="AI9" s="90"/>
      <c r="AJ9" s="90"/>
      <c r="AK9"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 s="91" t="e">
        <f>(1 - ((1 - VLOOKUP(Table4[[#This Row],[ConfidentialityP]],'Reference - CVSSv3.0'!$B$16:$C$18,2,FALSE())) * (1 - VLOOKUP(Table4[[#This Row],[IntegrityP]],'Reference - CVSSv3.0'!$B$16:$C$18,2,FALSE())) *  (1 - VLOOKUP(Table4[[#This Row],[AvailabilityP]],'Reference - CVSSv3.0'!$B$16:$C$18,2,FALSE()))))</f>
        <v>#N/A</v>
      </c>
      <c r="AM9" s="91" t="e">
        <f>IF(Table4[[#This Row],[ScopeP]]="Unchanged",6.42*Table4[[#This Row],[ISC BaseP]],IF(Table4[[#This Row],[ScopeP]]="Changed",7.52*(Table4[[#This Row],[ISC BaseP]] - 0.029) - 3.25 * POWER(Table4[[#This Row],[ISC BaseP]] - 0.02,15),NA()))</f>
        <v>#N/A</v>
      </c>
      <c r="AN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 s="36"/>
    </row>
    <row r="10" spans="1:45" s="26" customFormat="1" ht="213.75">
      <c r="A10" s="84">
        <v>6</v>
      </c>
      <c r="B10" s="85" t="s">
        <v>174</v>
      </c>
      <c r="C10" s="86" t="str">
        <f>IF(VLOOKUP(Table4[[#This Row],[T ID]],Table5[#All],5,FALSE())="No","Not in scope",VLOOKUP(Table4[[#This Row],[T ID]],Table5[#All],2,FALSE()))</f>
        <v>Deliver undirected malware
(CAPEC-185)</v>
      </c>
      <c r="D10" s="57" t="s">
        <v>142</v>
      </c>
      <c r="E10" s="86" t="str">
        <f>IF(VLOOKUP(Table4[[#This Row],[V ID]],Vulnerabilities[#All],3,FALSE())="No","Not in scope",VLOOKUP(Table4[[#This Row],[V ID]],Vulnerabilities[#All],2,FALSE()))</f>
        <v>Legacy system identification if any</v>
      </c>
      <c r="F10" s="87" t="s">
        <v>38</v>
      </c>
      <c r="G10" s="88" t="str">
        <f>VLOOKUP(Table4[[#This Row],[A ID]],Assets[#All],3,FALSE())</f>
        <v>Tablet Resources - web cam, microphone, OTG devices, Removable USB, Tablet Application, Network interfaces (Bluetooth, Wifi)</v>
      </c>
      <c r="H10" s="19" t="s">
        <v>280</v>
      </c>
      <c r="I10" s="19" t="s">
        <v>465</v>
      </c>
      <c r="J10" s="89" t="s">
        <v>267</v>
      </c>
      <c r="K10" s="89" t="s">
        <v>267</v>
      </c>
      <c r="L10" s="89" t="s">
        <v>267</v>
      </c>
      <c r="M10" s="90" t="s">
        <v>268</v>
      </c>
      <c r="N10" s="90" t="s">
        <v>267</v>
      </c>
      <c r="O10" s="90" t="s">
        <v>267</v>
      </c>
      <c r="P10" s="90" t="s">
        <v>274</v>
      </c>
      <c r="Q10" s="90" t="s">
        <v>270</v>
      </c>
      <c r="R1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10" s="91">
        <f>(1 - ((1 - VLOOKUP(Table4[[#This Row],[Confidentiality]],'Reference - CVSSv3.0'!$B$16:$C$18,2,FALSE())) * (1 - VLOOKUP(Table4[[#This Row],[Integrity]],'Reference - CVSSv3.0'!$B$16:$C$18,2,FALSE())) *  (1 - VLOOKUP(Table4[[#This Row],[Availability]],'Reference - CVSSv3.0'!$B$16:$C$18,2,FALSE()))))</f>
        <v>0.52544799999999992</v>
      </c>
      <c r="T10" s="91">
        <f>IF(Table4[[#This Row],[Scope]]="Unchanged",6.42*Table4[[#This Row],[ISC Base]],IF(Table4[[#This Row],[Scope]]="Changed",7.52*(Table4[[#This Row],[ISC Base]] - 0.029) - 3.25 * POWER(Table4[[#This Row],[ISC Base]] - 0.02,15),NA()))</f>
        <v>3.3733761599999994</v>
      </c>
      <c r="U10"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10" s="85" t="s">
        <v>267</v>
      </c>
      <c r="W10" s="91">
        <f>VLOOKUP(Table4[[#This Row],[Threat Event Initiation]],NIST_Scale_LOAI[],2,FALSE())</f>
        <v>0.2</v>
      </c>
      <c r="X1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1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 s="19" t="s">
        <v>271</v>
      </c>
      <c r="AA10" s="19" t="s">
        <v>272</v>
      </c>
      <c r="AB10" s="19" t="s">
        <v>478</v>
      </c>
      <c r="AC10" s="36"/>
      <c r="AD10" s="36"/>
      <c r="AE10" s="36"/>
      <c r="AF10" s="90"/>
      <c r="AG10" s="90"/>
      <c r="AH10" s="90"/>
      <c r="AI10" s="90"/>
      <c r="AJ10" s="90"/>
      <c r="AK10"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0" s="91" t="e">
        <f>(1 - ((1 - VLOOKUP(Table4[[#This Row],[ConfidentialityP]],'Reference - CVSSv3.0'!$B$16:$C$18,2,FALSE())) * (1 - VLOOKUP(Table4[[#This Row],[IntegrityP]],'Reference - CVSSv3.0'!$B$16:$C$18,2,FALSE())) *  (1 - VLOOKUP(Table4[[#This Row],[AvailabilityP]],'Reference - CVSSv3.0'!$B$16:$C$18,2,FALSE()))))</f>
        <v>#N/A</v>
      </c>
      <c r="AM10" s="91" t="e">
        <f>IF(Table4[[#This Row],[ScopeP]]="Unchanged",6.42*Table4[[#This Row],[ISC BaseP]],IF(Table4[[#This Row],[ScopeP]]="Changed",7.52*(Table4[[#This Row],[ISC BaseP]] - 0.029) - 3.25 * POWER(Table4[[#This Row],[ISC BaseP]] - 0.02,15),NA()))</f>
        <v>#N/A</v>
      </c>
      <c r="AN1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 s="36"/>
    </row>
    <row r="11" spans="1:45" s="26" customFormat="1" ht="156.75">
      <c r="A11" s="84">
        <v>7</v>
      </c>
      <c r="B11" s="85" t="s">
        <v>174</v>
      </c>
      <c r="C11" s="86" t="str">
        <f>IF(VLOOKUP(Table4[[#This Row],[T ID]],Table5[#All],5,FALSE())="No","Not in scope",VLOOKUP(Table4[[#This Row],[T ID]],Table5[#All],2,FALSE()))</f>
        <v>Deliver undirected malware
(CAPEC-185)</v>
      </c>
      <c r="D11" s="57" t="s">
        <v>111</v>
      </c>
      <c r="E11" s="86" t="str">
        <f>IF(VLOOKUP(Table4[[#This Row],[V ID]],Vulnerabilities[#All],3,FALSE())="No","Not in scope",VLOOKUP(Table4[[#This Row],[V ID]],Vulnerabilities[#All],2,FALSE()))</f>
        <v>Ineffective patch management of firware, OS and applications thoughout the information system plan</v>
      </c>
      <c r="F11" s="87" t="s">
        <v>53</v>
      </c>
      <c r="G11" s="88" t="str">
        <f>VLOOKUP(Table4[[#This Row],[A ID]],Assets[#All],3,FALSE())</f>
        <v>Device Maintainence tool (Hardware/Software)</v>
      </c>
      <c r="H11" s="19" t="s">
        <v>280</v>
      </c>
      <c r="I11" s="19" t="s">
        <v>465</v>
      </c>
      <c r="J11" s="89" t="s">
        <v>267</v>
      </c>
      <c r="K11" s="89" t="s">
        <v>267</v>
      </c>
      <c r="L11" s="89" t="s">
        <v>267</v>
      </c>
      <c r="M11" s="90" t="s">
        <v>275</v>
      </c>
      <c r="N11" s="90" t="s">
        <v>267</v>
      </c>
      <c r="O11" s="90" t="s">
        <v>267</v>
      </c>
      <c r="P11" s="90" t="s">
        <v>274</v>
      </c>
      <c r="Q11" s="90" t="s">
        <v>270</v>
      </c>
      <c r="R1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11" s="91">
        <f>(1 - ((1 - VLOOKUP(Table4[[#This Row],[Confidentiality]],'Reference - CVSSv3.0'!$B$16:$C$18,2,FALSE())) * (1 - VLOOKUP(Table4[[#This Row],[Integrity]],'Reference - CVSSv3.0'!$B$16:$C$18,2,FALSE())) *  (1 - VLOOKUP(Table4[[#This Row],[Availability]],'Reference - CVSSv3.0'!$B$16:$C$18,2,FALSE()))))</f>
        <v>0.52544799999999992</v>
      </c>
      <c r="T11" s="91">
        <f>IF(Table4[[#This Row],[Scope]]="Unchanged",6.42*Table4[[#This Row],[ISC Base]],IF(Table4[[#This Row],[Scope]]="Changed",7.52*(Table4[[#This Row],[ISC Base]] - 0.029) - 3.25 * POWER(Table4[[#This Row],[ISC Base]] - 0.02,15),NA()))</f>
        <v>3.3733761599999994</v>
      </c>
      <c r="U11"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1" s="85" t="s">
        <v>267</v>
      </c>
      <c r="W11" s="91">
        <f>VLOOKUP(Table4[[#This Row],[Threat Event Initiation]],NIST_Scale_LOAI[],2,FALSE())</f>
        <v>0.2</v>
      </c>
      <c r="X1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1" s="19" t="s">
        <v>271</v>
      </c>
      <c r="AA11" s="19" t="s">
        <v>454</v>
      </c>
      <c r="AB11" s="19" t="s">
        <v>479</v>
      </c>
      <c r="AC11" s="36"/>
      <c r="AD11" s="36"/>
      <c r="AE11" s="36"/>
      <c r="AF11" s="90"/>
      <c r="AG11" s="90"/>
      <c r="AH11" s="90"/>
      <c r="AI11" s="90"/>
      <c r="AJ11" s="90"/>
      <c r="AK11"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1" s="91" t="e">
        <f>(1 - ((1 - VLOOKUP(Table4[[#This Row],[ConfidentialityP]],'Reference - CVSSv3.0'!$B$16:$C$18,2,FALSE())) * (1 - VLOOKUP(Table4[[#This Row],[IntegrityP]],'Reference - CVSSv3.0'!$B$16:$C$18,2,FALSE())) *  (1 - VLOOKUP(Table4[[#This Row],[AvailabilityP]],'Reference - CVSSv3.0'!$B$16:$C$18,2,FALSE()))))</f>
        <v>#N/A</v>
      </c>
      <c r="AM11" s="91" t="e">
        <f>IF(Table4[[#This Row],[ScopeP]]="Unchanged",6.42*Table4[[#This Row],[ISC BaseP]],IF(Table4[[#This Row],[ScopeP]]="Changed",7.52*(Table4[[#This Row],[ISC BaseP]] - 0.029) - 3.25 * POWER(Table4[[#This Row],[ISC BaseP]] - 0.02,15),NA()))</f>
        <v>#N/A</v>
      </c>
      <c r="AN1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 s="36"/>
    </row>
    <row r="12" spans="1:45" s="26" customFormat="1" ht="225" customHeight="1">
      <c r="A12" s="84">
        <v>8</v>
      </c>
      <c r="B12" s="85" t="s">
        <v>174</v>
      </c>
      <c r="C12" s="86" t="str">
        <f>IF(VLOOKUP(Table4[[#This Row],[T ID]],Table5[#All],5,FALSE())="No","Not in scope",VLOOKUP(Table4[[#This Row],[T ID]],Table5[#All],2,FALSE()))</f>
        <v>Deliver undirected malware
(CAPEC-185)</v>
      </c>
      <c r="D12" s="57" t="s">
        <v>111</v>
      </c>
      <c r="E12" s="86" t="str">
        <f>IF(VLOOKUP(Table4[[#This Row],[V ID]],Vulnerabilities[#All],3,FALSE())="No","Not in scope",VLOOKUP(Table4[[#This Row],[V ID]],Vulnerabilities[#All],2,FALSE()))</f>
        <v>Ineffective patch management of firware, OS and applications thoughout the information system plan</v>
      </c>
      <c r="F12" s="87" t="s">
        <v>38</v>
      </c>
      <c r="G12" s="88" t="str">
        <f>VLOOKUP(Table4[[#This Row],[A ID]],Assets[#All],3,FALSE())</f>
        <v>Tablet Resources - web cam, microphone, OTG devices, Removable USB, Tablet Application, Network interfaces (Bluetooth, Wifi)</v>
      </c>
      <c r="H12" s="19" t="s">
        <v>280</v>
      </c>
      <c r="I12" s="19" t="s">
        <v>465</v>
      </c>
      <c r="J12" s="89" t="s">
        <v>267</v>
      </c>
      <c r="K12" s="89" t="s">
        <v>267</v>
      </c>
      <c r="L12" s="89" t="s">
        <v>267</v>
      </c>
      <c r="M12" s="90" t="s">
        <v>275</v>
      </c>
      <c r="N12" s="90" t="s">
        <v>267</v>
      </c>
      <c r="O12" s="90" t="s">
        <v>267</v>
      </c>
      <c r="P12" s="90" t="s">
        <v>274</v>
      </c>
      <c r="Q12" s="90" t="s">
        <v>270</v>
      </c>
      <c r="R1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12" s="91">
        <f>(1 - ((1 - VLOOKUP(Table4[[#This Row],[Confidentiality]],'Reference - CVSSv3.0'!$B$16:$C$18,2,FALSE())) * (1 - VLOOKUP(Table4[[#This Row],[Integrity]],'Reference - CVSSv3.0'!$B$16:$C$18,2,FALSE())) *  (1 - VLOOKUP(Table4[[#This Row],[Availability]],'Reference - CVSSv3.0'!$B$16:$C$18,2,FALSE()))))</f>
        <v>0.52544799999999992</v>
      </c>
      <c r="T12" s="91">
        <f>IF(Table4[[#This Row],[Scope]]="Unchanged",6.42*Table4[[#This Row],[ISC Base]],IF(Table4[[#This Row],[Scope]]="Changed",7.52*(Table4[[#This Row],[ISC Base]] - 0.029) - 3.25 * POWER(Table4[[#This Row],[ISC Base]] - 0.02,15),NA()))</f>
        <v>3.3733761599999994</v>
      </c>
      <c r="U12"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2" s="85" t="s">
        <v>267</v>
      </c>
      <c r="W12" s="91">
        <f>VLOOKUP(Table4[[#This Row],[Threat Event Initiation]],NIST_Scale_LOAI[],2,FALSE())</f>
        <v>0.2</v>
      </c>
      <c r="X1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2" s="19" t="s">
        <v>271</v>
      </c>
      <c r="AA12" s="19" t="s">
        <v>272</v>
      </c>
      <c r="AB12" s="19" t="s">
        <v>480</v>
      </c>
      <c r="AC12" s="36"/>
      <c r="AD12" s="36"/>
      <c r="AE12" s="36"/>
      <c r="AF12" s="90"/>
      <c r="AG12" s="90"/>
      <c r="AH12" s="90"/>
      <c r="AI12" s="90"/>
      <c r="AJ12" s="90"/>
      <c r="AK12"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2" s="91" t="e">
        <f>(1 - ((1 - VLOOKUP(Table4[[#This Row],[ConfidentialityP]],'Reference - CVSSv3.0'!$B$16:$C$18,2,FALSE())) * (1 - VLOOKUP(Table4[[#This Row],[IntegrityP]],'Reference - CVSSv3.0'!$B$16:$C$18,2,FALSE())) *  (1 - VLOOKUP(Table4[[#This Row],[AvailabilityP]],'Reference - CVSSv3.0'!$B$16:$C$18,2,FALSE()))))</f>
        <v>#N/A</v>
      </c>
      <c r="AM12" s="91" t="e">
        <f>IF(Table4[[#This Row],[ScopeP]]="Unchanged",6.42*Table4[[#This Row],[ISC BaseP]],IF(Table4[[#This Row],[ScopeP]]="Changed",7.52*(Table4[[#This Row],[ISC BaseP]] - 0.029) - 3.25 * POWER(Table4[[#This Row],[ISC BaseP]] - 0.02,15),NA()))</f>
        <v>#N/A</v>
      </c>
      <c r="AN1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 s="36"/>
    </row>
    <row r="13" spans="1:45" s="26" customFormat="1" ht="156.75">
      <c r="A13" s="84">
        <v>9</v>
      </c>
      <c r="B13" s="85" t="s">
        <v>174</v>
      </c>
      <c r="C13" s="86" t="str">
        <f>IF(VLOOKUP(Table4[[#This Row],[T ID]],Table5[#All],5,FALSE())="No","Not in scope",VLOOKUP(Table4[[#This Row],[T ID]],Table5[#All],2,FALSE()))</f>
        <v>Deliver undirected malware
(CAPEC-185)</v>
      </c>
      <c r="D13" s="57" t="s">
        <v>111</v>
      </c>
      <c r="E13" s="86" t="str">
        <f>IF(VLOOKUP(Table4[[#This Row],[V ID]],Vulnerabilities[#All],3,FALSE())="No","Not in scope",VLOOKUP(Table4[[#This Row],[V ID]],Vulnerabilities[#All],2,FALSE()))</f>
        <v>Ineffective patch management of firware, OS and applications thoughout the information system plan</v>
      </c>
      <c r="F13" s="87" t="s">
        <v>46</v>
      </c>
      <c r="G13" s="88" t="str">
        <f>VLOOKUP(Table4[[#This Row],[A ID]],Assets[#All],3,FALSE())</f>
        <v>Smart medic (Stryker device) System Component</v>
      </c>
      <c r="H13" s="19" t="s">
        <v>280</v>
      </c>
      <c r="I13" s="19" t="s">
        <v>465</v>
      </c>
      <c r="J13" s="89" t="s">
        <v>267</v>
      </c>
      <c r="K13" s="89" t="s">
        <v>267</v>
      </c>
      <c r="L13" s="89" t="s">
        <v>267</v>
      </c>
      <c r="M13" s="90" t="s">
        <v>275</v>
      </c>
      <c r="N13" s="90" t="s">
        <v>267</v>
      </c>
      <c r="O13" s="90" t="s">
        <v>267</v>
      </c>
      <c r="P13" s="90" t="s">
        <v>274</v>
      </c>
      <c r="Q13" s="90" t="s">
        <v>270</v>
      </c>
      <c r="R1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13" s="91">
        <f>(1 - ((1 - VLOOKUP(Table4[[#This Row],[Confidentiality]],'Reference - CVSSv3.0'!$B$16:$C$18,2,FALSE())) * (1 - VLOOKUP(Table4[[#This Row],[Integrity]],'Reference - CVSSv3.0'!$B$16:$C$18,2,FALSE())) *  (1 - VLOOKUP(Table4[[#This Row],[Availability]],'Reference - CVSSv3.0'!$B$16:$C$18,2,FALSE()))))</f>
        <v>0.52544799999999992</v>
      </c>
      <c r="T13" s="91">
        <f>IF(Table4[[#This Row],[Scope]]="Unchanged",6.42*Table4[[#This Row],[ISC Base]],IF(Table4[[#This Row],[Scope]]="Changed",7.52*(Table4[[#This Row],[ISC Base]] - 0.029) - 3.25 * POWER(Table4[[#This Row],[ISC Base]] - 0.02,15),NA()))</f>
        <v>3.3733761599999994</v>
      </c>
      <c r="U13"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3" s="85" t="s">
        <v>267</v>
      </c>
      <c r="W13" s="91">
        <f>VLOOKUP(Table4[[#This Row],[Threat Event Initiation]],NIST_Scale_LOAI[],2,FALSE())</f>
        <v>0.2</v>
      </c>
      <c r="X1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3" s="19" t="s">
        <v>271</v>
      </c>
      <c r="AA13" s="19" t="s">
        <v>431</v>
      </c>
      <c r="AB13" s="19" t="s">
        <v>481</v>
      </c>
      <c r="AC13" s="36"/>
      <c r="AD13" s="36"/>
      <c r="AE13" s="36"/>
      <c r="AF13" s="90"/>
      <c r="AG13" s="90"/>
      <c r="AH13" s="90"/>
      <c r="AI13" s="90"/>
      <c r="AJ13" s="90"/>
      <c r="AK13"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3" s="91" t="e">
        <f>(1 - ((1 - VLOOKUP(Table4[[#This Row],[ConfidentialityP]],'Reference - CVSSv3.0'!$B$16:$C$18,2,FALSE())) * (1 - VLOOKUP(Table4[[#This Row],[IntegrityP]],'Reference - CVSSv3.0'!$B$16:$C$18,2,FALSE())) *  (1 - VLOOKUP(Table4[[#This Row],[AvailabilityP]],'Reference - CVSSv3.0'!$B$16:$C$18,2,FALSE()))))</f>
        <v>#N/A</v>
      </c>
      <c r="AM13" s="91" t="e">
        <f>IF(Table4[[#This Row],[ScopeP]]="Unchanged",6.42*Table4[[#This Row],[ISC BaseP]],IF(Table4[[#This Row],[ScopeP]]="Changed",7.52*(Table4[[#This Row],[ISC BaseP]] - 0.029) - 3.25 * POWER(Table4[[#This Row],[ISC BaseP]] - 0.02,15),NA()))</f>
        <v>#N/A</v>
      </c>
      <c r="AN1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3" s="36"/>
    </row>
    <row r="14" spans="1:45" s="26" customFormat="1" ht="156.75">
      <c r="A14" s="84">
        <v>10</v>
      </c>
      <c r="B14" s="85" t="s">
        <v>174</v>
      </c>
      <c r="C14" s="86" t="str">
        <f>IF(VLOOKUP(Table4[[#This Row],[T ID]],Table5[#All],5,FALSE())="No","Not in scope",VLOOKUP(Table4[[#This Row],[T ID]],Table5[#All],2,FALSE()))</f>
        <v>Deliver undirected malware
(CAPEC-185)</v>
      </c>
      <c r="D14" s="57" t="s">
        <v>113</v>
      </c>
      <c r="E14" s="86" t="str">
        <f>IF(VLOOKUP(Table4[[#This Row],[V ID]],Vulnerabilities[#All],3,FALSE())="No","Not in scope",VLOOKUP(Table4[[#This Row],[V ID]],Vulnerabilities[#All],2,FALSE()))</f>
        <v xml:space="preserve">Lack of plan for periodic Software Vulnerability Management </v>
      </c>
      <c r="F14" s="87" t="s">
        <v>53</v>
      </c>
      <c r="G14" s="88" t="str">
        <f>VLOOKUP(Table4[[#This Row],[A ID]],Assets[#All],3,FALSE())</f>
        <v>Device Maintainence tool (Hardware/Software)</v>
      </c>
      <c r="H14" s="19" t="s">
        <v>280</v>
      </c>
      <c r="I14" s="19" t="s">
        <v>465</v>
      </c>
      <c r="J14" s="89" t="s">
        <v>267</v>
      </c>
      <c r="K14" s="89" t="s">
        <v>267</v>
      </c>
      <c r="L14" s="89" t="s">
        <v>267</v>
      </c>
      <c r="M14" s="90" t="s">
        <v>275</v>
      </c>
      <c r="N14" s="90" t="s">
        <v>267</v>
      </c>
      <c r="O14" s="90" t="s">
        <v>267</v>
      </c>
      <c r="P14" s="90" t="s">
        <v>274</v>
      </c>
      <c r="Q14" s="90" t="s">
        <v>270</v>
      </c>
      <c r="R1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14" s="91">
        <f>(1 - ((1 - VLOOKUP(Table4[[#This Row],[Confidentiality]],'Reference - CVSSv3.0'!$B$16:$C$18,2,FALSE())) * (1 - VLOOKUP(Table4[[#This Row],[Integrity]],'Reference - CVSSv3.0'!$B$16:$C$18,2,FALSE())) *  (1 - VLOOKUP(Table4[[#This Row],[Availability]],'Reference - CVSSv3.0'!$B$16:$C$18,2,FALSE()))))</f>
        <v>0.52544799999999992</v>
      </c>
      <c r="T14" s="91">
        <f>IF(Table4[[#This Row],[Scope]]="Unchanged",6.42*Table4[[#This Row],[ISC Base]],IF(Table4[[#This Row],[Scope]]="Changed",7.52*(Table4[[#This Row],[ISC Base]] - 0.029) - 3.25 * POWER(Table4[[#This Row],[ISC Base]] - 0.02,15),NA()))</f>
        <v>3.3733761599999994</v>
      </c>
      <c r="U14"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4" s="85" t="s">
        <v>267</v>
      </c>
      <c r="W14" s="91">
        <f>VLOOKUP(Table4[[#This Row],[Threat Event Initiation]],NIST_Scale_LOAI[],2,FALSE())</f>
        <v>0.2</v>
      </c>
      <c r="X1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4" s="19" t="s">
        <v>271</v>
      </c>
      <c r="AA14" s="19" t="s">
        <v>454</v>
      </c>
      <c r="AB14" s="19" t="s">
        <v>482</v>
      </c>
      <c r="AC14" s="36"/>
      <c r="AD14" s="36"/>
      <c r="AE14" s="36"/>
      <c r="AF14" s="90"/>
      <c r="AG14" s="90"/>
      <c r="AH14" s="90"/>
      <c r="AI14" s="90"/>
      <c r="AJ14" s="90"/>
      <c r="AK1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4" s="91" t="e">
        <f>(1 - ((1 - VLOOKUP(Table4[[#This Row],[ConfidentialityP]],'Reference - CVSSv3.0'!$B$16:$C$18,2,FALSE())) * (1 - VLOOKUP(Table4[[#This Row],[IntegrityP]],'Reference - CVSSv3.0'!$B$16:$C$18,2,FALSE())) *  (1 - VLOOKUP(Table4[[#This Row],[AvailabilityP]],'Reference - CVSSv3.0'!$B$16:$C$18,2,FALSE()))))</f>
        <v>#N/A</v>
      </c>
      <c r="AM14" s="91" t="e">
        <f>IF(Table4[[#This Row],[ScopeP]]="Unchanged",6.42*Table4[[#This Row],[ISC BaseP]],IF(Table4[[#This Row],[ScopeP]]="Changed",7.52*(Table4[[#This Row],[ISC BaseP]] - 0.029) - 3.25 * POWER(Table4[[#This Row],[ISC BaseP]] - 0.02,15),NA()))</f>
        <v>#N/A</v>
      </c>
      <c r="AN1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4" s="36"/>
    </row>
    <row r="15" spans="1:45" s="26" customFormat="1" ht="213.75">
      <c r="A15" s="84">
        <v>11</v>
      </c>
      <c r="B15" s="85" t="s">
        <v>174</v>
      </c>
      <c r="C15" s="86" t="str">
        <f>IF(VLOOKUP(Table4[[#This Row],[T ID]],Table5[#All],5,FALSE())="No","Not in scope",VLOOKUP(Table4[[#This Row],[T ID]],Table5[#All],2,FALSE()))</f>
        <v>Deliver undirected malware
(CAPEC-185)</v>
      </c>
      <c r="D15" s="57" t="s">
        <v>113</v>
      </c>
      <c r="E15" s="86" t="str">
        <f>IF(VLOOKUP(Table4[[#This Row],[V ID]],Vulnerabilities[#All],3,FALSE())="No","Not in scope",VLOOKUP(Table4[[#This Row],[V ID]],Vulnerabilities[#All],2,FALSE()))</f>
        <v xml:space="preserve">Lack of plan for periodic Software Vulnerability Management </v>
      </c>
      <c r="F15" s="87" t="s">
        <v>38</v>
      </c>
      <c r="G15" s="88" t="str">
        <f>VLOOKUP(Table4[[#This Row],[A ID]],Assets[#All],3,FALSE())</f>
        <v>Tablet Resources - web cam, microphone, OTG devices, Removable USB, Tablet Application, Network interfaces (Bluetooth, Wifi)</v>
      </c>
      <c r="H15" s="19" t="s">
        <v>280</v>
      </c>
      <c r="I15" s="19" t="s">
        <v>465</v>
      </c>
      <c r="J15" s="89" t="s">
        <v>267</v>
      </c>
      <c r="K15" s="89" t="s">
        <v>267</v>
      </c>
      <c r="L15" s="89" t="s">
        <v>267</v>
      </c>
      <c r="M15" s="90" t="s">
        <v>275</v>
      </c>
      <c r="N15" s="90" t="s">
        <v>267</v>
      </c>
      <c r="O15" s="90" t="s">
        <v>267</v>
      </c>
      <c r="P15" s="90" t="s">
        <v>274</v>
      </c>
      <c r="Q15" s="90" t="s">
        <v>270</v>
      </c>
      <c r="R15"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15" s="91">
        <f>(1 - ((1 - VLOOKUP(Table4[[#This Row],[Confidentiality]],'Reference - CVSSv3.0'!$B$16:$C$18,2,FALSE())) * (1 - VLOOKUP(Table4[[#This Row],[Integrity]],'Reference - CVSSv3.0'!$B$16:$C$18,2,FALSE())) *  (1 - VLOOKUP(Table4[[#This Row],[Availability]],'Reference - CVSSv3.0'!$B$16:$C$18,2,FALSE()))))</f>
        <v>0.52544799999999992</v>
      </c>
      <c r="T15" s="91">
        <f>IF(Table4[[#This Row],[Scope]]="Unchanged",6.42*Table4[[#This Row],[ISC Base]],IF(Table4[[#This Row],[Scope]]="Changed",7.52*(Table4[[#This Row],[ISC Base]] - 0.029) - 3.25 * POWER(Table4[[#This Row],[ISC Base]] - 0.02,15),NA()))</f>
        <v>3.3733761599999994</v>
      </c>
      <c r="U15"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5" s="85" t="s">
        <v>267</v>
      </c>
      <c r="W15" s="91">
        <f>VLOOKUP(Table4[[#This Row],[Threat Event Initiation]],NIST_Scale_LOAI[],2,FALSE())</f>
        <v>0.2</v>
      </c>
      <c r="X1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5" s="19" t="s">
        <v>271</v>
      </c>
      <c r="AA15" s="19" t="s">
        <v>272</v>
      </c>
      <c r="AB15" s="19" t="s">
        <v>483</v>
      </c>
      <c r="AC15" s="36"/>
      <c r="AD15" s="36"/>
      <c r="AE15" s="36"/>
      <c r="AF15" s="90"/>
      <c r="AG15" s="90"/>
      <c r="AH15" s="90"/>
      <c r="AI15" s="90"/>
      <c r="AJ15" s="90"/>
      <c r="AK15"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5" s="91" t="e">
        <f>(1 - ((1 - VLOOKUP(Table4[[#This Row],[ConfidentialityP]],'Reference - CVSSv3.0'!$B$16:$C$18,2,FALSE())) * (1 - VLOOKUP(Table4[[#This Row],[IntegrityP]],'Reference - CVSSv3.0'!$B$16:$C$18,2,FALSE())) *  (1 - VLOOKUP(Table4[[#This Row],[AvailabilityP]],'Reference - CVSSv3.0'!$B$16:$C$18,2,FALSE()))))</f>
        <v>#N/A</v>
      </c>
      <c r="AM15" s="91" t="e">
        <f>IF(Table4[[#This Row],[ScopeP]]="Unchanged",6.42*Table4[[#This Row],[ISC BaseP]],IF(Table4[[#This Row],[ScopeP]]="Changed",7.52*(Table4[[#This Row],[ISC BaseP]] - 0.029) - 3.25 * POWER(Table4[[#This Row],[ISC BaseP]] - 0.02,15),NA()))</f>
        <v>#N/A</v>
      </c>
      <c r="AN1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5" s="36"/>
    </row>
    <row r="16" spans="1:45" s="26" customFormat="1" ht="156.75">
      <c r="A16" s="84">
        <v>12</v>
      </c>
      <c r="B16" s="85" t="s">
        <v>174</v>
      </c>
      <c r="C16" s="86" t="str">
        <f>IF(VLOOKUP(Table4[[#This Row],[T ID]],Table5[#All],5,FALSE())="No","Not in scope",VLOOKUP(Table4[[#This Row],[T ID]],Table5[#All],2,FALSE()))</f>
        <v>Deliver undirected malware
(CAPEC-185)</v>
      </c>
      <c r="D16" s="57" t="s">
        <v>113</v>
      </c>
      <c r="E16" s="86" t="str">
        <f>IF(VLOOKUP(Table4[[#This Row],[V ID]],Vulnerabilities[#All],3,FALSE())="No","Not in scope",VLOOKUP(Table4[[#This Row],[V ID]],Vulnerabilities[#All],2,FALSE()))</f>
        <v xml:space="preserve">Lack of plan for periodic Software Vulnerability Management </v>
      </c>
      <c r="F16" s="87" t="s">
        <v>46</v>
      </c>
      <c r="G16" s="88" t="str">
        <f>VLOOKUP(Table4[[#This Row],[A ID]],Assets[#All],3,FALSE())</f>
        <v>Smart medic (Stryker device) System Component</v>
      </c>
      <c r="H16" s="19" t="s">
        <v>266</v>
      </c>
      <c r="I16" s="19" t="s">
        <v>465</v>
      </c>
      <c r="J16" s="89" t="s">
        <v>267</v>
      </c>
      <c r="K16" s="89" t="s">
        <v>267</v>
      </c>
      <c r="L16" s="89" t="s">
        <v>267</v>
      </c>
      <c r="M16" s="90" t="s">
        <v>275</v>
      </c>
      <c r="N16" s="90" t="s">
        <v>267</v>
      </c>
      <c r="O16" s="90" t="s">
        <v>267</v>
      </c>
      <c r="P16" s="90" t="s">
        <v>274</v>
      </c>
      <c r="Q16" s="90" t="s">
        <v>270</v>
      </c>
      <c r="R1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16" s="91">
        <f>(1 - ((1 - VLOOKUP(Table4[[#This Row],[Confidentiality]],'Reference - CVSSv3.0'!$B$16:$C$18,2,FALSE())) * (1 - VLOOKUP(Table4[[#This Row],[Integrity]],'Reference - CVSSv3.0'!$B$16:$C$18,2,FALSE())) *  (1 - VLOOKUP(Table4[[#This Row],[Availability]],'Reference - CVSSv3.0'!$B$16:$C$18,2,FALSE()))))</f>
        <v>0.52544799999999992</v>
      </c>
      <c r="T16" s="91">
        <f>IF(Table4[[#This Row],[Scope]]="Unchanged",6.42*Table4[[#This Row],[ISC Base]],IF(Table4[[#This Row],[Scope]]="Changed",7.52*(Table4[[#This Row],[ISC Base]] - 0.029) - 3.25 * POWER(Table4[[#This Row],[ISC Base]] - 0.02,15),NA()))</f>
        <v>3.3733761599999994</v>
      </c>
      <c r="U16"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6" s="85" t="s">
        <v>267</v>
      </c>
      <c r="W16" s="91">
        <f>VLOOKUP(Table4[[#This Row],[Threat Event Initiation]],NIST_Scale_LOAI[],2,FALSE())</f>
        <v>0.2</v>
      </c>
      <c r="X1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6" s="19" t="s">
        <v>271</v>
      </c>
      <c r="AA16" s="19" t="s">
        <v>431</v>
      </c>
      <c r="AB16" s="19" t="s">
        <v>484</v>
      </c>
      <c r="AC16" s="36"/>
      <c r="AD16" s="36"/>
      <c r="AE16" s="36"/>
      <c r="AF16" s="90"/>
      <c r="AG16" s="90"/>
      <c r="AH16" s="90"/>
      <c r="AI16" s="90"/>
      <c r="AJ16" s="90"/>
      <c r="AK16"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6" s="91" t="e">
        <f>(1 - ((1 - VLOOKUP(Table4[[#This Row],[ConfidentialityP]],'Reference - CVSSv3.0'!$B$16:$C$18,2,FALSE())) * (1 - VLOOKUP(Table4[[#This Row],[IntegrityP]],'Reference - CVSSv3.0'!$B$16:$C$18,2,FALSE())) *  (1 - VLOOKUP(Table4[[#This Row],[AvailabilityP]],'Reference - CVSSv3.0'!$B$16:$C$18,2,FALSE()))))</f>
        <v>#N/A</v>
      </c>
      <c r="AM16" s="91" t="e">
        <f>IF(Table4[[#This Row],[ScopeP]]="Unchanged",6.42*Table4[[#This Row],[ISC BaseP]],IF(Table4[[#This Row],[ScopeP]]="Changed",7.52*(Table4[[#This Row],[ISC BaseP]] - 0.029) - 3.25 * POWER(Table4[[#This Row],[ISC BaseP]] - 0.02,15),NA()))</f>
        <v>#N/A</v>
      </c>
      <c r="AN1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6" s="36"/>
    </row>
    <row r="17" spans="1:43" s="26" customFormat="1" ht="213.75">
      <c r="A17" s="84">
        <v>13</v>
      </c>
      <c r="B17" s="85" t="s">
        <v>174</v>
      </c>
      <c r="C17" s="86" t="str">
        <f>IF(VLOOKUP(Table4[[#This Row],[T ID]],Table5[#All],5,FALSE())="No","Not in scope",VLOOKUP(Table4[[#This Row],[T ID]],Table5[#All],2,FALSE()))</f>
        <v>Deliver undirected malware
(CAPEC-185)</v>
      </c>
      <c r="D17" s="57" t="s">
        <v>120</v>
      </c>
      <c r="E17" s="86" t="str">
        <f>IF(VLOOKUP(Table4[[#This Row],[V ID]],Vulnerabilities[#All],3,FALSE())="No","Not in scope",VLOOKUP(Table4[[#This Row],[V ID]],Vulnerabilities[#All],2,FALSE()))</f>
        <v>Unprotected network port(s) on network devices and connection points</v>
      </c>
      <c r="F17" s="87" t="s">
        <v>38</v>
      </c>
      <c r="G17" s="88" t="str">
        <f>VLOOKUP(Table4[[#This Row],[A ID]],Assets[#All],3,FALSE())</f>
        <v>Tablet Resources - web cam, microphone, OTG devices, Removable USB, Tablet Application, Network interfaces (Bluetooth, Wifi)</v>
      </c>
      <c r="H17" s="19" t="s">
        <v>280</v>
      </c>
      <c r="I17" s="19" t="s">
        <v>465</v>
      </c>
      <c r="J17" s="89" t="s">
        <v>274</v>
      </c>
      <c r="K17" s="89" t="s">
        <v>274</v>
      </c>
      <c r="L17" s="89" t="s">
        <v>276</v>
      </c>
      <c r="M17" s="90" t="s">
        <v>273</v>
      </c>
      <c r="N17" s="90" t="s">
        <v>267</v>
      </c>
      <c r="O17" s="90" t="s">
        <v>276</v>
      </c>
      <c r="P17" s="90" t="s">
        <v>274</v>
      </c>
      <c r="Q17" s="90" t="s">
        <v>270</v>
      </c>
      <c r="R1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1.2347077050000002</v>
      </c>
      <c r="S17" s="91">
        <f>(1 - ((1 - VLOOKUP(Table4[[#This Row],[Confidentiality]],'Reference - CVSSv3.0'!$B$16:$C$18,2,FALSE())) * (1 - VLOOKUP(Table4[[#This Row],[Integrity]],'Reference - CVSSv3.0'!$B$16:$C$18,2,FALSE())) *  (1 - VLOOKUP(Table4[[#This Row],[Availability]],'Reference - CVSSv3.0'!$B$16:$C$18,2,FALSE()))))</f>
        <v>0.56000000000000005</v>
      </c>
      <c r="T17" s="91">
        <f>IF(Table4[[#This Row],[Scope]]="Unchanged",6.42*Table4[[#This Row],[ISC Base]],IF(Table4[[#This Row],[Scope]]="Changed",7.52*(Table4[[#This Row],[ISC Base]] - 0.029) - 3.25 * POWER(Table4[[#This Row],[ISC Base]] - 0.02,15),NA()))</f>
        <v>3.5952000000000002</v>
      </c>
      <c r="U17"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17" s="85" t="s">
        <v>267</v>
      </c>
      <c r="W17" s="91">
        <f>VLOOKUP(Table4[[#This Row],[Threat Event Initiation]],NIST_Scale_LOAI[],2,FALSE())</f>
        <v>0.2</v>
      </c>
      <c r="X1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1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7" s="19" t="s">
        <v>271</v>
      </c>
      <c r="AA17" s="19" t="s">
        <v>272</v>
      </c>
      <c r="AB17" s="19" t="s">
        <v>485</v>
      </c>
      <c r="AC17" s="36"/>
      <c r="AD17" s="36"/>
      <c r="AE17" s="36"/>
      <c r="AF17" s="90"/>
      <c r="AG17" s="90"/>
      <c r="AH17" s="90"/>
      <c r="AI17" s="90"/>
      <c r="AJ17" s="90"/>
      <c r="AK17"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7" s="91" t="e">
        <f>(1 - ((1 - VLOOKUP(Table4[[#This Row],[ConfidentialityP]],'Reference - CVSSv3.0'!$B$16:$C$18,2,FALSE())) * (1 - VLOOKUP(Table4[[#This Row],[IntegrityP]],'Reference - CVSSv3.0'!$B$16:$C$18,2,FALSE())) *  (1 - VLOOKUP(Table4[[#This Row],[AvailabilityP]],'Reference - CVSSv3.0'!$B$16:$C$18,2,FALSE()))))</f>
        <v>#N/A</v>
      </c>
      <c r="AM17" s="91" t="e">
        <f>IF(Table4[[#This Row],[ScopeP]]="Unchanged",6.42*Table4[[#This Row],[ISC BaseP]],IF(Table4[[#This Row],[ScopeP]]="Changed",7.52*(Table4[[#This Row],[ISC BaseP]] - 0.029) - 3.25 * POWER(Table4[[#This Row],[ISC BaseP]] - 0.02,15),NA()))</f>
        <v>#N/A</v>
      </c>
      <c r="AN1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7" s="36"/>
    </row>
    <row r="18" spans="1:43" s="26" customFormat="1" ht="156.75">
      <c r="A18" s="84">
        <v>14</v>
      </c>
      <c r="B18" s="85" t="s">
        <v>174</v>
      </c>
      <c r="C18" s="86" t="str">
        <f>IF(VLOOKUP(Table4[[#This Row],[T ID]],Table5[#All],5,FALSE())="No","Not in scope",VLOOKUP(Table4[[#This Row],[T ID]],Table5[#All],2,FALSE()))</f>
        <v>Deliver undirected malware
(CAPEC-185)</v>
      </c>
      <c r="D18" s="57" t="s">
        <v>120</v>
      </c>
      <c r="E18" s="86" t="str">
        <f>IF(VLOOKUP(Table4[[#This Row],[V ID]],Vulnerabilities[#All],3,FALSE())="No","Not in scope",VLOOKUP(Table4[[#This Row],[V ID]],Vulnerabilities[#All],2,FALSE()))</f>
        <v>Unprotected network port(s) on network devices and connection points</v>
      </c>
      <c r="F18" s="87" t="s">
        <v>46</v>
      </c>
      <c r="G18" s="88" t="str">
        <f>VLOOKUP(Table4[[#This Row],[A ID]],Assets[#All],3,FALSE())</f>
        <v>Smart medic (Stryker device) System Component</v>
      </c>
      <c r="H18" s="19" t="s">
        <v>280</v>
      </c>
      <c r="I18" s="19" t="s">
        <v>465</v>
      </c>
      <c r="J18" s="89" t="s">
        <v>274</v>
      </c>
      <c r="K18" s="89" t="s">
        <v>274</v>
      </c>
      <c r="L18" s="89" t="s">
        <v>276</v>
      </c>
      <c r="M18" s="90" t="s">
        <v>273</v>
      </c>
      <c r="N18" s="90" t="s">
        <v>267</v>
      </c>
      <c r="O18" s="90" t="s">
        <v>276</v>
      </c>
      <c r="P18" s="90" t="s">
        <v>274</v>
      </c>
      <c r="Q18" s="90" t="s">
        <v>270</v>
      </c>
      <c r="R1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1.2347077050000002</v>
      </c>
      <c r="S18" s="91">
        <f>(1 - ((1 - VLOOKUP(Table4[[#This Row],[Confidentiality]],'Reference - CVSSv3.0'!$B$16:$C$18,2,FALSE())) * (1 - VLOOKUP(Table4[[#This Row],[Integrity]],'Reference - CVSSv3.0'!$B$16:$C$18,2,FALSE())) *  (1 - VLOOKUP(Table4[[#This Row],[Availability]],'Reference - CVSSv3.0'!$B$16:$C$18,2,FALSE()))))</f>
        <v>0.56000000000000005</v>
      </c>
      <c r="T18" s="91">
        <f>IF(Table4[[#This Row],[Scope]]="Unchanged",6.42*Table4[[#This Row],[ISC Base]],IF(Table4[[#This Row],[Scope]]="Changed",7.52*(Table4[[#This Row],[ISC Base]] - 0.029) - 3.25 * POWER(Table4[[#This Row],[ISC Base]] - 0.02,15),NA()))</f>
        <v>3.5952000000000002</v>
      </c>
      <c r="U18"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18" s="85" t="s">
        <v>267</v>
      </c>
      <c r="W18" s="91">
        <f>VLOOKUP(Table4[[#This Row],[Threat Event Initiation]],NIST_Scale_LOAI[],2,FALSE())</f>
        <v>0.2</v>
      </c>
      <c r="X1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1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8" s="19" t="s">
        <v>271</v>
      </c>
      <c r="AA18" s="19" t="s">
        <v>431</v>
      </c>
      <c r="AB18" s="19" t="s">
        <v>486</v>
      </c>
      <c r="AC18" s="36"/>
      <c r="AD18" s="36"/>
      <c r="AE18" s="36"/>
      <c r="AF18" s="90"/>
      <c r="AG18" s="90"/>
      <c r="AH18" s="90"/>
      <c r="AI18" s="90"/>
      <c r="AJ18" s="90"/>
      <c r="AK18"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8" s="91" t="e">
        <f>(1 - ((1 - VLOOKUP(Table4[[#This Row],[ConfidentialityP]],'Reference - CVSSv3.0'!$B$16:$C$18,2,FALSE())) * (1 - VLOOKUP(Table4[[#This Row],[IntegrityP]],'Reference - CVSSv3.0'!$B$16:$C$18,2,FALSE())) *  (1 - VLOOKUP(Table4[[#This Row],[AvailabilityP]],'Reference - CVSSv3.0'!$B$16:$C$18,2,FALSE()))))</f>
        <v>#N/A</v>
      </c>
      <c r="AM18" s="91" t="e">
        <f>IF(Table4[[#This Row],[ScopeP]]="Unchanged",6.42*Table4[[#This Row],[ISC BaseP]],IF(Table4[[#This Row],[ScopeP]]="Changed",7.52*(Table4[[#This Row],[ISC BaseP]] - 0.029) - 3.25 * POWER(Table4[[#This Row],[ISC BaseP]] - 0.02,15),NA()))</f>
        <v>#N/A</v>
      </c>
      <c r="AN1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8" s="36"/>
    </row>
    <row r="19" spans="1:43" s="26" customFormat="1" ht="213.75">
      <c r="A19" s="84">
        <v>15</v>
      </c>
      <c r="B19" s="85" t="s">
        <v>174</v>
      </c>
      <c r="C19" s="86" t="str">
        <f>IF(VLOOKUP(Table4[[#This Row],[T ID]],Table5[#All],5,FALSE())="No","Not in scope",VLOOKUP(Table4[[#This Row],[T ID]],Table5[#All],2,FALSE()))</f>
        <v>Deliver undirected malware
(CAPEC-185)</v>
      </c>
      <c r="D19" s="57" t="s">
        <v>129</v>
      </c>
      <c r="E19" s="86" t="str">
        <f>IF(VLOOKUP(Table4[[#This Row],[V ID]],Vulnerabilities[#All],3,FALSE())="No","Not in scope",VLOOKUP(Table4[[#This Row],[V ID]],Vulnerabilities[#All],2,FALSE()))</f>
        <v>Unencrypted data at rest in all possible locations</v>
      </c>
      <c r="F19" s="87" t="s">
        <v>38</v>
      </c>
      <c r="G19" s="88" t="str">
        <f>VLOOKUP(Table4[[#This Row],[A ID]],Assets[#All],3,FALSE())</f>
        <v>Tablet Resources - web cam, microphone, OTG devices, Removable USB, Tablet Application, Network interfaces (Bluetooth, Wifi)</v>
      </c>
      <c r="H19" s="19" t="s">
        <v>280</v>
      </c>
      <c r="I19" s="19" t="s">
        <v>465</v>
      </c>
      <c r="J19" s="89" t="s">
        <v>267</v>
      </c>
      <c r="K19" s="89" t="s">
        <v>267</v>
      </c>
      <c r="L19" s="89" t="s">
        <v>267</v>
      </c>
      <c r="M19" s="90" t="s">
        <v>275</v>
      </c>
      <c r="N19" s="90" t="s">
        <v>267</v>
      </c>
      <c r="O19" s="90" t="s">
        <v>267</v>
      </c>
      <c r="P19" s="90" t="s">
        <v>274</v>
      </c>
      <c r="Q19" s="90" t="s">
        <v>270</v>
      </c>
      <c r="R19"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19" s="91">
        <f>(1 - ((1 - VLOOKUP(Table4[[#This Row],[Confidentiality]],'Reference - CVSSv3.0'!$B$16:$C$18,2,FALSE())) * (1 - VLOOKUP(Table4[[#This Row],[Integrity]],'Reference - CVSSv3.0'!$B$16:$C$18,2,FALSE())) *  (1 - VLOOKUP(Table4[[#This Row],[Availability]],'Reference - CVSSv3.0'!$B$16:$C$18,2,FALSE()))))</f>
        <v>0.52544799999999992</v>
      </c>
      <c r="T19" s="91">
        <f>IF(Table4[[#This Row],[Scope]]="Unchanged",6.42*Table4[[#This Row],[ISC Base]],IF(Table4[[#This Row],[Scope]]="Changed",7.52*(Table4[[#This Row],[ISC Base]] - 0.029) - 3.25 * POWER(Table4[[#This Row],[ISC Base]] - 0.02,15),NA()))</f>
        <v>3.3733761599999994</v>
      </c>
      <c r="U19"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9" s="85" t="s">
        <v>267</v>
      </c>
      <c r="W19" s="91">
        <f>VLOOKUP(Table4[[#This Row],[Threat Event Initiation]],NIST_Scale_LOAI[],2,FALSE())</f>
        <v>0.2</v>
      </c>
      <c r="X1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9" s="19" t="s">
        <v>271</v>
      </c>
      <c r="AA19" s="19" t="s">
        <v>272</v>
      </c>
      <c r="AB19" s="19" t="s">
        <v>487</v>
      </c>
      <c r="AC19" s="36"/>
      <c r="AD19" s="36"/>
      <c r="AE19" s="36"/>
      <c r="AF19" s="90"/>
      <c r="AG19" s="90"/>
      <c r="AH19" s="90"/>
      <c r="AI19" s="90"/>
      <c r="AJ19" s="90"/>
      <c r="AK19"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9" s="91" t="e">
        <f>(1 - ((1 - VLOOKUP(Table4[[#This Row],[ConfidentialityP]],'Reference - CVSSv3.0'!$B$16:$C$18,2,FALSE())) * (1 - VLOOKUP(Table4[[#This Row],[IntegrityP]],'Reference - CVSSv3.0'!$B$16:$C$18,2,FALSE())) *  (1 - VLOOKUP(Table4[[#This Row],[AvailabilityP]],'Reference - CVSSv3.0'!$B$16:$C$18,2,FALSE()))))</f>
        <v>#N/A</v>
      </c>
      <c r="AM19" s="91" t="e">
        <f>IF(Table4[[#This Row],[ScopeP]]="Unchanged",6.42*Table4[[#This Row],[ISC BaseP]],IF(Table4[[#This Row],[ScopeP]]="Changed",7.52*(Table4[[#This Row],[ISC BaseP]] - 0.029) - 3.25 * POWER(Table4[[#This Row],[ISC BaseP]] - 0.02,15),NA()))</f>
        <v>#N/A</v>
      </c>
      <c r="AN1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9" s="36"/>
    </row>
    <row r="20" spans="1:43" s="26" customFormat="1" ht="156.75">
      <c r="A20" s="95">
        <v>16</v>
      </c>
      <c r="B20" s="85" t="s">
        <v>174</v>
      </c>
      <c r="C20" s="86" t="str">
        <f>IF(VLOOKUP(Table4[[#This Row],[T ID]],Table5[#All],5,FALSE())="No","Not in scope",VLOOKUP(Table4[[#This Row],[T ID]],Table5[#All],2,FALSE()))</f>
        <v>Deliver undirected malware
(CAPEC-185)</v>
      </c>
      <c r="D20" s="57" t="s">
        <v>131</v>
      </c>
      <c r="E20" s="86" t="str">
        <f>IF(VLOOKUP(Table4[[#This Row],[V ID]],Vulnerabilities[#All],3,FALSE())="No","Not in scope",VLOOKUP(Table4[[#This Row],[V ID]],Vulnerabilities[#All],2,FALSE()))</f>
        <v>Unencrypted data in transit in all flowchannels</v>
      </c>
      <c r="F20" s="87" t="s">
        <v>46</v>
      </c>
      <c r="G20" s="88" t="str">
        <f>VLOOKUP(Table4[[#This Row],[A ID]],Assets[#All],3,FALSE())</f>
        <v>Smart medic (Stryker device) System Component</v>
      </c>
      <c r="H20" s="19" t="s">
        <v>280</v>
      </c>
      <c r="I20" s="19" t="s">
        <v>465</v>
      </c>
      <c r="J20" s="89" t="s">
        <v>274</v>
      </c>
      <c r="K20" s="89" t="s">
        <v>274</v>
      </c>
      <c r="L20" s="89" t="s">
        <v>276</v>
      </c>
      <c r="M20" s="90" t="s">
        <v>273</v>
      </c>
      <c r="N20" s="90" t="s">
        <v>267</v>
      </c>
      <c r="O20" s="90" t="s">
        <v>276</v>
      </c>
      <c r="P20" s="90" t="s">
        <v>274</v>
      </c>
      <c r="Q20" s="90" t="s">
        <v>270</v>
      </c>
      <c r="R2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1.2347077050000002</v>
      </c>
      <c r="S20" s="91">
        <f>(1 - ((1 - VLOOKUP(Table4[[#This Row],[Confidentiality]],'Reference - CVSSv3.0'!$B$16:$C$18,2,FALSE())) * (1 - VLOOKUP(Table4[[#This Row],[Integrity]],'Reference - CVSSv3.0'!$B$16:$C$18,2,FALSE())) *  (1 - VLOOKUP(Table4[[#This Row],[Availability]],'Reference - CVSSv3.0'!$B$16:$C$18,2,FALSE()))))</f>
        <v>0.56000000000000005</v>
      </c>
      <c r="T20" s="91">
        <f>IF(Table4[[#This Row],[Scope]]="Unchanged",6.42*Table4[[#This Row],[ISC Base]],IF(Table4[[#This Row],[Scope]]="Changed",7.52*(Table4[[#This Row],[ISC Base]] - 0.029) - 3.25 * POWER(Table4[[#This Row],[ISC Base]] - 0.02,15),NA()))</f>
        <v>3.5952000000000002</v>
      </c>
      <c r="U20"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0" s="85" t="s">
        <v>267</v>
      </c>
      <c r="W20" s="91">
        <f>VLOOKUP(Table4[[#This Row],[Threat Event Initiation]],NIST_Scale_LOAI[],2,FALSE())</f>
        <v>0.2</v>
      </c>
      <c r="X2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0" s="19" t="s">
        <v>271</v>
      </c>
      <c r="AA20" s="19" t="s">
        <v>431</v>
      </c>
      <c r="AB20" s="19" t="s">
        <v>488</v>
      </c>
      <c r="AC20" s="36"/>
      <c r="AD20" s="36"/>
      <c r="AE20" s="36"/>
      <c r="AF20" s="90"/>
      <c r="AG20" s="90"/>
      <c r="AH20" s="90"/>
      <c r="AI20" s="90"/>
      <c r="AJ20" s="90"/>
      <c r="AK20"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0" s="91" t="e">
        <f>(1 - ((1 - VLOOKUP(Table4[[#This Row],[ConfidentialityP]],'Reference - CVSSv3.0'!$B$16:$C$18,2,FALSE())) * (1 - VLOOKUP(Table4[[#This Row],[IntegrityP]],'Reference - CVSSv3.0'!$B$16:$C$18,2,FALSE())) *  (1 - VLOOKUP(Table4[[#This Row],[AvailabilityP]],'Reference - CVSSv3.0'!$B$16:$C$18,2,FALSE()))))</f>
        <v>#N/A</v>
      </c>
      <c r="AM20" s="91" t="e">
        <f>IF(Table4[[#This Row],[ScopeP]]="Unchanged",6.42*Table4[[#This Row],[ISC BaseP]],IF(Table4[[#This Row],[ScopeP]]="Changed",7.52*(Table4[[#This Row],[ISC BaseP]] - 0.029) - 3.25 * POWER(Table4[[#This Row],[ISC BaseP]] - 0.02,15),NA()))</f>
        <v>#N/A</v>
      </c>
      <c r="AN2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0" s="36"/>
    </row>
    <row r="21" spans="1:43" s="26" customFormat="1" ht="213.75">
      <c r="A21" s="95">
        <v>17</v>
      </c>
      <c r="B21" s="85" t="s">
        <v>174</v>
      </c>
      <c r="C21" s="86" t="str">
        <f>IF(VLOOKUP(Table4[[#This Row],[T ID]],Table5[#All],5,FALSE())="No","Not in scope",VLOOKUP(Table4[[#This Row],[T ID]],Table5[#All],2,FALSE()))</f>
        <v>Deliver undirected malware
(CAPEC-185)</v>
      </c>
      <c r="D21" s="57" t="s">
        <v>131</v>
      </c>
      <c r="E21" s="86" t="str">
        <f>IF(VLOOKUP(Table4[[#This Row],[V ID]],Vulnerabilities[#All],3,FALSE())="No","Not in scope",VLOOKUP(Table4[[#This Row],[V ID]],Vulnerabilities[#All],2,FALSE()))</f>
        <v>Unencrypted data in transit in all flowchannels</v>
      </c>
      <c r="F21" s="87" t="s">
        <v>38</v>
      </c>
      <c r="G21" s="88" t="str">
        <f>VLOOKUP(Table4[[#This Row],[A ID]],Assets[#All],3,FALSE())</f>
        <v>Tablet Resources - web cam, microphone, OTG devices, Removable USB, Tablet Application, Network interfaces (Bluetooth, Wifi)</v>
      </c>
      <c r="H21" s="19" t="s">
        <v>280</v>
      </c>
      <c r="I21" s="19" t="s">
        <v>465</v>
      </c>
      <c r="J21" s="89" t="s">
        <v>274</v>
      </c>
      <c r="K21" s="89" t="s">
        <v>274</v>
      </c>
      <c r="L21" s="89" t="s">
        <v>276</v>
      </c>
      <c r="M21" s="90" t="s">
        <v>273</v>
      </c>
      <c r="N21" s="90" t="s">
        <v>267</v>
      </c>
      <c r="O21" s="90" t="s">
        <v>276</v>
      </c>
      <c r="P21" s="90" t="s">
        <v>274</v>
      </c>
      <c r="Q21" s="90" t="s">
        <v>270</v>
      </c>
      <c r="R2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1.2347077050000002</v>
      </c>
      <c r="S21" s="91">
        <f>(1 - ((1 - VLOOKUP(Table4[[#This Row],[Confidentiality]],'Reference - CVSSv3.0'!$B$16:$C$18,2,FALSE())) * (1 - VLOOKUP(Table4[[#This Row],[Integrity]],'Reference - CVSSv3.0'!$B$16:$C$18,2,FALSE())) *  (1 - VLOOKUP(Table4[[#This Row],[Availability]],'Reference - CVSSv3.0'!$B$16:$C$18,2,FALSE()))))</f>
        <v>0.56000000000000005</v>
      </c>
      <c r="T21" s="91">
        <f>IF(Table4[[#This Row],[Scope]]="Unchanged",6.42*Table4[[#This Row],[ISC Base]],IF(Table4[[#This Row],[Scope]]="Changed",7.52*(Table4[[#This Row],[ISC Base]] - 0.029) - 3.25 * POWER(Table4[[#This Row],[ISC Base]] - 0.02,15),NA()))</f>
        <v>3.5952000000000002</v>
      </c>
      <c r="U21"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1" s="85" t="s">
        <v>267</v>
      </c>
      <c r="W21" s="91">
        <f>VLOOKUP(Table4[[#This Row],[Threat Event Initiation]],NIST_Scale_LOAI[],2,FALSE())</f>
        <v>0.2</v>
      </c>
      <c r="X2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1" s="19" t="s">
        <v>271</v>
      </c>
      <c r="AA21" s="19" t="s">
        <v>272</v>
      </c>
      <c r="AB21" s="19" t="s">
        <v>489</v>
      </c>
      <c r="AC21" s="36"/>
      <c r="AD21" s="36"/>
      <c r="AE21" s="36"/>
      <c r="AF21" s="90"/>
      <c r="AG21" s="90"/>
      <c r="AH21" s="90"/>
      <c r="AI21" s="90"/>
      <c r="AJ21" s="90"/>
      <c r="AK21"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1" s="91" t="e">
        <f>(1 - ((1 - VLOOKUP(Table4[[#This Row],[ConfidentialityP]],'Reference - CVSSv3.0'!$B$16:$C$18,2,FALSE())) * (1 - VLOOKUP(Table4[[#This Row],[IntegrityP]],'Reference - CVSSv3.0'!$B$16:$C$18,2,FALSE())) *  (1 - VLOOKUP(Table4[[#This Row],[AvailabilityP]],'Reference - CVSSv3.0'!$B$16:$C$18,2,FALSE()))))</f>
        <v>#N/A</v>
      </c>
      <c r="AM21" s="91" t="e">
        <f>IF(Table4[[#This Row],[ScopeP]]="Unchanged",6.42*Table4[[#This Row],[ISC BaseP]],IF(Table4[[#This Row],[ScopeP]]="Changed",7.52*(Table4[[#This Row],[ISC BaseP]] - 0.029) - 3.25 * POWER(Table4[[#This Row],[ISC BaseP]] - 0.02,15),NA()))</f>
        <v>#N/A</v>
      </c>
      <c r="AN2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1" s="36"/>
    </row>
    <row r="22" spans="1:43" s="26" customFormat="1" ht="156.75">
      <c r="A22" s="84">
        <v>18</v>
      </c>
      <c r="B22" s="85" t="s">
        <v>174</v>
      </c>
      <c r="C22" s="86" t="str">
        <f>IF(VLOOKUP(Table4[[#This Row],[T ID]],Table5[#All],5,FALSE())="No","Not in scope",VLOOKUP(Table4[[#This Row],[T ID]],Table5[#All],2,FALSE()))</f>
        <v>Deliver undirected malware
(CAPEC-185)</v>
      </c>
      <c r="D22" s="57" t="s">
        <v>144</v>
      </c>
      <c r="E22" s="86" t="str">
        <f>IF(VLOOKUP(Table4[[#This Row],[V ID]],Vulnerabilities[#All],3,FALSE())="No","Not in scope",VLOOKUP(Table4[[#This Row],[V ID]],Vulnerabilities[#All],2,FALSE()))</f>
        <v>Outdated  - Software/Hardware</v>
      </c>
      <c r="F22" s="87" t="s">
        <v>53</v>
      </c>
      <c r="G22" s="88" t="str">
        <f>VLOOKUP(Table4[[#This Row],[A ID]],Assets[#All],3,FALSE())</f>
        <v>Device Maintainence tool (Hardware/Software)</v>
      </c>
      <c r="H22" s="19" t="s">
        <v>280</v>
      </c>
      <c r="I22" s="19" t="s">
        <v>465</v>
      </c>
      <c r="J22" s="89" t="s">
        <v>267</v>
      </c>
      <c r="K22" s="89" t="s">
        <v>267</v>
      </c>
      <c r="L22" s="89" t="s">
        <v>267</v>
      </c>
      <c r="M22" s="90" t="s">
        <v>268</v>
      </c>
      <c r="N22" s="90" t="s">
        <v>267</v>
      </c>
      <c r="O22" s="90" t="s">
        <v>267</v>
      </c>
      <c r="P22" s="90" t="s">
        <v>274</v>
      </c>
      <c r="Q22" s="90" t="s">
        <v>270</v>
      </c>
      <c r="R2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22" s="91">
        <f>(1 - ((1 - VLOOKUP(Table4[[#This Row],[Confidentiality]],'Reference - CVSSv3.0'!$B$16:$C$18,2,FALSE())) * (1 - VLOOKUP(Table4[[#This Row],[Integrity]],'Reference - CVSSv3.0'!$B$16:$C$18,2,FALSE())) *  (1 - VLOOKUP(Table4[[#This Row],[Availability]],'Reference - CVSSv3.0'!$B$16:$C$18,2,FALSE()))))</f>
        <v>0.52544799999999992</v>
      </c>
      <c r="T22" s="91">
        <f>IF(Table4[[#This Row],[Scope]]="Unchanged",6.42*Table4[[#This Row],[ISC Base]],IF(Table4[[#This Row],[Scope]]="Changed",7.52*(Table4[[#This Row],[ISC Base]] - 0.029) - 3.25 * POWER(Table4[[#This Row],[ISC Base]] - 0.02,15),NA()))</f>
        <v>3.3733761599999994</v>
      </c>
      <c r="U22"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2" s="85" t="s">
        <v>277</v>
      </c>
      <c r="W22" s="91">
        <f>VLOOKUP(Table4[[#This Row],[Threat Event Initiation]],NIST_Scale_LOAI[],2,FALSE())</f>
        <v>0.5</v>
      </c>
      <c r="X2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2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2" s="19" t="s">
        <v>271</v>
      </c>
      <c r="AA22" s="19" t="s">
        <v>454</v>
      </c>
      <c r="AB22" s="19" t="s">
        <v>490</v>
      </c>
      <c r="AC22" s="36"/>
      <c r="AD22" s="36"/>
      <c r="AE22" s="36"/>
      <c r="AF22" s="90"/>
      <c r="AG22" s="90"/>
      <c r="AH22" s="90"/>
      <c r="AI22" s="90"/>
      <c r="AJ22" s="90"/>
      <c r="AK22"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2" s="91" t="e">
        <f>(1 - ((1 - VLOOKUP(Table4[[#This Row],[ConfidentialityP]],'Reference - CVSSv3.0'!$B$16:$C$18,2,FALSE())) * (1 - VLOOKUP(Table4[[#This Row],[IntegrityP]],'Reference - CVSSv3.0'!$B$16:$C$18,2,FALSE())) *  (1 - VLOOKUP(Table4[[#This Row],[AvailabilityP]],'Reference - CVSSv3.0'!$B$16:$C$18,2,FALSE()))))</f>
        <v>#N/A</v>
      </c>
      <c r="AM22" s="91" t="e">
        <f>IF(Table4[[#This Row],[ScopeP]]="Unchanged",6.42*Table4[[#This Row],[ISC BaseP]],IF(Table4[[#This Row],[ScopeP]]="Changed",7.52*(Table4[[#This Row],[ISC BaseP]] - 0.029) - 3.25 * POWER(Table4[[#This Row],[ISC BaseP]] - 0.02,15),NA()))</f>
        <v>#N/A</v>
      </c>
      <c r="AN2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2" s="36"/>
    </row>
    <row r="23" spans="1:43" s="26" customFormat="1" ht="156.75">
      <c r="A23" s="84">
        <v>19</v>
      </c>
      <c r="B23" s="85" t="s">
        <v>174</v>
      </c>
      <c r="C23" s="86" t="str">
        <f>IF(VLOOKUP(Table4[[#This Row],[T ID]],Table5[#All],5,FALSE())="No","Not in scope",VLOOKUP(Table4[[#This Row],[T ID]],Table5[#All],2,FALSE()))</f>
        <v>Deliver undirected malware
(CAPEC-185)</v>
      </c>
      <c r="D23" s="57" t="s">
        <v>144</v>
      </c>
      <c r="E23" s="86" t="str">
        <f>IF(VLOOKUP(Table4[[#This Row],[V ID]],Vulnerabilities[#All],3,FALSE())="No","Not in scope",VLOOKUP(Table4[[#This Row],[V ID]],Vulnerabilities[#All],2,FALSE()))</f>
        <v>Outdated  - Software/Hardware</v>
      </c>
      <c r="F23" s="87" t="s">
        <v>46</v>
      </c>
      <c r="G23" s="88" t="str">
        <f>VLOOKUP(Table4[[#This Row],[A ID]],Assets[#All],3,FALSE())</f>
        <v>Smart medic (Stryker device) System Component</v>
      </c>
      <c r="H23" s="19" t="s">
        <v>280</v>
      </c>
      <c r="I23" s="19" t="s">
        <v>465</v>
      </c>
      <c r="J23" s="89" t="s">
        <v>267</v>
      </c>
      <c r="K23" s="89" t="s">
        <v>267</v>
      </c>
      <c r="L23" s="89" t="s">
        <v>267</v>
      </c>
      <c r="M23" s="90" t="s">
        <v>268</v>
      </c>
      <c r="N23" s="90" t="s">
        <v>267</v>
      </c>
      <c r="O23" s="90" t="s">
        <v>267</v>
      </c>
      <c r="P23" s="90" t="s">
        <v>274</v>
      </c>
      <c r="Q23" s="90" t="s">
        <v>270</v>
      </c>
      <c r="R2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23" s="91">
        <f>(1 - ((1 - VLOOKUP(Table4[[#This Row],[Confidentiality]],'Reference - CVSSv3.0'!$B$16:$C$18,2,FALSE())) * (1 - VLOOKUP(Table4[[#This Row],[Integrity]],'Reference - CVSSv3.0'!$B$16:$C$18,2,FALSE())) *  (1 - VLOOKUP(Table4[[#This Row],[Availability]],'Reference - CVSSv3.0'!$B$16:$C$18,2,FALSE()))))</f>
        <v>0.52544799999999992</v>
      </c>
      <c r="T23" s="91">
        <f>IF(Table4[[#This Row],[Scope]]="Unchanged",6.42*Table4[[#This Row],[ISC Base]],IF(Table4[[#This Row],[Scope]]="Changed",7.52*(Table4[[#This Row],[ISC Base]] - 0.029) - 3.25 * POWER(Table4[[#This Row],[ISC Base]] - 0.02,15),NA()))</f>
        <v>3.3733761599999994</v>
      </c>
      <c r="U23"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3" s="85" t="s">
        <v>277</v>
      </c>
      <c r="W23" s="91">
        <f>VLOOKUP(Table4[[#This Row],[Threat Event Initiation]],NIST_Scale_LOAI[],2,FALSE())</f>
        <v>0.5</v>
      </c>
      <c r="X2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2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3" s="19" t="s">
        <v>271</v>
      </c>
      <c r="AA23" s="19" t="s">
        <v>431</v>
      </c>
      <c r="AB23" s="19" t="s">
        <v>491</v>
      </c>
      <c r="AC23" s="36"/>
      <c r="AD23" s="36"/>
      <c r="AE23" s="36"/>
      <c r="AF23" s="90"/>
      <c r="AG23" s="90"/>
      <c r="AH23" s="90"/>
      <c r="AI23" s="90"/>
      <c r="AJ23" s="90"/>
      <c r="AK23"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3" s="91" t="e">
        <f>(1 - ((1 - VLOOKUP(Table4[[#This Row],[ConfidentialityP]],'Reference - CVSSv3.0'!$B$16:$C$18,2,FALSE())) * (1 - VLOOKUP(Table4[[#This Row],[IntegrityP]],'Reference - CVSSv3.0'!$B$16:$C$18,2,FALSE())) *  (1 - VLOOKUP(Table4[[#This Row],[AvailabilityP]],'Reference - CVSSv3.0'!$B$16:$C$18,2,FALSE()))))</f>
        <v>#N/A</v>
      </c>
      <c r="AM23" s="91" t="e">
        <f>IF(Table4[[#This Row],[ScopeP]]="Unchanged",6.42*Table4[[#This Row],[ISC BaseP]],IF(Table4[[#This Row],[ScopeP]]="Changed",7.52*(Table4[[#This Row],[ISC BaseP]] - 0.029) - 3.25 * POWER(Table4[[#This Row],[ISC BaseP]] - 0.02,15),NA()))</f>
        <v>#N/A</v>
      </c>
      <c r="AN2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3" s="36"/>
    </row>
    <row r="24" spans="1:43" s="26" customFormat="1" ht="213.75">
      <c r="A24" s="84">
        <v>20</v>
      </c>
      <c r="B24" s="85" t="s">
        <v>174</v>
      </c>
      <c r="C24" s="86" t="str">
        <f>IF(VLOOKUP(Table4[[#This Row],[T ID]],Table5[#All],5,FALSE())="No","Not in scope",VLOOKUP(Table4[[#This Row],[T ID]],Table5[#All],2,FALSE()))</f>
        <v>Deliver undirected malware
(CAPEC-185)</v>
      </c>
      <c r="D24" s="57" t="s">
        <v>144</v>
      </c>
      <c r="E24" s="86" t="str">
        <f>IF(VLOOKUP(Table4[[#This Row],[V ID]],Vulnerabilities[#All],3,FALSE())="No","Not in scope",VLOOKUP(Table4[[#This Row],[V ID]],Vulnerabilities[#All],2,FALSE()))</f>
        <v>Outdated  - Software/Hardware</v>
      </c>
      <c r="F24" s="87" t="s">
        <v>38</v>
      </c>
      <c r="G24" s="88" t="str">
        <f>VLOOKUP(Table4[[#This Row],[A ID]],Assets[#All],3,FALSE())</f>
        <v>Tablet Resources - web cam, microphone, OTG devices, Removable USB, Tablet Application, Network interfaces (Bluetooth, Wifi)</v>
      </c>
      <c r="H24" s="19" t="s">
        <v>280</v>
      </c>
      <c r="I24" s="19" t="s">
        <v>465</v>
      </c>
      <c r="J24" s="89" t="s">
        <v>267</v>
      </c>
      <c r="K24" s="89" t="s">
        <v>267</v>
      </c>
      <c r="L24" s="89" t="s">
        <v>267</v>
      </c>
      <c r="M24" s="90" t="s">
        <v>268</v>
      </c>
      <c r="N24" s="90" t="s">
        <v>267</v>
      </c>
      <c r="O24" s="90" t="s">
        <v>267</v>
      </c>
      <c r="P24" s="90" t="s">
        <v>274</v>
      </c>
      <c r="Q24" s="90" t="s">
        <v>270</v>
      </c>
      <c r="R2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24" s="91">
        <f>(1 - ((1 - VLOOKUP(Table4[[#This Row],[Confidentiality]],'Reference - CVSSv3.0'!$B$16:$C$18,2,FALSE())) * (1 - VLOOKUP(Table4[[#This Row],[Integrity]],'Reference - CVSSv3.0'!$B$16:$C$18,2,FALSE())) *  (1 - VLOOKUP(Table4[[#This Row],[Availability]],'Reference - CVSSv3.0'!$B$16:$C$18,2,FALSE()))))</f>
        <v>0.52544799999999992</v>
      </c>
      <c r="T24" s="91">
        <f>IF(Table4[[#This Row],[Scope]]="Unchanged",6.42*Table4[[#This Row],[ISC Base]],IF(Table4[[#This Row],[Scope]]="Changed",7.52*(Table4[[#This Row],[ISC Base]] - 0.029) - 3.25 * POWER(Table4[[#This Row],[ISC Base]] - 0.02,15),NA()))</f>
        <v>3.3733761599999994</v>
      </c>
      <c r="U24"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4" s="85" t="s">
        <v>267</v>
      </c>
      <c r="W24" s="91">
        <f>VLOOKUP(Table4[[#This Row],[Threat Event Initiation]],NIST_Scale_LOAI[],2,FALSE())</f>
        <v>0.2</v>
      </c>
      <c r="X2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2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4" s="19" t="s">
        <v>271</v>
      </c>
      <c r="AA24" s="19" t="s">
        <v>272</v>
      </c>
      <c r="AB24" s="19" t="s">
        <v>492</v>
      </c>
      <c r="AC24" s="36"/>
      <c r="AD24" s="36"/>
      <c r="AE24" s="36"/>
      <c r="AF24" s="90"/>
      <c r="AG24" s="90"/>
      <c r="AH24" s="90"/>
      <c r="AI24" s="90"/>
      <c r="AJ24" s="90"/>
      <c r="AK2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4" s="91" t="e">
        <f>(1 - ((1 - VLOOKUP(Table4[[#This Row],[ConfidentialityP]],'Reference - CVSSv3.0'!$B$16:$C$18,2,FALSE())) * (1 - VLOOKUP(Table4[[#This Row],[IntegrityP]],'Reference - CVSSv3.0'!$B$16:$C$18,2,FALSE())) *  (1 - VLOOKUP(Table4[[#This Row],[AvailabilityP]],'Reference - CVSSv3.0'!$B$16:$C$18,2,FALSE()))))</f>
        <v>#N/A</v>
      </c>
      <c r="AM24" s="91" t="e">
        <f>IF(Table4[[#This Row],[ScopeP]]="Unchanged",6.42*Table4[[#This Row],[ISC BaseP]],IF(Table4[[#This Row],[ScopeP]]="Changed",7.52*(Table4[[#This Row],[ISC BaseP]] - 0.029) - 3.25 * POWER(Table4[[#This Row],[ISC BaseP]] - 0.02,15),NA()))</f>
        <v>#N/A</v>
      </c>
      <c r="AN2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4" s="36"/>
    </row>
    <row r="25" spans="1:43" s="26" customFormat="1" ht="156.75">
      <c r="A25" s="84">
        <v>21</v>
      </c>
      <c r="B25" s="85" t="s">
        <v>178</v>
      </c>
      <c r="C25" s="86" t="str">
        <f>IF(VLOOKUP(Table4[[#This Row],[T ID]],Table5[#All],5,FALSE())="No","Not in scope",VLOOKUP(Table4[[#This Row],[T ID]],Table5[#All],2,FALSE()))</f>
        <v>Deliver directed malware
(CAPEC-185)</v>
      </c>
      <c r="D25" s="57" t="s">
        <v>140</v>
      </c>
      <c r="E25" s="86" t="str">
        <f>IF(VLOOKUP(Table4[[#This Row],[V ID]],Vulnerabilities[#All],3,FALSE())="No","Not in scope",VLOOKUP(Table4[[#This Row],[V ID]],Vulnerabilities[#All],2,FALSE()))</f>
        <v>InSecure Configuration for Software/OS on Mobile Devices, Laptops, Workstations, and Servers</v>
      </c>
      <c r="F25" s="87" t="s">
        <v>53</v>
      </c>
      <c r="G25" s="88" t="str">
        <f>VLOOKUP(Table4[[#This Row],[A ID]],Assets[#All],3,FALSE())</f>
        <v>Device Maintainence tool (Hardware/Software)</v>
      </c>
      <c r="H25" s="19" t="s">
        <v>280</v>
      </c>
      <c r="I25" s="19" t="s">
        <v>465</v>
      </c>
      <c r="J25" s="89" t="s">
        <v>274</v>
      </c>
      <c r="K25" s="89" t="s">
        <v>274</v>
      </c>
      <c r="L25" s="89" t="s">
        <v>276</v>
      </c>
      <c r="M25" s="90" t="s">
        <v>275</v>
      </c>
      <c r="N25" s="90" t="s">
        <v>267</v>
      </c>
      <c r="O25" s="90" t="s">
        <v>276</v>
      </c>
      <c r="P25" s="90" t="s">
        <v>269</v>
      </c>
      <c r="Q25" s="90" t="s">
        <v>270</v>
      </c>
      <c r="R25" s="91">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0.58274785800000017</v>
      </c>
      <c r="S25" s="91">
        <f>(1 - ((1 - VLOOKUP(Table4[[#This Row],[Confidentiality]],'Reference - CVSSv3.0'!$B$16:$C$18,2,FALSE())) * (1 - VLOOKUP(Table4[[#This Row],[Integrity]],'Reference - CVSSv3.0'!$B$16:$C$18,2,FALSE())) *  (1 - VLOOKUP(Table4[[#This Row],[Availability]],'Reference - CVSSv3.0'!$B$16:$C$18,2,FALSE()))))</f>
        <v>0.56000000000000005</v>
      </c>
      <c r="T25" s="91">
        <f>IF(Table4[[#This Row],[Scope]]="Unchanged",6.42*Table4[[#This Row],[ISC Base]],IF(Table4[[#This Row],[Scope]]="Changed",7.52*(Table4[[#This Row],[ISC Base]] - 0.029) - 3.25 * POWER(Table4[[#This Row],[ISC Base]] - 0.02,15),NA()))</f>
        <v>3.5952000000000002</v>
      </c>
      <c r="U25"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25" s="85" t="s">
        <v>277</v>
      </c>
      <c r="W25" s="92">
        <f>VLOOKUP(Table4[[#This Row],[Threat Event Initiation]],NIST_Scale_LOAI[],2,FALSE())</f>
        <v>0.5</v>
      </c>
      <c r="X2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5" s="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5" s="19" t="s">
        <v>271</v>
      </c>
      <c r="AA25" s="19" t="s">
        <v>454</v>
      </c>
      <c r="AB25" s="19" t="s">
        <v>493</v>
      </c>
      <c r="AC25" s="89"/>
      <c r="AD25" s="89"/>
      <c r="AE25" s="89"/>
      <c r="AF25" s="90"/>
      <c r="AG25" s="90"/>
      <c r="AH25" s="90"/>
      <c r="AI25" s="90"/>
      <c r="AJ25" s="90"/>
      <c r="AK25"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5" s="91" t="e">
        <f>(1 - ((1 - VLOOKUP(Table4[[#This Row],[ConfidentialityP]],'Reference - CVSSv3.0'!$B$16:$C$18,2,FALSE())) * (1 - VLOOKUP(Table4[[#This Row],[IntegrityP]],'Reference - CVSSv3.0'!$B$16:$C$18,2,FALSE())) *  (1 - VLOOKUP(Table4[[#This Row],[AvailabilityP]],'Reference - CVSSv3.0'!$B$16:$C$18,2,FALSE()))))</f>
        <v>#N/A</v>
      </c>
      <c r="AM25" s="91" t="e">
        <f>IF(Table4[[#This Row],[ScopeP]]="Unchanged",6.42*Table4[[#This Row],[ISC BaseP]],IF(Table4[[#This Row],[ScopeP]]="Changed",7.52*(Table4[[#This Row],[ISC BaseP]] - 0.029) - 3.25 * POWER(Table4[[#This Row],[ISC BaseP]] - 0.02,15),NA()))</f>
        <v>#N/A</v>
      </c>
      <c r="AN2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5" s="36"/>
    </row>
    <row r="26" spans="1:43" s="26" customFormat="1" ht="156.75">
      <c r="A26" s="84">
        <v>22</v>
      </c>
      <c r="B26" s="85" t="s">
        <v>178</v>
      </c>
      <c r="C26" s="86" t="str">
        <f>IF(VLOOKUP(Table4[[#This Row],[T ID]],Table5[#All],5,FALSE())="No","Not in scope",VLOOKUP(Table4[[#This Row],[T ID]],Table5[#All],2,FALSE()))</f>
        <v>Deliver directed malware
(CAPEC-185)</v>
      </c>
      <c r="D26" s="57" t="s">
        <v>140</v>
      </c>
      <c r="E26" s="86" t="str">
        <f>IF(VLOOKUP(Table4[[#This Row],[V ID]],Vulnerabilities[#All],3,FALSE())="No","Not in scope",VLOOKUP(Table4[[#This Row],[V ID]],Vulnerabilities[#All],2,FALSE()))</f>
        <v>InSecure Configuration for Software/OS on Mobile Devices, Laptops, Workstations, and Servers</v>
      </c>
      <c r="F26" s="87" t="s">
        <v>46</v>
      </c>
      <c r="G26" s="88" t="str">
        <f>VLOOKUP(Table4[[#This Row],[A ID]],Assets[#All],3,FALSE())</f>
        <v>Smart medic (Stryker device) System Component</v>
      </c>
      <c r="H26" s="19" t="s">
        <v>280</v>
      </c>
      <c r="I26" s="19" t="s">
        <v>465</v>
      </c>
      <c r="J26" s="89" t="s">
        <v>274</v>
      </c>
      <c r="K26" s="89" t="s">
        <v>274</v>
      </c>
      <c r="L26" s="89" t="s">
        <v>276</v>
      </c>
      <c r="M26" s="90" t="s">
        <v>275</v>
      </c>
      <c r="N26" s="90" t="s">
        <v>267</v>
      </c>
      <c r="O26" s="90" t="s">
        <v>276</v>
      </c>
      <c r="P26" s="90" t="s">
        <v>269</v>
      </c>
      <c r="Q26" s="90" t="s">
        <v>270</v>
      </c>
      <c r="R2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0.58274785800000017</v>
      </c>
      <c r="S26" s="91">
        <f>(1 - ((1 - VLOOKUP(Table4[[#This Row],[Confidentiality]],'Reference - CVSSv3.0'!$B$16:$C$18,2,FALSE())) * (1 - VLOOKUP(Table4[[#This Row],[Integrity]],'Reference - CVSSv3.0'!$B$16:$C$18,2,FALSE())) *  (1 - VLOOKUP(Table4[[#This Row],[Availability]],'Reference - CVSSv3.0'!$B$16:$C$18,2,FALSE()))))</f>
        <v>0.56000000000000005</v>
      </c>
      <c r="T26" s="91">
        <f>IF(Table4[[#This Row],[Scope]]="Unchanged",6.42*Table4[[#This Row],[ISC Base]],IF(Table4[[#This Row],[Scope]]="Changed",7.52*(Table4[[#This Row],[ISC Base]] - 0.029) - 3.25 * POWER(Table4[[#This Row],[ISC Base]] - 0.02,15),NA()))</f>
        <v>3.5952000000000002</v>
      </c>
      <c r="U26"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26" s="85" t="s">
        <v>277</v>
      </c>
      <c r="W26" s="91">
        <f>VLOOKUP(Table4[[#This Row],[Threat Event Initiation]],NIST_Scale_LOAI[],2,FALSE())</f>
        <v>0.5</v>
      </c>
      <c r="X2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6" s="19" t="s">
        <v>271</v>
      </c>
      <c r="AA26" s="19" t="s">
        <v>431</v>
      </c>
      <c r="AB26" s="19" t="s">
        <v>494</v>
      </c>
      <c r="AC26" s="36"/>
      <c r="AD26" s="36"/>
      <c r="AE26" s="36"/>
      <c r="AF26" s="90"/>
      <c r="AG26" s="90"/>
      <c r="AH26" s="90"/>
      <c r="AI26" s="90"/>
      <c r="AJ26" s="90"/>
      <c r="AK26"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6" s="91" t="e">
        <f>(1 - ((1 - VLOOKUP(Table4[[#This Row],[ConfidentialityP]],'Reference - CVSSv3.0'!$B$16:$C$18,2,FALSE())) * (1 - VLOOKUP(Table4[[#This Row],[IntegrityP]],'Reference - CVSSv3.0'!$B$16:$C$18,2,FALSE())) *  (1 - VLOOKUP(Table4[[#This Row],[AvailabilityP]],'Reference - CVSSv3.0'!$B$16:$C$18,2,FALSE()))))</f>
        <v>#N/A</v>
      </c>
      <c r="AM26" s="91" t="e">
        <f>IF(Table4[[#This Row],[ScopeP]]="Unchanged",6.42*Table4[[#This Row],[ISC BaseP]],IF(Table4[[#This Row],[ScopeP]]="Changed",7.52*(Table4[[#This Row],[ISC BaseP]] - 0.029) - 3.25 * POWER(Table4[[#This Row],[ISC BaseP]] - 0.02,15),NA()))</f>
        <v>#N/A</v>
      </c>
      <c r="AN2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6" s="36"/>
    </row>
    <row r="27" spans="1:43" s="26" customFormat="1" ht="213.75">
      <c r="A27" s="84">
        <v>23</v>
      </c>
      <c r="B27" s="85" t="s">
        <v>178</v>
      </c>
      <c r="C27" s="86" t="str">
        <f>IF(VLOOKUP(Table4[[#This Row],[T ID]],Table5[#All],5,FALSE())="No","Not in scope",VLOOKUP(Table4[[#This Row],[T ID]],Table5[#All],2,FALSE()))</f>
        <v>Deliver directed malware
(CAPEC-185)</v>
      </c>
      <c r="D27" s="57" t="s">
        <v>140</v>
      </c>
      <c r="E27" s="86" t="str">
        <f>IF(VLOOKUP(Table4[[#This Row],[V ID]],Vulnerabilities[#All],3,FALSE())="No","Not in scope",VLOOKUP(Table4[[#This Row],[V ID]],Vulnerabilities[#All],2,FALSE()))</f>
        <v>InSecure Configuration for Software/OS on Mobile Devices, Laptops, Workstations, and Servers</v>
      </c>
      <c r="F27" s="87" t="s">
        <v>38</v>
      </c>
      <c r="G27" s="88" t="str">
        <f>VLOOKUP(Table4[[#This Row],[A ID]],Assets[#All],3,FALSE())</f>
        <v>Tablet Resources - web cam, microphone, OTG devices, Removable USB, Tablet Application, Network interfaces (Bluetooth, Wifi)</v>
      </c>
      <c r="H27" s="19" t="s">
        <v>280</v>
      </c>
      <c r="I27" s="19" t="s">
        <v>465</v>
      </c>
      <c r="J27" s="89" t="s">
        <v>267</v>
      </c>
      <c r="K27" s="89" t="s">
        <v>267</v>
      </c>
      <c r="L27" s="89" t="s">
        <v>267</v>
      </c>
      <c r="M27" s="90" t="s">
        <v>275</v>
      </c>
      <c r="N27" s="90" t="s">
        <v>267</v>
      </c>
      <c r="O27" s="90" t="s">
        <v>267</v>
      </c>
      <c r="P27" s="90" t="s">
        <v>269</v>
      </c>
      <c r="Q27" s="90" t="s">
        <v>270</v>
      </c>
      <c r="R2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1.3381617480000001</v>
      </c>
      <c r="S27" s="91">
        <f>(1 - ((1 - VLOOKUP(Table4[[#This Row],[Confidentiality]],'Reference - CVSSv3.0'!$B$16:$C$18,2,FALSE())) * (1 - VLOOKUP(Table4[[#This Row],[Integrity]],'Reference - CVSSv3.0'!$B$16:$C$18,2,FALSE())) *  (1 - VLOOKUP(Table4[[#This Row],[Availability]],'Reference - CVSSv3.0'!$B$16:$C$18,2,FALSE()))))</f>
        <v>0.52544799999999992</v>
      </c>
      <c r="T27" s="91">
        <f>IF(Table4[[#This Row],[Scope]]="Unchanged",6.42*Table4[[#This Row],[ISC Base]],IF(Table4[[#This Row],[Scope]]="Changed",7.52*(Table4[[#This Row],[ISC Base]] - 0.029) - 3.25 * POWER(Table4[[#This Row],[ISC Base]] - 0.02,15),NA()))</f>
        <v>3.3733761599999994</v>
      </c>
      <c r="U27"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27" s="85" t="s">
        <v>267</v>
      </c>
      <c r="W27" s="91">
        <f>VLOOKUP(Table4[[#This Row],[Threat Event Initiation]],NIST_Scale_LOAI[],2,FALSE())</f>
        <v>0.2</v>
      </c>
      <c r="X2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7" s="19" t="s">
        <v>271</v>
      </c>
      <c r="AA27" s="19" t="s">
        <v>272</v>
      </c>
      <c r="AB27" s="19" t="s">
        <v>495</v>
      </c>
      <c r="AC27" s="36"/>
      <c r="AD27" s="36"/>
      <c r="AE27" s="36"/>
      <c r="AF27" s="90"/>
      <c r="AG27" s="90"/>
      <c r="AH27" s="90"/>
      <c r="AI27" s="90"/>
      <c r="AJ27" s="90"/>
      <c r="AK27"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7" s="91" t="e">
        <f>(1 - ((1 - VLOOKUP(Table4[[#This Row],[ConfidentialityP]],'Reference - CVSSv3.0'!$B$16:$C$18,2,FALSE())) * (1 - VLOOKUP(Table4[[#This Row],[IntegrityP]],'Reference - CVSSv3.0'!$B$16:$C$18,2,FALSE())) *  (1 - VLOOKUP(Table4[[#This Row],[AvailabilityP]],'Reference - CVSSv3.0'!$B$16:$C$18,2,FALSE()))))</f>
        <v>#N/A</v>
      </c>
      <c r="AM27" s="91" t="e">
        <f>IF(Table4[[#This Row],[ScopeP]]="Unchanged",6.42*Table4[[#This Row],[ISC BaseP]],IF(Table4[[#This Row],[ScopeP]]="Changed",7.52*(Table4[[#This Row],[ISC BaseP]] - 0.029) - 3.25 * POWER(Table4[[#This Row],[ISC BaseP]] - 0.02,15),NA()))</f>
        <v>#N/A</v>
      </c>
      <c r="AN2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7" s="36"/>
    </row>
    <row r="28" spans="1:43" s="26" customFormat="1" ht="85.5">
      <c r="A28" s="84">
        <v>24</v>
      </c>
      <c r="B28" s="85" t="s">
        <v>178</v>
      </c>
      <c r="C28" s="86" t="str">
        <f>IF(VLOOKUP(Table4[[#This Row],[T ID]],Table5[#All],5,FALSE())="No","Not in scope",VLOOKUP(Table4[[#This Row],[T ID]],Table5[#All],2,FALSE()))</f>
        <v>Deliver directed malware
(CAPEC-185)</v>
      </c>
      <c r="D28" s="57" t="s">
        <v>122</v>
      </c>
      <c r="E28" s="86" t="str">
        <f>IF(VLOOKUP(Table4[[#This Row],[V ID]],Vulnerabilities[#All],3,FALSE())="No","Not in scope",VLOOKUP(Table4[[#This Row],[V ID]],Vulnerabilities[#All],2,FALSE()))</f>
        <v>Unprotected external USB Port on the tablet/devices.</v>
      </c>
      <c r="F28" s="87" t="s">
        <v>62</v>
      </c>
      <c r="G28" s="88" t="str">
        <f>VLOOKUP(Table4[[#This Row],[A ID]],Assets[#All],3,FALSE())</f>
        <v>Wireless Network device (Scope of HDO)</v>
      </c>
      <c r="H28" s="19" t="s">
        <v>280</v>
      </c>
      <c r="I28" s="19" t="s">
        <v>465</v>
      </c>
      <c r="J28" s="89" t="s">
        <v>267</v>
      </c>
      <c r="K28" s="89" t="s">
        <v>267</v>
      </c>
      <c r="L28" s="89" t="s">
        <v>267</v>
      </c>
      <c r="M28" s="90" t="s">
        <v>268</v>
      </c>
      <c r="N28" s="90" t="s">
        <v>267</v>
      </c>
      <c r="O28" s="90" t="s">
        <v>267</v>
      </c>
      <c r="P28" s="90" t="s">
        <v>269</v>
      </c>
      <c r="Q28" s="90" t="s">
        <v>270</v>
      </c>
      <c r="R2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0.486604272</v>
      </c>
      <c r="S28" s="91">
        <f>(1 - ((1 - VLOOKUP(Table4[[#This Row],[Confidentiality]],'Reference - CVSSv3.0'!$B$16:$C$18,2,FALSE())) * (1 - VLOOKUP(Table4[[#This Row],[Integrity]],'Reference - CVSSv3.0'!$B$16:$C$18,2,FALSE())) *  (1 - VLOOKUP(Table4[[#This Row],[Availability]],'Reference - CVSSv3.0'!$B$16:$C$18,2,FALSE()))))</f>
        <v>0.52544799999999992</v>
      </c>
      <c r="T28" s="91">
        <f>IF(Table4[[#This Row],[Scope]]="Unchanged",6.42*Table4[[#This Row],[ISC Base]],IF(Table4[[#This Row],[Scope]]="Changed",7.52*(Table4[[#This Row],[ISC Base]] - 0.029) - 3.25 * POWER(Table4[[#This Row],[ISC Base]] - 0.02,15),NA()))</f>
        <v>3.3733761599999994</v>
      </c>
      <c r="U28"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28" s="85" t="s">
        <v>277</v>
      </c>
      <c r="W28" s="91">
        <f>VLOOKUP(Table4[[#This Row],[Threat Event Initiation]],NIST_Scale_LOAI[],2,FALSE())</f>
        <v>0.5</v>
      </c>
      <c r="X2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8" s="19" t="s">
        <v>278</v>
      </c>
      <c r="AA28" s="19" t="s">
        <v>279</v>
      </c>
      <c r="AB28" s="19" t="s">
        <v>496</v>
      </c>
      <c r="AC28" s="36"/>
      <c r="AD28" s="36"/>
      <c r="AE28" s="36"/>
      <c r="AF28" s="90"/>
      <c r="AG28" s="90"/>
      <c r="AH28" s="90"/>
      <c r="AI28" s="90"/>
      <c r="AJ28" s="90"/>
      <c r="AK28"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8" s="91" t="e">
        <f>(1 - ((1 - VLOOKUP(Table4[[#This Row],[ConfidentialityP]],'Reference - CVSSv3.0'!$B$16:$C$18,2,FALSE())) * (1 - VLOOKUP(Table4[[#This Row],[IntegrityP]],'Reference - CVSSv3.0'!$B$16:$C$18,2,FALSE())) *  (1 - VLOOKUP(Table4[[#This Row],[AvailabilityP]],'Reference - CVSSv3.0'!$B$16:$C$18,2,FALSE()))))</f>
        <v>#N/A</v>
      </c>
      <c r="AM28" s="91" t="e">
        <f>IF(Table4[[#This Row],[ScopeP]]="Unchanged",6.42*Table4[[#This Row],[ISC BaseP]],IF(Table4[[#This Row],[ScopeP]]="Changed",7.52*(Table4[[#This Row],[ISC BaseP]] - 0.029) - 3.25 * POWER(Table4[[#This Row],[ISC BaseP]] - 0.02,15),NA()))</f>
        <v>#N/A</v>
      </c>
      <c r="AN2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8" s="36"/>
    </row>
    <row r="29" spans="1:43" s="26" customFormat="1" ht="213.75">
      <c r="A29" s="84">
        <v>25</v>
      </c>
      <c r="B29" s="85" t="s">
        <v>178</v>
      </c>
      <c r="C29" s="86" t="str">
        <f>IF(VLOOKUP(Table4[[#This Row],[T ID]],Table5[#All],5,FALSE())="No","Not in scope",VLOOKUP(Table4[[#This Row],[T ID]],Table5[#All],2,FALSE()))</f>
        <v>Deliver directed malware
(CAPEC-185)</v>
      </c>
      <c r="D29" s="57" t="s">
        <v>122</v>
      </c>
      <c r="E29" s="86" t="str">
        <f>IF(VLOOKUP(Table4[[#This Row],[V ID]],Vulnerabilities[#All],3,FALSE())="No","Not in scope",VLOOKUP(Table4[[#This Row],[V ID]],Vulnerabilities[#All],2,FALSE()))</f>
        <v>Unprotected external USB Port on the tablet/devices.</v>
      </c>
      <c r="F29" s="87" t="s">
        <v>38</v>
      </c>
      <c r="G29" s="88" t="str">
        <f>VLOOKUP(Table4[[#This Row],[A ID]],Assets[#All],3,FALSE())</f>
        <v>Tablet Resources - web cam, microphone, OTG devices, Removable USB, Tablet Application, Network interfaces (Bluetooth, Wifi)</v>
      </c>
      <c r="H29" s="19" t="s">
        <v>280</v>
      </c>
      <c r="I29" s="19" t="s">
        <v>465</v>
      </c>
      <c r="J29" s="89" t="s">
        <v>267</v>
      </c>
      <c r="K29" s="89" t="s">
        <v>267</v>
      </c>
      <c r="L29" s="89" t="s">
        <v>267</v>
      </c>
      <c r="M29" s="90" t="s">
        <v>268</v>
      </c>
      <c r="N29" s="90" t="s">
        <v>267</v>
      </c>
      <c r="O29" s="90" t="s">
        <v>267</v>
      </c>
      <c r="P29" s="90" t="s">
        <v>269</v>
      </c>
      <c r="Q29" s="90" t="s">
        <v>270</v>
      </c>
      <c r="R29"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0.486604272</v>
      </c>
      <c r="S29" s="91">
        <f>(1 - ((1 - VLOOKUP(Table4[[#This Row],[Confidentiality]],'Reference - CVSSv3.0'!$B$16:$C$18,2,FALSE())) * (1 - VLOOKUP(Table4[[#This Row],[Integrity]],'Reference - CVSSv3.0'!$B$16:$C$18,2,FALSE())) *  (1 - VLOOKUP(Table4[[#This Row],[Availability]],'Reference - CVSSv3.0'!$B$16:$C$18,2,FALSE()))))</f>
        <v>0.52544799999999992</v>
      </c>
      <c r="T29" s="91">
        <f>IF(Table4[[#This Row],[Scope]]="Unchanged",6.42*Table4[[#This Row],[ISC Base]],IF(Table4[[#This Row],[Scope]]="Changed",7.52*(Table4[[#This Row],[ISC Base]] - 0.029) - 3.25 * POWER(Table4[[#This Row],[ISC Base]] - 0.02,15),NA()))</f>
        <v>3.3733761599999994</v>
      </c>
      <c r="U29"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29" s="85" t="s">
        <v>277</v>
      </c>
      <c r="W29" s="91">
        <f>VLOOKUP(Table4[[#This Row],[Threat Event Initiation]],NIST_Scale_LOAI[],2,FALSE())</f>
        <v>0.5</v>
      </c>
      <c r="X2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9" s="19" t="s">
        <v>271</v>
      </c>
      <c r="AA29" s="19" t="s">
        <v>272</v>
      </c>
      <c r="AB29" s="19" t="s">
        <v>497</v>
      </c>
      <c r="AC29" s="36"/>
      <c r="AD29" s="36"/>
      <c r="AE29" s="36"/>
      <c r="AF29" s="90"/>
      <c r="AG29" s="90"/>
      <c r="AH29" s="90"/>
      <c r="AI29" s="90"/>
      <c r="AJ29" s="90"/>
      <c r="AK29"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9" s="91" t="e">
        <f>(1 - ((1 - VLOOKUP(Table4[[#This Row],[ConfidentialityP]],'Reference - CVSSv3.0'!$B$16:$C$18,2,FALSE())) * (1 - VLOOKUP(Table4[[#This Row],[IntegrityP]],'Reference - CVSSv3.0'!$B$16:$C$18,2,FALSE())) *  (1 - VLOOKUP(Table4[[#This Row],[AvailabilityP]],'Reference - CVSSv3.0'!$B$16:$C$18,2,FALSE()))))</f>
        <v>#N/A</v>
      </c>
      <c r="AM29" s="91" t="e">
        <f>IF(Table4[[#This Row],[ScopeP]]="Unchanged",6.42*Table4[[#This Row],[ISC BaseP]],IF(Table4[[#This Row],[ScopeP]]="Changed",7.52*(Table4[[#This Row],[ISC BaseP]] - 0.029) - 3.25 * POWER(Table4[[#This Row],[ISC BaseP]] - 0.02,15),NA()))</f>
        <v>#N/A</v>
      </c>
      <c r="AN2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9" s="36"/>
    </row>
    <row r="30" spans="1:43" s="226" customFormat="1" ht="299.25">
      <c r="A30" s="219">
        <v>26</v>
      </c>
      <c r="B30" s="85" t="s">
        <v>178</v>
      </c>
      <c r="C30" s="86" t="str">
        <f>IF(VLOOKUP(Table4[[#This Row],[T ID]],Table5[#All],5,FALSE())="No","Not in scope",VLOOKUP(Table4[[#This Row],[T ID]],Table5[#All],2,FALSE()))</f>
        <v>Deliver directed malware
(CAPEC-185)</v>
      </c>
      <c r="D30" s="57" t="s">
        <v>122</v>
      </c>
      <c r="E30" s="86" t="str">
        <f>IF(VLOOKUP(Table4[[#This Row],[V ID]],Vulnerabilities[#All],3,FALSE())="No","Not in scope",VLOOKUP(Table4[[#This Row],[V ID]],Vulnerabilities[#All],2,FALSE()))</f>
        <v>Unprotected external USB Port on the tablet/devices.</v>
      </c>
      <c r="F30" s="87" t="s">
        <v>71</v>
      </c>
      <c r="G30" s="88" t="str">
        <f>VLOOKUP(Table4[[#This Row],[A ID]],Assets[#All],3,FALSE())</f>
        <v>Smart medic app (Stryker Admin Web Application)</v>
      </c>
      <c r="H30" s="221" t="s">
        <v>280</v>
      </c>
      <c r="I30" s="19" t="s">
        <v>465</v>
      </c>
      <c r="J30" s="224" t="s">
        <v>267</v>
      </c>
      <c r="K30" s="224" t="s">
        <v>267</v>
      </c>
      <c r="L30" s="224" t="s">
        <v>267</v>
      </c>
      <c r="M30" s="224" t="s">
        <v>268</v>
      </c>
      <c r="N30" s="224" t="s">
        <v>267</v>
      </c>
      <c r="O30" s="224" t="s">
        <v>267</v>
      </c>
      <c r="P30" s="224" t="s">
        <v>269</v>
      </c>
      <c r="Q30" s="224" t="s">
        <v>270</v>
      </c>
      <c r="R3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0.486604272</v>
      </c>
      <c r="S30" s="93">
        <f>(1 - ((1 - VLOOKUP(Table4[[#This Row],[Confidentiality]],'Reference - CVSSv3.0'!$B$16:$C$18,2,FALSE())) * (1 - VLOOKUP(Table4[[#This Row],[Integrity]],'Reference - CVSSv3.0'!$B$16:$C$18,2,FALSE())) *  (1 - VLOOKUP(Table4[[#This Row],[Availability]],'Reference - CVSSv3.0'!$B$16:$C$18,2,FALSE()))))</f>
        <v>0.52544799999999992</v>
      </c>
      <c r="T30" s="93">
        <f>IF(Table4[[#This Row],[Scope]]="Unchanged",6.42*Table4[[#This Row],[ISC Base]],IF(Table4[[#This Row],[Scope]]="Changed",7.52*(Table4[[#This Row],[ISC Base]] - 0.029) - 3.25 * POWER(Table4[[#This Row],[ISC Base]] - 0.02,15),NA()))</f>
        <v>3.3733761599999994</v>
      </c>
      <c r="U30" s="93">
        <f>IF(Table4[[#This Row],[Impact Sub Score]]&lt;=0,0,IF(Table4[[#This Row],[Scope]]="Unchanged",ROUNDUP(MIN((Table4[[#This Row],[Impact Sub Score]]+Table4[[#This Row],[Exploitability Sub Score]]),10),1),IF(Table4[[#This Row],[Scope]]="Changed",ROUNDUP(MIN((1.08*(Table4[[#This Row],[Impact Sub Score]]+Table4[[#This Row],[Exploitability Sub Score]])),10),1),NA())))</f>
        <v>3.9</v>
      </c>
      <c r="V30" s="220" t="s">
        <v>267</v>
      </c>
      <c r="W30" s="91">
        <f>VLOOKUP(Table4[[#This Row],[Threat Event Initiation]],NIST_Scale_LOAI[],2,FALSE())</f>
        <v>0.2</v>
      </c>
      <c r="X3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30" s="2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0" s="19" t="s">
        <v>271</v>
      </c>
      <c r="AA30" s="19" t="s">
        <v>439</v>
      </c>
      <c r="AB30" s="19" t="s">
        <v>498</v>
      </c>
      <c r="AC30" s="223"/>
      <c r="AD30" s="223"/>
      <c r="AE30" s="223"/>
      <c r="AF30" s="224"/>
      <c r="AG30" s="224"/>
      <c r="AH30" s="224"/>
      <c r="AI30" s="224"/>
      <c r="AJ30" s="224"/>
      <c r="AK30" s="217"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0" s="217" t="e">
        <f>(1 - ((1 - VLOOKUP(Table4[[#This Row],[ConfidentialityP]],'Reference - CVSSv3.0'!$B$16:$C$18,2,FALSE())) * (1 - VLOOKUP(Table4[[#This Row],[IntegrityP]],'Reference - CVSSv3.0'!$B$16:$C$18,2,FALSE())) *  (1 - VLOOKUP(Table4[[#This Row],[AvailabilityP]],'Reference - CVSSv3.0'!$B$16:$C$18,2,FALSE()))))</f>
        <v>#N/A</v>
      </c>
      <c r="AM30" s="217" t="e">
        <f>IF(Table4[[#This Row],[ScopeP]]="Unchanged",6.42*Table4[[#This Row],[ISC BaseP]],IF(Table4[[#This Row],[ScopeP]]="Changed",7.52*(Table4[[#This Row],[ISC BaseP]] - 0.029) - 3.25 * POWER(Table4[[#This Row],[ISC BaseP]] - 0.02,15),NA()))</f>
        <v>#N/A</v>
      </c>
      <c r="AN3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0" s="223"/>
    </row>
    <row r="31" spans="1:43" s="26" customFormat="1" ht="205.35" customHeight="1">
      <c r="A31" s="84">
        <v>27</v>
      </c>
      <c r="B31" s="85" t="s">
        <v>178</v>
      </c>
      <c r="C31" s="86" t="str">
        <f>IF(VLOOKUP(Table4[[#This Row],[T ID]],Table5[#All],5,FALSE())="No","Not in scope",VLOOKUP(Table4[[#This Row],[T ID]],Table5[#All],2,FALSE()))</f>
        <v>Deliver directed malware
(CAPEC-185)</v>
      </c>
      <c r="D31" s="57" t="s">
        <v>98</v>
      </c>
      <c r="E31" s="86" t="str">
        <f>IF(VLOOKUP(Table4[[#This Row],[V ID]],Vulnerabilities[#All],3,FALSE())="No","Not in scope",VLOOKUP(Table4[[#This Row],[V ID]],Vulnerabilities[#All],2,FALSE()))</f>
        <v>External communications and exposure for communciation channels from and to application and devices like tablet and smartmedic device.</v>
      </c>
      <c r="F31" s="87" t="s">
        <v>38</v>
      </c>
      <c r="G31" s="88" t="str">
        <f>VLOOKUP(Table4[[#This Row],[A ID]],Assets[#All],3,FALSE())</f>
        <v>Tablet Resources - web cam, microphone, OTG devices, Removable USB, Tablet Application, Network interfaces (Bluetooth, Wifi)</v>
      </c>
      <c r="H31" s="19" t="s">
        <v>472</v>
      </c>
      <c r="I31" s="19" t="s">
        <v>465</v>
      </c>
      <c r="J31" s="89" t="s">
        <v>274</v>
      </c>
      <c r="K31" s="89" t="s">
        <v>274</v>
      </c>
      <c r="L31" s="89" t="s">
        <v>276</v>
      </c>
      <c r="M31" s="90" t="s">
        <v>273</v>
      </c>
      <c r="N31" s="90" t="s">
        <v>267</v>
      </c>
      <c r="O31" s="90" t="s">
        <v>276</v>
      </c>
      <c r="P31" s="90" t="s">
        <v>269</v>
      </c>
      <c r="Q31" s="90" t="s">
        <v>270</v>
      </c>
      <c r="R3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0.90061032600000002</v>
      </c>
      <c r="S31" s="91">
        <f>(1 - ((1 - VLOOKUP(Table4[[#This Row],[Confidentiality]],'Reference - CVSSv3.0'!$B$16:$C$18,2,FALSE())) * (1 - VLOOKUP(Table4[[#This Row],[Integrity]],'Reference - CVSSv3.0'!$B$16:$C$18,2,FALSE())) *  (1 - VLOOKUP(Table4[[#This Row],[Availability]],'Reference - CVSSv3.0'!$B$16:$C$18,2,FALSE()))))</f>
        <v>0.56000000000000005</v>
      </c>
      <c r="T31" s="91">
        <f>IF(Table4[[#This Row],[Scope]]="Unchanged",6.42*Table4[[#This Row],[ISC Base]],IF(Table4[[#This Row],[Scope]]="Changed",7.52*(Table4[[#This Row],[ISC Base]] - 0.029) - 3.25 * POWER(Table4[[#This Row],[ISC Base]] - 0.02,15),NA()))</f>
        <v>3.5952000000000002</v>
      </c>
      <c r="U31" s="91">
        <f>IF(Table4[[#This Row],[Impact Sub Score]]&lt;=0,0,IF(Table4[[#This Row],[Scope]]="Unchanged",ROUNDUP(MIN((Table4[[#This Row],[Impact Sub Score]]+Table4[[#This Row],[Exploitability Sub Score]]),10),1),IF(Table4[[#This Row],[Scope]]="Changed",ROUNDUP(MIN((1.08*(Table4[[#This Row],[Impact Sub Score]]+Table4[[#This Row],[Exploitability Sub Score]])),10),1),NA())))</f>
        <v>4.5</v>
      </c>
      <c r="V31" s="85" t="s">
        <v>277</v>
      </c>
      <c r="W31" s="91">
        <f>VLOOKUP(Table4[[#This Row],[Threat Event Initiation]],NIST_Scale_LOAI[],2,FALSE())</f>
        <v>0.5</v>
      </c>
      <c r="X3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4.0999999999999996</v>
      </c>
      <c r="Y3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1" s="19" t="s">
        <v>421</v>
      </c>
      <c r="AA31" s="19" t="s">
        <v>422</v>
      </c>
      <c r="AB31" s="19" t="s">
        <v>499</v>
      </c>
      <c r="AC31" s="36"/>
      <c r="AD31" s="36"/>
      <c r="AE31" s="36"/>
      <c r="AF31" s="90"/>
      <c r="AG31" s="90"/>
      <c r="AH31" s="90"/>
      <c r="AI31" s="90"/>
      <c r="AJ31" s="90"/>
      <c r="AK31"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1" s="91" t="e">
        <f>(1 - ((1 - VLOOKUP(Table4[[#This Row],[ConfidentialityP]],'Reference - CVSSv3.0'!$B$16:$C$18,2,FALSE())) * (1 - VLOOKUP(Table4[[#This Row],[IntegrityP]],'Reference - CVSSv3.0'!$B$16:$C$18,2,FALSE())) *  (1 - VLOOKUP(Table4[[#This Row],[AvailabilityP]],'Reference - CVSSv3.0'!$B$16:$C$18,2,FALSE()))))</f>
        <v>#N/A</v>
      </c>
      <c r="AM31" s="91" t="e">
        <f>IF(Table4[[#This Row],[ScopeP]]="Unchanged",6.42*Table4[[#This Row],[ISC BaseP]],IF(Table4[[#This Row],[ScopeP]]="Changed",7.52*(Table4[[#This Row],[ISC BaseP]] - 0.029) - 3.25 * POWER(Table4[[#This Row],[ISC BaseP]] - 0.02,15),NA()))</f>
        <v>#N/A</v>
      </c>
      <c r="AN3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1" s="36"/>
    </row>
    <row r="32" spans="1:43" s="26" customFormat="1" ht="156.75">
      <c r="A32" s="84">
        <v>28</v>
      </c>
      <c r="B32" s="85" t="s">
        <v>178</v>
      </c>
      <c r="C32" s="86" t="str">
        <f>IF(VLOOKUP(Table4[[#This Row],[T ID]],Table5[#All],5,FALSE())="No","Not in scope",VLOOKUP(Table4[[#This Row],[T ID]],Table5[#All],2,FALSE()))</f>
        <v>Deliver directed malware
(CAPEC-185)</v>
      </c>
      <c r="D32" s="57" t="s">
        <v>111</v>
      </c>
      <c r="E32" s="86" t="str">
        <f>IF(VLOOKUP(Table4[[#This Row],[V ID]],Vulnerabilities[#All],3,FALSE())="No","Not in scope",VLOOKUP(Table4[[#This Row],[V ID]],Vulnerabilities[#All],2,FALSE()))</f>
        <v>Ineffective patch management of firware, OS and applications thoughout the information system plan</v>
      </c>
      <c r="F32" s="87" t="s">
        <v>53</v>
      </c>
      <c r="G32" s="88" t="str">
        <f>VLOOKUP(Table4[[#This Row],[A ID]],Assets[#All],3,FALSE())</f>
        <v>Device Maintainence tool (Hardware/Software)</v>
      </c>
      <c r="H32" s="19" t="s">
        <v>280</v>
      </c>
      <c r="I32" s="19" t="s">
        <v>465</v>
      </c>
      <c r="J32" s="89" t="s">
        <v>267</v>
      </c>
      <c r="K32" s="89" t="s">
        <v>267</v>
      </c>
      <c r="L32" s="89" t="s">
        <v>267</v>
      </c>
      <c r="M32" s="90" t="s">
        <v>275</v>
      </c>
      <c r="N32" s="90" t="s">
        <v>267</v>
      </c>
      <c r="O32" s="90" t="s">
        <v>267</v>
      </c>
      <c r="P32" s="90" t="s">
        <v>274</v>
      </c>
      <c r="Q32" s="90" t="s">
        <v>270</v>
      </c>
      <c r="R3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32" s="91">
        <f>(1 - ((1 - VLOOKUP(Table4[[#This Row],[Confidentiality]],'Reference - CVSSv3.0'!$B$16:$C$18,2,FALSE())) * (1 - VLOOKUP(Table4[[#This Row],[Integrity]],'Reference - CVSSv3.0'!$B$16:$C$18,2,FALSE())) *  (1 - VLOOKUP(Table4[[#This Row],[Availability]],'Reference - CVSSv3.0'!$B$16:$C$18,2,FALSE()))))</f>
        <v>0.52544799999999992</v>
      </c>
      <c r="T32" s="91">
        <f>IF(Table4[[#This Row],[Scope]]="Unchanged",6.42*Table4[[#This Row],[ISC Base]],IF(Table4[[#This Row],[Scope]]="Changed",7.52*(Table4[[#This Row],[ISC Base]] - 0.029) - 3.25 * POWER(Table4[[#This Row],[ISC Base]] - 0.02,15),NA()))</f>
        <v>3.3733761599999994</v>
      </c>
      <c r="U32"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32" s="85" t="s">
        <v>267</v>
      </c>
      <c r="W32" s="91">
        <f>VLOOKUP(Table4[[#This Row],[Threat Event Initiation]],NIST_Scale_LOAI[],2,FALSE())</f>
        <v>0.2</v>
      </c>
      <c r="X3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2" s="19" t="s">
        <v>271</v>
      </c>
      <c r="AA32" s="19" t="s">
        <v>454</v>
      </c>
      <c r="AB32" s="19" t="s">
        <v>500</v>
      </c>
      <c r="AC32" s="36"/>
      <c r="AD32" s="36"/>
      <c r="AE32" s="36"/>
      <c r="AF32" s="90"/>
      <c r="AG32" s="90"/>
      <c r="AH32" s="90"/>
      <c r="AI32" s="90"/>
      <c r="AJ32" s="90"/>
      <c r="AK32"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2" s="91" t="e">
        <f>(1 - ((1 - VLOOKUP(Table4[[#This Row],[ConfidentialityP]],'Reference - CVSSv3.0'!$B$16:$C$18,2,FALSE())) * (1 - VLOOKUP(Table4[[#This Row],[IntegrityP]],'Reference - CVSSv3.0'!$B$16:$C$18,2,FALSE())) *  (1 - VLOOKUP(Table4[[#This Row],[AvailabilityP]],'Reference - CVSSv3.0'!$B$16:$C$18,2,FALSE()))))</f>
        <v>#N/A</v>
      </c>
      <c r="AM32" s="91" t="e">
        <f>IF(Table4[[#This Row],[ScopeP]]="Unchanged",6.42*Table4[[#This Row],[ISC BaseP]],IF(Table4[[#This Row],[ScopeP]]="Changed",7.52*(Table4[[#This Row],[ISC BaseP]] - 0.029) - 3.25 * POWER(Table4[[#This Row],[ISC BaseP]] - 0.02,15),NA()))</f>
        <v>#N/A</v>
      </c>
      <c r="AN3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2" s="36"/>
    </row>
    <row r="33" spans="1:43" s="26" customFormat="1" ht="156.75">
      <c r="A33" s="84">
        <v>29</v>
      </c>
      <c r="B33" s="85" t="s">
        <v>178</v>
      </c>
      <c r="C33" s="86" t="str">
        <f>IF(VLOOKUP(Table4[[#This Row],[T ID]],Table5[#All],5,FALSE())="No","Not in scope",VLOOKUP(Table4[[#This Row],[T ID]],Table5[#All],2,FALSE()))</f>
        <v>Deliver directed malware
(CAPEC-185)</v>
      </c>
      <c r="D33" s="57" t="s">
        <v>111</v>
      </c>
      <c r="E33" s="86" t="str">
        <f>IF(VLOOKUP(Table4[[#This Row],[V ID]],Vulnerabilities[#All],3,FALSE())="No","Not in scope",VLOOKUP(Table4[[#This Row],[V ID]],Vulnerabilities[#All],2,FALSE()))</f>
        <v>Ineffective patch management of firware, OS and applications thoughout the information system plan</v>
      </c>
      <c r="F33" s="87" t="s">
        <v>46</v>
      </c>
      <c r="G33" s="88" t="str">
        <f>VLOOKUP(Table4[[#This Row],[A ID]],Assets[#All],3,FALSE())</f>
        <v>Smart medic (Stryker device) System Component</v>
      </c>
      <c r="H33" s="19" t="s">
        <v>280</v>
      </c>
      <c r="I33" s="19" t="s">
        <v>465</v>
      </c>
      <c r="J33" s="89" t="s">
        <v>267</v>
      </c>
      <c r="K33" s="89" t="s">
        <v>267</v>
      </c>
      <c r="L33" s="89" t="s">
        <v>267</v>
      </c>
      <c r="M33" s="90" t="s">
        <v>275</v>
      </c>
      <c r="N33" s="90" t="s">
        <v>267</v>
      </c>
      <c r="O33" s="90" t="s">
        <v>267</v>
      </c>
      <c r="P33" s="90" t="s">
        <v>274</v>
      </c>
      <c r="Q33" s="90" t="s">
        <v>270</v>
      </c>
      <c r="R3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33" s="91">
        <f>(1 - ((1 - VLOOKUP(Table4[[#This Row],[Confidentiality]],'Reference - CVSSv3.0'!$B$16:$C$18,2,FALSE())) * (1 - VLOOKUP(Table4[[#This Row],[Integrity]],'Reference - CVSSv3.0'!$B$16:$C$18,2,FALSE())) *  (1 - VLOOKUP(Table4[[#This Row],[Availability]],'Reference - CVSSv3.0'!$B$16:$C$18,2,FALSE()))))</f>
        <v>0.52544799999999992</v>
      </c>
      <c r="T33" s="91">
        <f>IF(Table4[[#This Row],[Scope]]="Unchanged",6.42*Table4[[#This Row],[ISC Base]],IF(Table4[[#This Row],[Scope]]="Changed",7.52*(Table4[[#This Row],[ISC Base]] - 0.029) - 3.25 * POWER(Table4[[#This Row],[ISC Base]] - 0.02,15),NA()))</f>
        <v>3.3733761599999994</v>
      </c>
      <c r="U33"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33" s="85" t="s">
        <v>267</v>
      </c>
      <c r="W33" s="91">
        <f>VLOOKUP(Table4[[#This Row],[Threat Event Initiation]],NIST_Scale_LOAI[],2,FALSE())</f>
        <v>0.2</v>
      </c>
      <c r="X3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3" s="19" t="s">
        <v>271</v>
      </c>
      <c r="AA33" s="19" t="s">
        <v>432</v>
      </c>
      <c r="AB33" s="19" t="s">
        <v>501</v>
      </c>
      <c r="AC33" s="36"/>
      <c r="AD33" s="36"/>
      <c r="AE33" s="36"/>
      <c r="AF33" s="90"/>
      <c r="AG33" s="90"/>
      <c r="AH33" s="90"/>
      <c r="AI33" s="90"/>
      <c r="AJ33" s="90"/>
      <c r="AK33"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3" s="91" t="e">
        <f>(1 - ((1 - VLOOKUP(Table4[[#This Row],[ConfidentialityP]],'Reference - CVSSv3.0'!$B$16:$C$18,2,FALSE())) * (1 - VLOOKUP(Table4[[#This Row],[IntegrityP]],'Reference - CVSSv3.0'!$B$16:$C$18,2,FALSE())) *  (1 - VLOOKUP(Table4[[#This Row],[AvailabilityP]],'Reference - CVSSv3.0'!$B$16:$C$18,2,FALSE()))))</f>
        <v>#N/A</v>
      </c>
      <c r="AM33" s="91" t="e">
        <f>IF(Table4[[#This Row],[ScopeP]]="Unchanged",6.42*Table4[[#This Row],[ISC BaseP]],IF(Table4[[#This Row],[ScopeP]]="Changed",7.52*(Table4[[#This Row],[ISC BaseP]] - 0.029) - 3.25 * POWER(Table4[[#This Row],[ISC BaseP]] - 0.02,15),NA()))</f>
        <v>#N/A</v>
      </c>
      <c r="AN3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3" s="36"/>
    </row>
    <row r="34" spans="1:43" s="26" customFormat="1" ht="213.75">
      <c r="A34" s="84">
        <v>30</v>
      </c>
      <c r="B34" s="85" t="s">
        <v>178</v>
      </c>
      <c r="C34" s="86" t="str">
        <f>IF(VLOOKUP(Table4[[#This Row],[T ID]],Table5[#All],5,FALSE())="No","Not in scope",VLOOKUP(Table4[[#This Row],[T ID]],Table5[#All],2,FALSE()))</f>
        <v>Deliver directed malware
(CAPEC-185)</v>
      </c>
      <c r="D34" s="57" t="s">
        <v>111</v>
      </c>
      <c r="E34" s="86" t="str">
        <f>IF(VLOOKUP(Table4[[#This Row],[V ID]],Vulnerabilities[#All],3,FALSE())="No","Not in scope",VLOOKUP(Table4[[#This Row],[V ID]],Vulnerabilities[#All],2,FALSE()))</f>
        <v>Ineffective patch management of firware, OS and applications thoughout the information system plan</v>
      </c>
      <c r="F34" s="87" t="s">
        <v>38</v>
      </c>
      <c r="G34" s="88" t="str">
        <f>VLOOKUP(Table4[[#This Row],[A ID]],Assets[#All],3,FALSE())</f>
        <v>Tablet Resources - web cam, microphone, OTG devices, Removable USB, Tablet Application, Network interfaces (Bluetooth, Wifi)</v>
      </c>
      <c r="H34" s="19" t="s">
        <v>280</v>
      </c>
      <c r="I34" s="19" t="s">
        <v>465</v>
      </c>
      <c r="J34" s="89" t="s">
        <v>267</v>
      </c>
      <c r="K34" s="89" t="s">
        <v>267</v>
      </c>
      <c r="L34" s="89" t="s">
        <v>267</v>
      </c>
      <c r="M34" s="90" t="s">
        <v>275</v>
      </c>
      <c r="N34" s="90" t="s">
        <v>267</v>
      </c>
      <c r="O34" s="90" t="s">
        <v>267</v>
      </c>
      <c r="P34" s="90" t="s">
        <v>274</v>
      </c>
      <c r="Q34" s="90" t="s">
        <v>270</v>
      </c>
      <c r="R3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34" s="91">
        <f>(1 - ((1 - VLOOKUP(Table4[[#This Row],[Confidentiality]],'Reference - CVSSv3.0'!$B$16:$C$18,2,FALSE())) * (1 - VLOOKUP(Table4[[#This Row],[Integrity]],'Reference - CVSSv3.0'!$B$16:$C$18,2,FALSE())) *  (1 - VLOOKUP(Table4[[#This Row],[Availability]],'Reference - CVSSv3.0'!$B$16:$C$18,2,FALSE()))))</f>
        <v>0.52544799999999992</v>
      </c>
      <c r="T34" s="91">
        <f>IF(Table4[[#This Row],[Scope]]="Unchanged",6.42*Table4[[#This Row],[ISC Base]],IF(Table4[[#This Row],[Scope]]="Changed",7.52*(Table4[[#This Row],[ISC Base]] - 0.029) - 3.25 * POWER(Table4[[#This Row],[ISC Base]] - 0.02,15),NA()))</f>
        <v>3.3733761599999994</v>
      </c>
      <c r="U34"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34" s="85" t="s">
        <v>267</v>
      </c>
      <c r="W34" s="91">
        <f>VLOOKUP(Table4[[#This Row],[Threat Event Initiation]],NIST_Scale_LOAI[],2,FALSE())</f>
        <v>0.2</v>
      </c>
      <c r="X3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4" s="19" t="s">
        <v>271</v>
      </c>
      <c r="AA34" s="19" t="s">
        <v>272</v>
      </c>
      <c r="AB34" s="19" t="s">
        <v>502</v>
      </c>
      <c r="AC34" s="36"/>
      <c r="AD34" s="36"/>
      <c r="AE34" s="36"/>
      <c r="AF34" s="90"/>
      <c r="AG34" s="90"/>
      <c r="AH34" s="90"/>
      <c r="AI34" s="90"/>
      <c r="AJ34" s="90"/>
      <c r="AK3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4" s="91" t="e">
        <f>(1 - ((1 - VLOOKUP(Table4[[#This Row],[ConfidentialityP]],'Reference - CVSSv3.0'!$B$16:$C$18,2,FALSE())) * (1 - VLOOKUP(Table4[[#This Row],[IntegrityP]],'Reference - CVSSv3.0'!$B$16:$C$18,2,FALSE())) *  (1 - VLOOKUP(Table4[[#This Row],[AvailabilityP]],'Reference - CVSSv3.0'!$B$16:$C$18,2,FALSE()))))</f>
        <v>#N/A</v>
      </c>
      <c r="AM34" s="91" t="e">
        <f>IF(Table4[[#This Row],[ScopeP]]="Unchanged",6.42*Table4[[#This Row],[ISC BaseP]],IF(Table4[[#This Row],[ScopeP]]="Changed",7.52*(Table4[[#This Row],[ISC BaseP]] - 0.029) - 3.25 * POWER(Table4[[#This Row],[ISC BaseP]] - 0.02,15),NA()))</f>
        <v>#N/A</v>
      </c>
      <c r="AN3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4" s="36"/>
    </row>
    <row r="35" spans="1:43" s="26" customFormat="1" ht="150" customHeight="1">
      <c r="A35" s="84">
        <v>31</v>
      </c>
      <c r="B35" s="85" t="s">
        <v>178</v>
      </c>
      <c r="C35" s="86" t="str">
        <f>IF(VLOOKUP(Table4[[#This Row],[T ID]],Table5[#All],5,FALSE())="No","Not in scope",VLOOKUP(Table4[[#This Row],[T ID]],Table5[#All],2,FALSE()))</f>
        <v>Deliver directed malware
(CAPEC-185)</v>
      </c>
      <c r="D35" s="57" t="s">
        <v>120</v>
      </c>
      <c r="E35" s="86" t="str">
        <f>IF(VLOOKUP(Table4[[#This Row],[V ID]],Vulnerabilities[#All],3,FALSE())="No","Not in scope",VLOOKUP(Table4[[#This Row],[V ID]],Vulnerabilities[#All],2,FALSE()))</f>
        <v>Unprotected network port(s) on network devices and connection points</v>
      </c>
      <c r="F35" s="87" t="s">
        <v>46</v>
      </c>
      <c r="G35" s="88" t="str">
        <f>VLOOKUP(Table4[[#This Row],[A ID]],Assets[#All],3,FALSE())</f>
        <v>Smart medic (Stryker device) System Component</v>
      </c>
      <c r="H35" s="19" t="s">
        <v>280</v>
      </c>
      <c r="I35" s="19" t="s">
        <v>465</v>
      </c>
      <c r="J35" s="89" t="s">
        <v>274</v>
      </c>
      <c r="K35" s="89" t="s">
        <v>274</v>
      </c>
      <c r="L35" s="89" t="s">
        <v>276</v>
      </c>
      <c r="M35" s="90" t="s">
        <v>273</v>
      </c>
      <c r="N35" s="90" t="s">
        <v>267</v>
      </c>
      <c r="O35" s="90" t="s">
        <v>276</v>
      </c>
      <c r="P35" s="90" t="s">
        <v>274</v>
      </c>
      <c r="Q35" s="90" t="s">
        <v>270</v>
      </c>
      <c r="R35"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1.2347077050000002</v>
      </c>
      <c r="S35" s="91">
        <f>(1 - ((1 - VLOOKUP(Table4[[#This Row],[Confidentiality]],'Reference - CVSSv3.0'!$B$16:$C$18,2,FALSE())) * (1 - VLOOKUP(Table4[[#This Row],[Integrity]],'Reference - CVSSv3.0'!$B$16:$C$18,2,FALSE())) *  (1 - VLOOKUP(Table4[[#This Row],[Availability]],'Reference - CVSSv3.0'!$B$16:$C$18,2,FALSE()))))</f>
        <v>0.56000000000000005</v>
      </c>
      <c r="T35" s="91">
        <f>IF(Table4[[#This Row],[Scope]]="Unchanged",6.42*Table4[[#This Row],[ISC Base]],IF(Table4[[#This Row],[Scope]]="Changed",7.52*(Table4[[#This Row],[ISC Base]] - 0.029) - 3.25 * POWER(Table4[[#This Row],[ISC Base]] - 0.02,15),NA()))</f>
        <v>3.5952000000000002</v>
      </c>
      <c r="U35"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35" s="85" t="s">
        <v>277</v>
      </c>
      <c r="W35" s="91">
        <f>VLOOKUP(Table4[[#This Row],[Threat Event Initiation]],NIST_Scale_LOAI[],2,FALSE())</f>
        <v>0.5</v>
      </c>
      <c r="X3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3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5" s="19" t="s">
        <v>423</v>
      </c>
      <c r="AA35" s="19" t="s">
        <v>433</v>
      </c>
      <c r="AB35" s="19" t="s">
        <v>503</v>
      </c>
      <c r="AC35" s="36"/>
      <c r="AD35" s="36"/>
      <c r="AE35" s="36"/>
      <c r="AF35" s="90"/>
      <c r="AG35" s="90"/>
      <c r="AH35" s="90"/>
      <c r="AI35" s="90"/>
      <c r="AJ35" s="90"/>
      <c r="AK35"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5" s="91" t="e">
        <f>(1 - ((1 - VLOOKUP(Table4[[#This Row],[ConfidentialityP]],'Reference - CVSSv3.0'!$B$16:$C$18,2,FALSE())) * (1 - VLOOKUP(Table4[[#This Row],[IntegrityP]],'Reference - CVSSv3.0'!$B$16:$C$18,2,FALSE())) *  (1 - VLOOKUP(Table4[[#This Row],[AvailabilityP]],'Reference - CVSSv3.0'!$B$16:$C$18,2,FALSE()))))</f>
        <v>#N/A</v>
      </c>
      <c r="AM35" s="91" t="e">
        <f>IF(Table4[[#This Row],[ScopeP]]="Unchanged",6.42*Table4[[#This Row],[ISC BaseP]],IF(Table4[[#This Row],[ScopeP]]="Changed",7.52*(Table4[[#This Row],[ISC BaseP]] - 0.029) - 3.25 * POWER(Table4[[#This Row],[ISC BaseP]] - 0.02,15),NA()))</f>
        <v>#N/A</v>
      </c>
      <c r="AN3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5" s="36"/>
    </row>
    <row r="36" spans="1:43" s="26" customFormat="1" ht="213.75">
      <c r="A36" s="84">
        <v>32</v>
      </c>
      <c r="B36" s="85" t="s">
        <v>178</v>
      </c>
      <c r="C36" s="86" t="str">
        <f>IF(VLOOKUP(Table4[[#This Row],[T ID]],Table5[#All],5,FALSE())="No","Not in scope",VLOOKUP(Table4[[#This Row],[T ID]],Table5[#All],2,FALSE()))</f>
        <v>Deliver directed malware
(CAPEC-185)</v>
      </c>
      <c r="D36" s="57" t="s">
        <v>120</v>
      </c>
      <c r="E36" s="86" t="str">
        <f>IF(VLOOKUP(Table4[[#This Row],[V ID]],Vulnerabilities[#All],3,FALSE())="No","Not in scope",VLOOKUP(Table4[[#This Row],[V ID]],Vulnerabilities[#All],2,FALSE()))</f>
        <v>Unprotected network port(s) on network devices and connection points</v>
      </c>
      <c r="F36" s="87" t="s">
        <v>38</v>
      </c>
      <c r="G36" s="88" t="str">
        <f>VLOOKUP(Table4[[#This Row],[A ID]],Assets[#All],3,FALSE())</f>
        <v>Tablet Resources - web cam, microphone, OTG devices, Removable USB, Tablet Application, Network interfaces (Bluetooth, Wifi)</v>
      </c>
      <c r="H36" s="19" t="s">
        <v>280</v>
      </c>
      <c r="I36" s="19" t="s">
        <v>465</v>
      </c>
      <c r="J36" s="89" t="s">
        <v>274</v>
      </c>
      <c r="K36" s="89" t="s">
        <v>274</v>
      </c>
      <c r="L36" s="89" t="s">
        <v>276</v>
      </c>
      <c r="M36" s="90" t="s">
        <v>273</v>
      </c>
      <c r="N36" s="90" t="s">
        <v>267</v>
      </c>
      <c r="O36" s="90" t="s">
        <v>276</v>
      </c>
      <c r="P36" s="90" t="s">
        <v>274</v>
      </c>
      <c r="Q36" s="90" t="s">
        <v>270</v>
      </c>
      <c r="R3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1.2347077050000002</v>
      </c>
      <c r="S36" s="91">
        <f>(1 - ((1 - VLOOKUP(Table4[[#This Row],[Confidentiality]],'Reference - CVSSv3.0'!$B$16:$C$18,2,FALSE())) * (1 - VLOOKUP(Table4[[#This Row],[Integrity]],'Reference - CVSSv3.0'!$B$16:$C$18,2,FALSE())) *  (1 - VLOOKUP(Table4[[#This Row],[Availability]],'Reference - CVSSv3.0'!$B$16:$C$18,2,FALSE()))))</f>
        <v>0.56000000000000005</v>
      </c>
      <c r="T36" s="91">
        <f>IF(Table4[[#This Row],[Scope]]="Unchanged",6.42*Table4[[#This Row],[ISC Base]],IF(Table4[[#This Row],[Scope]]="Changed",7.52*(Table4[[#This Row],[ISC Base]] - 0.029) - 3.25 * POWER(Table4[[#This Row],[ISC Base]] - 0.02,15),NA()))</f>
        <v>3.5952000000000002</v>
      </c>
      <c r="U36"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36" s="85" t="s">
        <v>267</v>
      </c>
      <c r="W36" s="91">
        <f>VLOOKUP(Table4[[#This Row],[Threat Event Initiation]],NIST_Scale_LOAI[],2,FALSE())</f>
        <v>0.2</v>
      </c>
      <c r="X3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3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6" s="19" t="s">
        <v>271</v>
      </c>
      <c r="AA36" s="19" t="s">
        <v>272</v>
      </c>
      <c r="AB36" s="19" t="s">
        <v>504</v>
      </c>
      <c r="AC36" s="36"/>
      <c r="AD36" s="36"/>
      <c r="AE36" s="36"/>
      <c r="AF36" s="90"/>
      <c r="AG36" s="90"/>
      <c r="AH36" s="90"/>
      <c r="AI36" s="90"/>
      <c r="AJ36" s="90"/>
      <c r="AK36"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6" s="91" t="e">
        <f>(1 - ((1 - VLOOKUP(Table4[[#This Row],[ConfidentialityP]],'Reference - CVSSv3.0'!$B$16:$C$18,2,FALSE())) * (1 - VLOOKUP(Table4[[#This Row],[IntegrityP]],'Reference - CVSSv3.0'!$B$16:$C$18,2,FALSE())) *  (1 - VLOOKUP(Table4[[#This Row],[AvailabilityP]],'Reference - CVSSv3.0'!$B$16:$C$18,2,FALSE()))))</f>
        <v>#N/A</v>
      </c>
      <c r="AM36" s="91" t="e">
        <f>IF(Table4[[#This Row],[ScopeP]]="Unchanged",6.42*Table4[[#This Row],[ISC BaseP]],IF(Table4[[#This Row],[ScopeP]]="Changed",7.52*(Table4[[#This Row],[ISC BaseP]] - 0.029) - 3.25 * POWER(Table4[[#This Row],[ISC BaseP]] - 0.02,15),NA()))</f>
        <v>#N/A</v>
      </c>
      <c r="AN3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6" s="36"/>
    </row>
    <row r="37" spans="1:43" s="26" customFormat="1" ht="263.45" customHeight="1">
      <c r="A37" s="84">
        <v>33</v>
      </c>
      <c r="B37" s="85" t="s">
        <v>178</v>
      </c>
      <c r="C37" s="86" t="str">
        <f>IF(VLOOKUP(Table4[[#This Row],[T ID]],Table5[#All],5,FALSE())="No","Not in scope",VLOOKUP(Table4[[#This Row],[T ID]],Table5[#All],2,FALSE()))</f>
        <v>Deliver directed malware
(CAPEC-185)</v>
      </c>
      <c r="D37" s="57" t="s">
        <v>140</v>
      </c>
      <c r="E37" s="86" t="str">
        <f>IF(VLOOKUP(Table4[[#This Row],[V ID]],Vulnerabilities[#All],3,FALSE())="No","Not in scope",VLOOKUP(Table4[[#This Row],[V ID]],Vulnerabilities[#All],2,FALSE()))</f>
        <v>InSecure Configuration for Software/OS on Mobile Devices, Laptops, Workstations, and Servers</v>
      </c>
      <c r="F37" s="87" t="s">
        <v>71</v>
      </c>
      <c r="G37" s="88" t="str">
        <f>VLOOKUP(Table4[[#This Row],[A ID]],Assets[#All],3,FALSE())</f>
        <v>Smart medic app (Stryker Admin Web Application)</v>
      </c>
      <c r="H37" s="19" t="s">
        <v>280</v>
      </c>
      <c r="I37" s="19" t="s">
        <v>465</v>
      </c>
      <c r="J37" s="89" t="s">
        <v>274</v>
      </c>
      <c r="K37" s="89" t="s">
        <v>274</v>
      </c>
      <c r="L37" s="89" t="s">
        <v>276</v>
      </c>
      <c r="M37" s="90" t="s">
        <v>275</v>
      </c>
      <c r="N37" s="90" t="s">
        <v>276</v>
      </c>
      <c r="O37" s="90" t="s">
        <v>276</v>
      </c>
      <c r="P37" s="90" t="s">
        <v>269</v>
      </c>
      <c r="Q37" s="90" t="s">
        <v>270</v>
      </c>
      <c r="R3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0.33299877600000005</v>
      </c>
      <c r="S37" s="91">
        <f>(1 - ((1 - VLOOKUP(Table4[[#This Row],[Confidentiality]],'Reference - CVSSv3.0'!$B$16:$C$18,2,FALSE())) * (1 - VLOOKUP(Table4[[#This Row],[Integrity]],'Reference - CVSSv3.0'!$B$16:$C$18,2,FALSE())) *  (1 - VLOOKUP(Table4[[#This Row],[Availability]],'Reference - CVSSv3.0'!$B$16:$C$18,2,FALSE()))))</f>
        <v>0.56000000000000005</v>
      </c>
      <c r="T37" s="91">
        <f>IF(Table4[[#This Row],[Scope]]="Unchanged",6.42*Table4[[#This Row],[ISC Base]],IF(Table4[[#This Row],[Scope]]="Changed",7.52*(Table4[[#This Row],[ISC Base]] - 0.029) - 3.25 * POWER(Table4[[#This Row],[ISC Base]] - 0.02,15),NA()))</f>
        <v>3.5952000000000002</v>
      </c>
      <c r="U37" s="91">
        <f>IF(Table4[[#This Row],[Impact Sub Score]]&lt;=0,0,IF(Table4[[#This Row],[Scope]]="Unchanged",ROUNDUP(MIN((Table4[[#This Row],[Impact Sub Score]]+Table4[[#This Row],[Exploitability Sub Score]]),10),1),IF(Table4[[#This Row],[Scope]]="Changed",ROUNDUP(MIN((1.08*(Table4[[#This Row],[Impact Sub Score]]+Table4[[#This Row],[Exploitability Sub Score]])),10),1),NA())))</f>
        <v>4</v>
      </c>
      <c r="V37" s="85" t="s">
        <v>277</v>
      </c>
      <c r="W37" s="91">
        <f>VLOOKUP(Table4[[#This Row],[Threat Event Initiation]],NIST_Scale_LOAI[],2,FALSE())</f>
        <v>0.5</v>
      </c>
      <c r="X3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7" s="19" t="s">
        <v>281</v>
      </c>
      <c r="AA37" s="19" t="s">
        <v>444</v>
      </c>
      <c r="AB37" s="19" t="s">
        <v>505</v>
      </c>
      <c r="AC37" s="36"/>
      <c r="AD37" s="36"/>
      <c r="AE37" s="36"/>
      <c r="AF37" s="90"/>
      <c r="AG37" s="90"/>
      <c r="AH37" s="90"/>
      <c r="AI37" s="90"/>
      <c r="AJ37" s="90"/>
      <c r="AK37"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7" s="91" t="e">
        <f>(1 - ((1 - VLOOKUP(Table4[[#This Row],[ConfidentialityP]],'Reference - CVSSv3.0'!$B$16:$C$18,2,FALSE())) * (1 - VLOOKUP(Table4[[#This Row],[IntegrityP]],'Reference - CVSSv3.0'!$B$16:$C$18,2,FALSE())) *  (1 - VLOOKUP(Table4[[#This Row],[AvailabilityP]],'Reference - CVSSv3.0'!$B$16:$C$18,2,FALSE()))))</f>
        <v>#N/A</v>
      </c>
      <c r="AM37" s="91" t="e">
        <f>IF(Table4[[#This Row],[ScopeP]]="Unchanged",6.42*Table4[[#This Row],[ISC BaseP]],IF(Table4[[#This Row],[ScopeP]]="Changed",7.52*(Table4[[#This Row],[ISC BaseP]] - 0.029) - 3.25 * POWER(Table4[[#This Row],[ISC BaseP]] - 0.02,15),NA()))</f>
        <v>#N/A</v>
      </c>
      <c r="AN3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7" s="36"/>
    </row>
    <row r="38" spans="1:43" s="26" customFormat="1" ht="213.75">
      <c r="A38" s="84">
        <v>34</v>
      </c>
      <c r="B38" s="85" t="s">
        <v>178</v>
      </c>
      <c r="C38" s="86" t="str">
        <f>IF(VLOOKUP(Table4[[#This Row],[T ID]],Table5[#All],5,FALSE())="No","Not in scope",VLOOKUP(Table4[[#This Row],[T ID]],Table5[#All],2,FALSE()))</f>
        <v>Deliver directed malware
(CAPEC-185)</v>
      </c>
      <c r="D38" s="57" t="s">
        <v>140</v>
      </c>
      <c r="E38" s="86" t="str">
        <f>IF(VLOOKUP(Table4[[#This Row],[V ID]],Vulnerabilities[#All],3,FALSE())="No","Not in scope",VLOOKUP(Table4[[#This Row],[V ID]],Vulnerabilities[#All],2,FALSE()))</f>
        <v>InSecure Configuration for Software/OS on Mobile Devices, Laptops, Workstations, and Servers</v>
      </c>
      <c r="F38" s="87" t="s">
        <v>38</v>
      </c>
      <c r="G38" s="88" t="str">
        <f>VLOOKUP(Table4[[#This Row],[A ID]],Assets[#All],3,FALSE())</f>
        <v>Tablet Resources - web cam, microphone, OTG devices, Removable USB, Tablet Application, Network interfaces (Bluetooth, Wifi)</v>
      </c>
      <c r="H38" s="19" t="s">
        <v>280</v>
      </c>
      <c r="I38" s="19" t="s">
        <v>465</v>
      </c>
      <c r="J38" s="89" t="s">
        <v>267</v>
      </c>
      <c r="K38" s="89" t="s">
        <v>267</v>
      </c>
      <c r="L38" s="89" t="s">
        <v>267</v>
      </c>
      <c r="M38" s="90" t="s">
        <v>275</v>
      </c>
      <c r="N38" s="90" t="s">
        <v>267</v>
      </c>
      <c r="O38" s="90" t="s">
        <v>267</v>
      </c>
      <c r="P38" s="90" t="s">
        <v>269</v>
      </c>
      <c r="Q38" s="90" t="s">
        <v>270</v>
      </c>
      <c r="R3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1.3381617480000001</v>
      </c>
      <c r="S38" s="91">
        <f>(1 - ((1 - VLOOKUP(Table4[[#This Row],[Confidentiality]],'Reference - CVSSv3.0'!$B$16:$C$18,2,FALSE())) * (1 - VLOOKUP(Table4[[#This Row],[Integrity]],'Reference - CVSSv3.0'!$B$16:$C$18,2,FALSE())) *  (1 - VLOOKUP(Table4[[#This Row],[Availability]],'Reference - CVSSv3.0'!$B$16:$C$18,2,FALSE()))))</f>
        <v>0.52544799999999992</v>
      </c>
      <c r="T38" s="91">
        <f>IF(Table4[[#This Row],[Scope]]="Unchanged",6.42*Table4[[#This Row],[ISC Base]],IF(Table4[[#This Row],[Scope]]="Changed",7.52*(Table4[[#This Row],[ISC Base]] - 0.029) - 3.25 * POWER(Table4[[#This Row],[ISC Base]] - 0.02,15),NA()))</f>
        <v>3.3733761599999994</v>
      </c>
      <c r="U38"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38" s="85" t="s">
        <v>267</v>
      </c>
      <c r="W38" s="91">
        <f>VLOOKUP(Table4[[#This Row],[Threat Event Initiation]],NIST_Scale_LOAI[],2,FALSE())</f>
        <v>0.2</v>
      </c>
      <c r="X3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3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8" s="19" t="s">
        <v>271</v>
      </c>
      <c r="AA38" s="19" t="s">
        <v>272</v>
      </c>
      <c r="AB38" s="19" t="s">
        <v>506</v>
      </c>
      <c r="AC38" s="36"/>
      <c r="AD38" s="36"/>
      <c r="AE38" s="36"/>
      <c r="AF38" s="90"/>
      <c r="AG38" s="90"/>
      <c r="AH38" s="90"/>
      <c r="AI38" s="90"/>
      <c r="AJ38" s="90"/>
      <c r="AK38"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8" s="91" t="e">
        <f>(1 - ((1 - VLOOKUP(Table4[[#This Row],[ConfidentialityP]],'Reference - CVSSv3.0'!$B$16:$C$18,2,FALSE())) * (1 - VLOOKUP(Table4[[#This Row],[IntegrityP]],'Reference - CVSSv3.0'!$B$16:$C$18,2,FALSE())) *  (1 - VLOOKUP(Table4[[#This Row],[AvailabilityP]],'Reference - CVSSv3.0'!$B$16:$C$18,2,FALSE()))))</f>
        <v>#N/A</v>
      </c>
      <c r="AM38" s="91" t="e">
        <f>IF(Table4[[#This Row],[ScopeP]]="Unchanged",6.42*Table4[[#This Row],[ISC BaseP]],IF(Table4[[#This Row],[ScopeP]]="Changed",7.52*(Table4[[#This Row],[ISC BaseP]] - 0.029) - 3.25 * POWER(Table4[[#This Row],[ISC BaseP]] - 0.02,15),NA()))</f>
        <v>#N/A</v>
      </c>
      <c r="AN3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8" s="36"/>
    </row>
    <row r="39" spans="1:43" s="26" customFormat="1" ht="213.75">
      <c r="A39" s="84">
        <v>35</v>
      </c>
      <c r="B39" s="85" t="s">
        <v>178</v>
      </c>
      <c r="C39" s="86" t="str">
        <f>IF(VLOOKUP(Table4[[#This Row],[T ID]],Table5[#All],5,FALSE())="No","Not in scope",VLOOKUP(Table4[[#This Row],[T ID]],Table5[#All],2,FALSE()))</f>
        <v>Deliver directed malware
(CAPEC-185)</v>
      </c>
      <c r="D39" s="57" t="s">
        <v>129</v>
      </c>
      <c r="E39" s="86" t="str">
        <f>IF(VLOOKUP(Table4[[#This Row],[V ID]],Vulnerabilities[#All],3,FALSE())="No","Not in scope",VLOOKUP(Table4[[#This Row],[V ID]],Vulnerabilities[#All],2,FALSE()))</f>
        <v>Unencrypted data at rest in all possible locations</v>
      </c>
      <c r="F39" s="87" t="s">
        <v>38</v>
      </c>
      <c r="G39" s="88" t="str">
        <f>VLOOKUP(Table4[[#This Row],[A ID]],Assets[#All],3,FALSE())</f>
        <v>Tablet Resources - web cam, microphone, OTG devices, Removable USB, Tablet Application, Network interfaces (Bluetooth, Wifi)</v>
      </c>
      <c r="H39" s="19" t="s">
        <v>280</v>
      </c>
      <c r="I39" s="19" t="s">
        <v>465</v>
      </c>
      <c r="J39" s="89" t="s">
        <v>267</v>
      </c>
      <c r="K39" s="89" t="s">
        <v>267</v>
      </c>
      <c r="L39" s="89" t="s">
        <v>267</v>
      </c>
      <c r="M39" s="90" t="s">
        <v>275</v>
      </c>
      <c r="N39" s="90" t="s">
        <v>267</v>
      </c>
      <c r="O39" s="90" t="s">
        <v>267</v>
      </c>
      <c r="P39" s="90" t="s">
        <v>274</v>
      </c>
      <c r="Q39" s="90" t="s">
        <v>270</v>
      </c>
      <c r="R39" s="91">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39" s="91">
        <f>(1 - ((1 - VLOOKUP(Table4[[#This Row],[Confidentiality]],'Reference - CVSSv3.0'!$B$16:$C$18,2,FALSE())) * (1 - VLOOKUP(Table4[[#This Row],[Integrity]],'Reference - CVSSv3.0'!$B$16:$C$18,2,FALSE())) *  (1 - VLOOKUP(Table4[[#This Row],[Availability]],'Reference - CVSSv3.0'!$B$16:$C$18,2,FALSE()))))</f>
        <v>0.52544799999999992</v>
      </c>
      <c r="T39" s="91">
        <f>IF(Table4[[#This Row],[Scope]]="Unchanged",6.42*Table4[[#This Row],[ISC Base]],IF(Table4[[#This Row],[Scope]]="Changed",7.52*(Table4[[#This Row],[ISC Base]] - 0.029) - 3.25 * POWER(Table4[[#This Row],[ISC Base]] - 0.02,15),NA()))</f>
        <v>3.3733761599999994</v>
      </c>
      <c r="U39"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39" s="85" t="s">
        <v>267</v>
      </c>
      <c r="W39" s="92">
        <f>VLOOKUP(Table4[[#This Row],[Threat Event Initiation]],NIST_Scale_LOAI[],2,FALSE())</f>
        <v>0.2</v>
      </c>
      <c r="X3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9" s="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9" s="19" t="s">
        <v>271</v>
      </c>
      <c r="AA39" s="19" t="s">
        <v>272</v>
      </c>
      <c r="AB39" s="19" t="s">
        <v>507</v>
      </c>
      <c r="AC39" s="89"/>
      <c r="AD39" s="89"/>
      <c r="AE39" s="89"/>
      <c r="AF39" s="90"/>
      <c r="AG39" s="90"/>
      <c r="AH39" s="90"/>
      <c r="AI39" s="90"/>
      <c r="AJ39" s="90"/>
      <c r="AK39"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9" s="91" t="e">
        <f>(1 - ((1 - VLOOKUP(Table4[[#This Row],[ConfidentialityP]],'Reference - CVSSv3.0'!$B$16:$C$18,2,FALSE())) * (1 - VLOOKUP(Table4[[#This Row],[IntegrityP]],'Reference - CVSSv3.0'!$B$16:$C$18,2,FALSE())) *  (1 - VLOOKUP(Table4[[#This Row],[AvailabilityP]],'Reference - CVSSv3.0'!$B$16:$C$18,2,FALSE()))))</f>
        <v>#N/A</v>
      </c>
      <c r="AM39" s="91" t="e">
        <f>IF(Table4[[#This Row],[ScopeP]]="Unchanged",6.42*Table4[[#This Row],[ISC BaseP]],IF(Table4[[#This Row],[ScopeP]]="Changed",7.52*(Table4[[#This Row],[ISC BaseP]] - 0.029) - 3.25 * POWER(Table4[[#This Row],[ISC BaseP]] - 0.02,15),NA()))</f>
        <v>#N/A</v>
      </c>
      <c r="AN3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9" s="36"/>
    </row>
    <row r="40" spans="1:43" s="26" customFormat="1" ht="213.75">
      <c r="A40" s="84">
        <v>36</v>
      </c>
      <c r="B40" s="85" t="s">
        <v>178</v>
      </c>
      <c r="C40" s="86" t="str">
        <f>IF(VLOOKUP(Table4[[#This Row],[T ID]],Table5[#All],5,FALSE())="No","Not in scope",VLOOKUP(Table4[[#This Row],[T ID]],Table5[#All],2,FALSE()))</f>
        <v>Deliver directed malware
(CAPEC-185)</v>
      </c>
      <c r="D40" s="57" t="s">
        <v>129</v>
      </c>
      <c r="E40" s="86" t="str">
        <f>IF(VLOOKUP(Table4[[#This Row],[V ID]],Vulnerabilities[#All],3,FALSE())="No","Not in scope",VLOOKUP(Table4[[#This Row],[V ID]],Vulnerabilities[#All],2,FALSE()))</f>
        <v>Unencrypted data at rest in all possible locations</v>
      </c>
      <c r="F40" s="87" t="s">
        <v>42</v>
      </c>
      <c r="G40" s="88" t="str">
        <f>VLOOKUP(Table4[[#This Row],[A ID]],Assets[#All],3,FALSE())</f>
        <v>Tablet OS/network details &amp; Tablet Application</v>
      </c>
      <c r="H40" s="19" t="s">
        <v>280</v>
      </c>
      <c r="I40" s="19" t="s">
        <v>465</v>
      </c>
      <c r="J40" s="89" t="s">
        <v>267</v>
      </c>
      <c r="K40" s="89" t="s">
        <v>267</v>
      </c>
      <c r="L40" s="89" t="s">
        <v>267</v>
      </c>
      <c r="M40" s="90" t="s">
        <v>275</v>
      </c>
      <c r="N40" s="90" t="s">
        <v>267</v>
      </c>
      <c r="O40" s="90" t="s">
        <v>267</v>
      </c>
      <c r="P40" s="90" t="s">
        <v>274</v>
      </c>
      <c r="Q40" s="90" t="s">
        <v>270</v>
      </c>
      <c r="R4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40" s="91">
        <f>(1 - ((1 - VLOOKUP(Table4[[#This Row],[Confidentiality]],'Reference - CVSSv3.0'!$B$16:$C$18,2,FALSE())) * (1 - VLOOKUP(Table4[[#This Row],[Integrity]],'Reference - CVSSv3.0'!$B$16:$C$18,2,FALSE())) *  (1 - VLOOKUP(Table4[[#This Row],[Availability]],'Reference - CVSSv3.0'!$B$16:$C$18,2,FALSE()))))</f>
        <v>0.52544799999999992</v>
      </c>
      <c r="T40" s="91">
        <f>IF(Table4[[#This Row],[Scope]]="Unchanged",6.42*Table4[[#This Row],[ISC Base]],IF(Table4[[#This Row],[Scope]]="Changed",7.52*(Table4[[#This Row],[ISC Base]] - 0.029) - 3.25 * POWER(Table4[[#This Row],[ISC Base]] - 0.02,15),NA()))</f>
        <v>3.3733761599999994</v>
      </c>
      <c r="U40"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40" s="85" t="s">
        <v>267</v>
      </c>
      <c r="W40" s="91">
        <f>VLOOKUP(Table4[[#This Row],[Threat Event Initiation]],NIST_Scale_LOAI[],2,FALSE())</f>
        <v>0.2</v>
      </c>
      <c r="X4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4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0" s="19" t="s">
        <v>271</v>
      </c>
      <c r="AA40" s="19" t="s">
        <v>282</v>
      </c>
      <c r="AB40" s="19" t="s">
        <v>508</v>
      </c>
      <c r="AC40" s="36"/>
      <c r="AD40" s="36"/>
      <c r="AE40" s="36"/>
      <c r="AF40" s="90"/>
      <c r="AG40" s="90"/>
      <c r="AH40" s="90"/>
      <c r="AI40" s="90"/>
      <c r="AJ40" s="90"/>
      <c r="AK40"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0" s="91" t="e">
        <f>(1 - ((1 - VLOOKUP(Table4[[#This Row],[ConfidentialityP]],'Reference - CVSSv3.0'!$B$16:$C$18,2,FALSE())) * (1 - VLOOKUP(Table4[[#This Row],[IntegrityP]],'Reference - CVSSv3.0'!$B$16:$C$18,2,FALSE())) *  (1 - VLOOKUP(Table4[[#This Row],[AvailabilityP]],'Reference - CVSSv3.0'!$B$16:$C$18,2,FALSE()))))</f>
        <v>#N/A</v>
      </c>
      <c r="AM40" s="91" t="e">
        <f>IF(Table4[[#This Row],[ScopeP]]="Unchanged",6.42*Table4[[#This Row],[ISC BaseP]],IF(Table4[[#This Row],[ScopeP]]="Changed",7.52*(Table4[[#This Row],[ISC BaseP]] - 0.029) - 3.25 * POWER(Table4[[#This Row],[ISC BaseP]] - 0.02,15),NA()))</f>
        <v>#N/A</v>
      </c>
      <c r="AN4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0" s="36"/>
    </row>
    <row r="41" spans="1:43" s="26" customFormat="1" ht="213.75">
      <c r="A41" s="84">
        <v>37</v>
      </c>
      <c r="B41" s="85" t="s">
        <v>178</v>
      </c>
      <c r="C41" s="86" t="str">
        <f>IF(VLOOKUP(Table4[[#This Row],[T ID]],Table5[#All],5,FALSE())="No","Not in scope",VLOOKUP(Table4[[#This Row],[T ID]],Table5[#All],2,FALSE()))</f>
        <v>Deliver directed malware
(CAPEC-185)</v>
      </c>
      <c r="D41" s="57" t="s">
        <v>129</v>
      </c>
      <c r="E41" s="86" t="str">
        <f>IF(VLOOKUP(Table4[[#This Row],[V ID]],Vulnerabilities[#All],3,FALSE())="No","Not in scope",VLOOKUP(Table4[[#This Row],[V ID]],Vulnerabilities[#All],2,FALSE()))</f>
        <v>Unencrypted data at rest in all possible locations</v>
      </c>
      <c r="F41" s="87" t="s">
        <v>71</v>
      </c>
      <c r="G41" s="88" t="str">
        <f>VLOOKUP(Table4[[#This Row],[A ID]],Assets[#All],3,FALSE())</f>
        <v>Smart medic app (Stryker Admin Web Application)</v>
      </c>
      <c r="H41" s="19" t="s">
        <v>280</v>
      </c>
      <c r="I41" s="19" t="s">
        <v>465</v>
      </c>
      <c r="J41" s="89" t="s">
        <v>267</v>
      </c>
      <c r="K41" s="89" t="s">
        <v>267</v>
      </c>
      <c r="L41" s="89" t="s">
        <v>267</v>
      </c>
      <c r="M41" s="90" t="s">
        <v>275</v>
      </c>
      <c r="N41" s="90" t="s">
        <v>267</v>
      </c>
      <c r="O41" s="90" t="s">
        <v>267</v>
      </c>
      <c r="P41" s="90" t="s">
        <v>274</v>
      </c>
      <c r="Q41" s="90" t="s">
        <v>270</v>
      </c>
      <c r="R4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41" s="91">
        <f>(1 - ((1 - VLOOKUP(Table4[[#This Row],[Confidentiality]],'Reference - CVSSv3.0'!$B$16:$C$18,2,FALSE())) * (1 - VLOOKUP(Table4[[#This Row],[Integrity]],'Reference - CVSSv3.0'!$B$16:$C$18,2,FALSE())) *  (1 - VLOOKUP(Table4[[#This Row],[Availability]],'Reference - CVSSv3.0'!$B$16:$C$18,2,FALSE()))))</f>
        <v>0.52544799999999992</v>
      </c>
      <c r="T41" s="91">
        <f>IF(Table4[[#This Row],[Scope]]="Unchanged",6.42*Table4[[#This Row],[ISC Base]],IF(Table4[[#This Row],[Scope]]="Changed",7.52*(Table4[[#This Row],[ISC Base]] - 0.029) - 3.25 * POWER(Table4[[#This Row],[ISC Base]] - 0.02,15),NA()))</f>
        <v>3.3733761599999994</v>
      </c>
      <c r="U41"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41" s="85" t="s">
        <v>267</v>
      </c>
      <c r="W41" s="91">
        <f>VLOOKUP(Table4[[#This Row],[Threat Event Initiation]],NIST_Scale_LOAI[],2,FALSE())</f>
        <v>0.2</v>
      </c>
      <c r="X4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4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1" s="19" t="s">
        <v>283</v>
      </c>
      <c r="AA41" s="19" t="s">
        <v>430</v>
      </c>
      <c r="AB41" s="19" t="s">
        <v>509</v>
      </c>
      <c r="AC41" s="36"/>
      <c r="AD41" s="36"/>
      <c r="AE41" s="36"/>
      <c r="AF41" s="90"/>
      <c r="AG41" s="90"/>
      <c r="AH41" s="90"/>
      <c r="AI41" s="90"/>
      <c r="AJ41" s="90"/>
      <c r="AK41"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1" s="91" t="e">
        <f>(1 - ((1 - VLOOKUP(Table4[[#This Row],[ConfidentialityP]],'Reference - CVSSv3.0'!$B$16:$C$18,2,FALSE())) * (1 - VLOOKUP(Table4[[#This Row],[IntegrityP]],'Reference - CVSSv3.0'!$B$16:$C$18,2,FALSE())) *  (1 - VLOOKUP(Table4[[#This Row],[AvailabilityP]],'Reference - CVSSv3.0'!$B$16:$C$18,2,FALSE()))))</f>
        <v>#N/A</v>
      </c>
      <c r="AM41" s="91" t="e">
        <f>IF(Table4[[#This Row],[ScopeP]]="Unchanged",6.42*Table4[[#This Row],[ISC BaseP]],IF(Table4[[#This Row],[ScopeP]]="Changed",7.52*(Table4[[#This Row],[ISC BaseP]] - 0.029) - 3.25 * POWER(Table4[[#This Row],[ISC BaseP]] - 0.02,15),NA()))</f>
        <v>#N/A</v>
      </c>
      <c r="AN4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1" s="36"/>
    </row>
    <row r="42" spans="1:43" s="26" customFormat="1" ht="213.75">
      <c r="A42" s="84">
        <v>38</v>
      </c>
      <c r="B42" s="85" t="s">
        <v>182</v>
      </c>
      <c r="C42" s="86" t="str">
        <f>IF(VLOOKUP(Table4[[#This Row],[T ID]],Table5[#All],5,FALSE())="No","Not in scope",VLOOKUP(Table4[[#This Row],[T ID]],Table5[#All],2,FALSE()))</f>
        <v>Gaining Access
([S]TRID[E])</v>
      </c>
      <c r="D42" s="57" t="s">
        <v>120</v>
      </c>
      <c r="E42" s="86" t="str">
        <f>IF(VLOOKUP(Table4[[#This Row],[V ID]],Vulnerabilities[#All],3,FALSE())="No","Not in scope",VLOOKUP(Table4[[#This Row],[V ID]],Vulnerabilities[#All],2,FALSE()))</f>
        <v>Unprotected network port(s) on network devices and connection points</v>
      </c>
      <c r="F42" s="87" t="s">
        <v>42</v>
      </c>
      <c r="G42" s="88" t="str">
        <f>VLOOKUP(Table4[[#This Row],[A ID]],Assets[#All],3,FALSE())</f>
        <v>Tablet OS/network details &amp; Tablet Application</v>
      </c>
      <c r="H42" s="19" t="s">
        <v>284</v>
      </c>
      <c r="I42" s="19" t="s">
        <v>465</v>
      </c>
      <c r="J42" s="89" t="s">
        <v>274</v>
      </c>
      <c r="K42" s="89" t="s">
        <v>274</v>
      </c>
      <c r="L42" s="89" t="s">
        <v>267</v>
      </c>
      <c r="M42" s="90" t="s">
        <v>273</v>
      </c>
      <c r="N42" s="90" t="s">
        <v>267</v>
      </c>
      <c r="O42" s="90" t="s">
        <v>267</v>
      </c>
      <c r="P42" s="90" t="s">
        <v>274</v>
      </c>
      <c r="Q42" s="90" t="s">
        <v>270</v>
      </c>
      <c r="R4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2.8352547299999999</v>
      </c>
      <c r="S42" s="91">
        <f>(1 - ((1 - VLOOKUP(Table4[[#This Row],[Confidentiality]],'Reference - CVSSv3.0'!$B$16:$C$18,2,FALSE())) * (1 - VLOOKUP(Table4[[#This Row],[Integrity]],'Reference - CVSSv3.0'!$B$16:$C$18,2,FALSE())) *  (1 - VLOOKUP(Table4[[#This Row],[Availability]],'Reference - CVSSv3.0'!$B$16:$C$18,2,FALSE()))))</f>
        <v>0.21999999999999997</v>
      </c>
      <c r="T42" s="91">
        <f>IF(Table4[[#This Row],[Scope]]="Unchanged",6.42*Table4[[#This Row],[ISC Base]],IF(Table4[[#This Row],[Scope]]="Changed",7.52*(Table4[[#This Row],[ISC Base]] - 0.029) - 3.25 * POWER(Table4[[#This Row],[ISC Base]] - 0.02,15),NA()))</f>
        <v>1.4123999999999999</v>
      </c>
      <c r="U42" s="91">
        <f>IF(Table4[[#This Row],[Impact Sub Score]]&lt;=0,0,IF(Table4[[#This Row],[Scope]]="Unchanged",ROUNDUP(MIN((Table4[[#This Row],[Impact Sub Score]]+Table4[[#This Row],[Exploitability Sub Score]]),10),1),IF(Table4[[#This Row],[Scope]]="Changed",ROUNDUP(MIN((1.08*(Table4[[#This Row],[Impact Sub Score]]+Table4[[#This Row],[Exploitability Sub Score]])),10),1),NA())))</f>
        <v>4.3</v>
      </c>
      <c r="V42" s="85" t="s">
        <v>267</v>
      </c>
      <c r="W42" s="91">
        <f>VLOOKUP(Table4[[#This Row],[Threat Event Initiation]],NIST_Scale_LOAI[],2,FALSE())</f>
        <v>0.2</v>
      </c>
      <c r="X4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v>
      </c>
      <c r="Y4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2" s="19" t="s">
        <v>271</v>
      </c>
      <c r="AA42" s="19" t="s">
        <v>272</v>
      </c>
      <c r="AB42" s="19" t="s">
        <v>510</v>
      </c>
      <c r="AC42" s="36"/>
      <c r="AD42" s="36"/>
      <c r="AE42" s="36"/>
      <c r="AF42" s="90"/>
      <c r="AG42" s="90"/>
      <c r="AH42" s="90"/>
      <c r="AI42" s="90"/>
      <c r="AJ42" s="90"/>
      <c r="AK42"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2" s="91" t="e">
        <f>(1 - ((1 - VLOOKUP(Table4[[#This Row],[ConfidentialityP]],'Reference - CVSSv3.0'!$B$16:$C$18,2,FALSE())) * (1 - VLOOKUP(Table4[[#This Row],[IntegrityP]],'Reference - CVSSv3.0'!$B$16:$C$18,2,FALSE())) *  (1 - VLOOKUP(Table4[[#This Row],[AvailabilityP]],'Reference - CVSSv3.0'!$B$16:$C$18,2,FALSE()))))</f>
        <v>#N/A</v>
      </c>
      <c r="AM42" s="91" t="e">
        <f>IF(Table4[[#This Row],[ScopeP]]="Unchanged",6.42*Table4[[#This Row],[ISC BaseP]],IF(Table4[[#This Row],[ScopeP]]="Changed",7.52*(Table4[[#This Row],[ISC BaseP]] - 0.029) - 3.25 * POWER(Table4[[#This Row],[ISC BaseP]] - 0.02,15),NA()))</f>
        <v>#N/A</v>
      </c>
      <c r="AN4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2" s="36"/>
    </row>
    <row r="43" spans="1:43" s="26" customFormat="1" ht="342">
      <c r="A43" s="84">
        <v>39</v>
      </c>
      <c r="B43" s="85" t="s">
        <v>182</v>
      </c>
      <c r="C43" s="86" t="str">
        <f>IF(VLOOKUP(Table4[[#This Row],[T ID]],Table5[#All],5,FALSE())="No","Not in scope",VLOOKUP(Table4[[#This Row],[T ID]],Table5[#All],2,FALSE()))</f>
        <v>Gaining Access
([S]TRID[E])</v>
      </c>
      <c r="D43" s="57" t="s">
        <v>120</v>
      </c>
      <c r="E43" s="86" t="str">
        <f>IF(VLOOKUP(Table4[[#This Row],[V ID]],Vulnerabilities[#All],3,FALSE())="No","Not in scope",VLOOKUP(Table4[[#This Row],[V ID]],Vulnerabilities[#All],2,FALSE()))</f>
        <v>Unprotected network port(s) on network devices and connection points</v>
      </c>
      <c r="F43" s="87" t="s">
        <v>71</v>
      </c>
      <c r="G43" s="88" t="str">
        <f>VLOOKUP(Table4[[#This Row],[A ID]],Assets[#All],3,FALSE())</f>
        <v>Smart medic app (Stryker Admin Web Application)</v>
      </c>
      <c r="H43" s="19" t="s">
        <v>284</v>
      </c>
      <c r="I43" s="19" t="s">
        <v>465</v>
      </c>
      <c r="J43" s="89" t="s">
        <v>274</v>
      </c>
      <c r="K43" s="89" t="s">
        <v>267</v>
      </c>
      <c r="L43" s="89" t="s">
        <v>276</v>
      </c>
      <c r="M43" s="90" t="s">
        <v>273</v>
      </c>
      <c r="N43" s="90" t="s">
        <v>267</v>
      </c>
      <c r="O43" s="90" t="s">
        <v>276</v>
      </c>
      <c r="P43" s="90" t="s">
        <v>274</v>
      </c>
      <c r="Q43" s="90" t="s">
        <v>270</v>
      </c>
      <c r="R4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1.2347077050000002</v>
      </c>
      <c r="S43" s="91">
        <f>(1 - ((1 - VLOOKUP(Table4[[#This Row],[Confidentiality]],'Reference - CVSSv3.0'!$B$16:$C$18,2,FALSE())) * (1 - VLOOKUP(Table4[[#This Row],[Integrity]],'Reference - CVSSv3.0'!$B$16:$C$18,2,FALSE())) *  (1 - VLOOKUP(Table4[[#This Row],[Availability]],'Reference - CVSSv3.0'!$B$16:$C$18,2,FALSE()))))</f>
        <v>0.65680000000000005</v>
      </c>
      <c r="T43" s="91">
        <f>IF(Table4[[#This Row],[Scope]]="Unchanged",6.42*Table4[[#This Row],[ISC Base]],IF(Table4[[#This Row],[Scope]]="Changed",7.52*(Table4[[#This Row],[ISC Base]] - 0.029) - 3.25 * POWER(Table4[[#This Row],[ISC Base]] - 0.02,15),NA()))</f>
        <v>4.2166560000000004</v>
      </c>
      <c r="U43" s="91">
        <f>IF(Table4[[#This Row],[Impact Sub Score]]&lt;=0,0,IF(Table4[[#This Row],[Scope]]="Unchanged",ROUNDUP(MIN((Table4[[#This Row],[Impact Sub Score]]+Table4[[#This Row],[Exploitability Sub Score]]),10),1),IF(Table4[[#This Row],[Scope]]="Changed",ROUNDUP(MIN((1.08*(Table4[[#This Row],[Impact Sub Score]]+Table4[[#This Row],[Exploitability Sub Score]])),10),1),NA())))</f>
        <v>5.5</v>
      </c>
      <c r="V43" s="85" t="s">
        <v>267</v>
      </c>
      <c r="W43" s="91">
        <f>VLOOKUP(Table4[[#This Row],[Threat Event Initiation]],NIST_Scale_LOAI[],2,FALSE())</f>
        <v>0.2</v>
      </c>
      <c r="X4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4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3" s="19" t="s">
        <v>424</v>
      </c>
      <c r="AA43" s="19" t="s">
        <v>445</v>
      </c>
      <c r="AB43" s="19" t="s">
        <v>511</v>
      </c>
      <c r="AC43" s="36"/>
      <c r="AD43" s="36"/>
      <c r="AE43" s="36"/>
      <c r="AF43" s="90"/>
      <c r="AG43" s="90"/>
      <c r="AH43" s="90"/>
      <c r="AI43" s="90"/>
      <c r="AJ43" s="90"/>
      <c r="AK43"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3" s="91" t="e">
        <f>(1 - ((1 - VLOOKUP(Table4[[#This Row],[ConfidentialityP]],'Reference - CVSSv3.0'!$B$16:$C$18,2,FALSE())) * (1 - VLOOKUP(Table4[[#This Row],[IntegrityP]],'Reference - CVSSv3.0'!$B$16:$C$18,2,FALSE())) *  (1 - VLOOKUP(Table4[[#This Row],[AvailabilityP]],'Reference - CVSSv3.0'!$B$16:$C$18,2,FALSE()))))</f>
        <v>#N/A</v>
      </c>
      <c r="AM43" s="91" t="e">
        <f>IF(Table4[[#This Row],[ScopeP]]="Unchanged",6.42*Table4[[#This Row],[ISC BaseP]],IF(Table4[[#This Row],[ScopeP]]="Changed",7.52*(Table4[[#This Row],[ISC BaseP]] - 0.029) - 3.25 * POWER(Table4[[#This Row],[ISC BaseP]] - 0.02,15),NA()))</f>
        <v>#N/A</v>
      </c>
      <c r="AN4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3" s="36"/>
    </row>
    <row r="44" spans="1:43" s="26" customFormat="1" ht="213.75">
      <c r="A44" s="84">
        <v>40</v>
      </c>
      <c r="B44" s="85" t="s">
        <v>182</v>
      </c>
      <c r="C44" s="86" t="str">
        <f>IF(VLOOKUP(Table4[[#This Row],[T ID]],Table5[#All],5,FALSE())="No","Not in scope",VLOOKUP(Table4[[#This Row],[T ID]],Table5[#All],2,FALSE()))</f>
        <v>Gaining Access
([S]TRID[E])</v>
      </c>
      <c r="D44" s="57" t="s">
        <v>120</v>
      </c>
      <c r="E44" s="86" t="str">
        <f>IF(VLOOKUP(Table4[[#This Row],[V ID]],Vulnerabilities[#All],3,FALSE())="No","Not in scope",VLOOKUP(Table4[[#This Row],[V ID]],Vulnerabilities[#All],2,FALSE()))</f>
        <v>Unprotected network port(s) on network devices and connection points</v>
      </c>
      <c r="F44" s="87" t="s">
        <v>38</v>
      </c>
      <c r="G44" s="88" t="str">
        <f>VLOOKUP(Table4[[#This Row],[A ID]],Assets[#All],3,FALSE())</f>
        <v>Tablet Resources - web cam, microphone, OTG devices, Removable USB, Tablet Application, Network interfaces (Bluetooth, Wifi)</v>
      </c>
      <c r="H44" s="19" t="s">
        <v>284</v>
      </c>
      <c r="I44" s="19" t="s">
        <v>465</v>
      </c>
      <c r="J44" s="89" t="s">
        <v>274</v>
      </c>
      <c r="K44" s="89" t="s">
        <v>267</v>
      </c>
      <c r="L44" s="89" t="s">
        <v>274</v>
      </c>
      <c r="M44" s="90" t="s">
        <v>273</v>
      </c>
      <c r="N44" s="90" t="s">
        <v>267</v>
      </c>
      <c r="O44" s="90" t="s">
        <v>267</v>
      </c>
      <c r="P44" s="90" t="s">
        <v>274</v>
      </c>
      <c r="Q44" s="90" t="s">
        <v>270</v>
      </c>
      <c r="R44" s="91">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2.8352547299999999</v>
      </c>
      <c r="S44" s="91">
        <f>(1 - ((1 - VLOOKUP(Table4[[#This Row],[Confidentiality]],'Reference - CVSSv3.0'!$B$16:$C$18,2,FALSE())) * (1 - VLOOKUP(Table4[[#This Row],[Integrity]],'Reference - CVSSv3.0'!$B$16:$C$18,2,FALSE())) *  (1 - VLOOKUP(Table4[[#This Row],[Availability]],'Reference - CVSSv3.0'!$B$16:$C$18,2,FALSE()))))</f>
        <v>0.21999999999999997</v>
      </c>
      <c r="T44" s="91">
        <f>IF(Table4[[#This Row],[Scope]]="Unchanged",6.42*Table4[[#This Row],[ISC Base]],IF(Table4[[#This Row],[Scope]]="Changed",7.52*(Table4[[#This Row],[ISC Base]] - 0.029) - 3.25 * POWER(Table4[[#This Row],[ISC Base]] - 0.02,15),NA()))</f>
        <v>1.4123999999999999</v>
      </c>
      <c r="U44" s="91">
        <f>IF(Table4[[#This Row],[Impact Sub Score]]&lt;=0,0,IF(Table4[[#This Row],[Scope]]="Unchanged",ROUNDUP(MIN((Table4[[#This Row],[Impact Sub Score]]+Table4[[#This Row],[Exploitability Sub Score]]),10),1),IF(Table4[[#This Row],[Scope]]="Changed",ROUNDUP(MIN((1.08*(Table4[[#This Row],[Impact Sub Score]]+Table4[[#This Row],[Exploitability Sub Score]])),10),1),NA())))</f>
        <v>4.3</v>
      </c>
      <c r="V44" s="85" t="s">
        <v>267</v>
      </c>
      <c r="W44" s="92">
        <f>VLOOKUP(Table4[[#This Row],[Threat Event Initiation]],NIST_Scale_LOAI[],2,FALSE())</f>
        <v>0.2</v>
      </c>
      <c r="X4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v>
      </c>
      <c r="Y44" s="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4" s="19" t="s">
        <v>271</v>
      </c>
      <c r="AA44" s="19" t="s">
        <v>272</v>
      </c>
      <c r="AB44" s="19" t="s">
        <v>512</v>
      </c>
      <c r="AC44" s="89"/>
      <c r="AD44" s="89"/>
      <c r="AE44" s="89"/>
      <c r="AF44" s="90"/>
      <c r="AG44" s="90"/>
      <c r="AH44" s="90"/>
      <c r="AI44" s="90"/>
      <c r="AJ44" s="90"/>
      <c r="AK4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4" s="91" t="e">
        <f>(1 - ((1 - VLOOKUP(Table4[[#This Row],[ConfidentialityP]],'Reference - CVSSv3.0'!$B$16:$C$18,2,FALSE())) * (1 - VLOOKUP(Table4[[#This Row],[IntegrityP]],'Reference - CVSSv3.0'!$B$16:$C$18,2,FALSE())) *  (1 - VLOOKUP(Table4[[#This Row],[AvailabilityP]],'Reference - CVSSv3.0'!$B$16:$C$18,2,FALSE()))))</f>
        <v>#N/A</v>
      </c>
      <c r="AM44" s="91" t="e">
        <f>IF(Table4[[#This Row],[ScopeP]]="Unchanged",6.42*Table4[[#This Row],[ISC BaseP]],IF(Table4[[#This Row],[ScopeP]]="Changed",7.52*(Table4[[#This Row],[ISC BaseP]] - 0.029) - 3.25 * POWER(Table4[[#This Row],[ISC BaseP]] - 0.02,15),NA()))</f>
        <v>#N/A</v>
      </c>
      <c r="AN4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4" s="36"/>
    </row>
    <row r="45" spans="1:43" s="26" customFormat="1" ht="370.5">
      <c r="A45" s="84">
        <v>41</v>
      </c>
      <c r="B45" s="85" t="s">
        <v>182</v>
      </c>
      <c r="C45" s="86" t="str">
        <f>IF(VLOOKUP(Table4[[#This Row],[T ID]],Table5[#All],5,FALSE())="No","Not in scope",VLOOKUP(Table4[[#This Row],[T ID]],Table5[#All],2,FALSE()))</f>
        <v>Gaining Access
([S]TRID[E])</v>
      </c>
      <c r="D45" s="57" t="s">
        <v>94</v>
      </c>
      <c r="E45" s="86" t="str">
        <f>IF(VLOOKUP(Table4[[#This Row],[V ID]],Vulnerabilities[#All],3,FALSE())="No","Not in scope",VLOOKUP(Table4[[#This Row],[V ID]],Vulnerabilities[#All],2,FALSE()))</f>
        <v>Devices with default passwords needs to be checked for bruteforce attacks</v>
      </c>
      <c r="F45" s="87" t="s">
        <v>50</v>
      </c>
      <c r="G45" s="88" t="str">
        <f>VLOOKUP(Table4[[#This Row],[A ID]],Assets[#All],3,FALSE())</f>
        <v>Authentication/Authorisation method of all device(s)/app</v>
      </c>
      <c r="H45" s="19" t="s">
        <v>284</v>
      </c>
      <c r="I45" s="19" t="s">
        <v>465</v>
      </c>
      <c r="J45" s="89" t="s">
        <v>267</v>
      </c>
      <c r="K45" s="89" t="s">
        <v>274</v>
      </c>
      <c r="L45" s="89" t="s">
        <v>276</v>
      </c>
      <c r="M45" s="90" t="s">
        <v>268</v>
      </c>
      <c r="N45" s="90" t="s">
        <v>267</v>
      </c>
      <c r="O45" s="90" t="s">
        <v>267</v>
      </c>
      <c r="P45" s="90" t="s">
        <v>274</v>
      </c>
      <c r="Q45" s="90" t="s">
        <v>270</v>
      </c>
      <c r="R45" s="91">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45" s="91">
        <f>(1 - ((1 - VLOOKUP(Table4[[#This Row],[Confidentiality]],'Reference - CVSSv3.0'!$B$16:$C$18,2,FALSE())) * (1 - VLOOKUP(Table4[[#This Row],[Integrity]],'Reference - CVSSv3.0'!$B$16:$C$18,2,FALSE())) *  (1 - VLOOKUP(Table4[[#This Row],[Availability]],'Reference - CVSSv3.0'!$B$16:$C$18,2,FALSE()))))</f>
        <v>0.65680000000000005</v>
      </c>
      <c r="T45" s="91">
        <f>IF(Table4[[#This Row],[Scope]]="Unchanged",6.42*Table4[[#This Row],[ISC Base]],IF(Table4[[#This Row],[Scope]]="Changed",7.52*(Table4[[#This Row],[ISC Base]] - 0.029) - 3.25 * POWER(Table4[[#This Row],[ISC Base]] - 0.02,15),NA()))</f>
        <v>4.2166560000000004</v>
      </c>
      <c r="U45"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45" s="85" t="s">
        <v>277</v>
      </c>
      <c r="W45" s="92">
        <f>VLOOKUP(Table4[[#This Row],[Threat Event Initiation]],NIST_Scale_LOAI[],2,FALSE())</f>
        <v>0.5</v>
      </c>
      <c r="X4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5" s="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5" s="19" t="s">
        <v>285</v>
      </c>
      <c r="AA45" s="19" t="s">
        <v>457</v>
      </c>
      <c r="AB45" s="19" t="s">
        <v>513</v>
      </c>
      <c r="AC45" s="89"/>
      <c r="AD45" s="89"/>
      <c r="AE45" s="89"/>
      <c r="AF45" s="90"/>
      <c r="AG45" s="90"/>
      <c r="AH45" s="90"/>
      <c r="AI45" s="90"/>
      <c r="AJ45" s="90"/>
      <c r="AK45"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5" s="91" t="e">
        <f>(1 - ((1 - VLOOKUP(Table4[[#This Row],[ConfidentialityP]],'Reference - CVSSv3.0'!$B$16:$C$18,2,FALSE())) * (1 - VLOOKUP(Table4[[#This Row],[IntegrityP]],'Reference - CVSSv3.0'!$B$16:$C$18,2,FALSE())) *  (1 - VLOOKUP(Table4[[#This Row],[AvailabilityP]],'Reference - CVSSv3.0'!$B$16:$C$18,2,FALSE()))))</f>
        <v>#N/A</v>
      </c>
      <c r="AM45" s="91" t="e">
        <f>IF(Table4[[#This Row],[ScopeP]]="Unchanged",6.42*Table4[[#This Row],[ISC BaseP]],IF(Table4[[#This Row],[ScopeP]]="Changed",7.52*(Table4[[#This Row],[ISC BaseP]] - 0.029) - 3.25 * POWER(Table4[[#This Row],[ISC BaseP]] - 0.02,15),NA()))</f>
        <v>#N/A</v>
      </c>
      <c r="AN4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5" s="36"/>
    </row>
    <row r="46" spans="1:43" s="26" customFormat="1" ht="327.75">
      <c r="A46" s="84">
        <v>42</v>
      </c>
      <c r="B46" s="85" t="s">
        <v>182</v>
      </c>
      <c r="C46" s="86" t="str">
        <f>IF(VLOOKUP(Table4[[#This Row],[T ID]],Table5[#All],5,FALSE())="No","Not in scope",VLOOKUP(Table4[[#This Row],[T ID]],Table5[#All],2,FALSE()))</f>
        <v>Gaining Access
([S]TRID[E])</v>
      </c>
      <c r="D46" s="57" t="s">
        <v>94</v>
      </c>
      <c r="E46" s="86" t="str">
        <f>IF(VLOOKUP(Table4[[#This Row],[V ID]],Vulnerabilities[#All],3,FALSE())="No","Not in scope",VLOOKUP(Table4[[#This Row],[V ID]],Vulnerabilities[#All],2,FALSE()))</f>
        <v>Devices with default passwords needs to be checked for bruteforce attacks</v>
      </c>
      <c r="F46" s="87" t="s">
        <v>59</v>
      </c>
      <c r="G46" s="88" t="str">
        <f>VLOOKUP(Table4[[#This Row],[A ID]],Assets[#All],3,FALSE())</f>
        <v>Interface/API Communication</v>
      </c>
      <c r="H46" s="19" t="s">
        <v>284</v>
      </c>
      <c r="I46" s="19" t="s">
        <v>465</v>
      </c>
      <c r="J46" s="89" t="s">
        <v>267</v>
      </c>
      <c r="K46" s="89" t="s">
        <v>274</v>
      </c>
      <c r="L46" s="89" t="s">
        <v>267</v>
      </c>
      <c r="M46" s="90" t="s">
        <v>268</v>
      </c>
      <c r="N46" s="90" t="s">
        <v>267</v>
      </c>
      <c r="O46" s="90" t="s">
        <v>267</v>
      </c>
      <c r="P46" s="90" t="s">
        <v>274</v>
      </c>
      <c r="Q46" s="90" t="s">
        <v>270</v>
      </c>
      <c r="R4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46" s="91">
        <f>(1 - ((1 - VLOOKUP(Table4[[#This Row],[Confidentiality]],'Reference - CVSSv3.0'!$B$16:$C$18,2,FALSE())) * (1 - VLOOKUP(Table4[[#This Row],[Integrity]],'Reference - CVSSv3.0'!$B$16:$C$18,2,FALSE())) *  (1 - VLOOKUP(Table4[[#This Row],[Availability]],'Reference - CVSSv3.0'!$B$16:$C$18,2,FALSE()))))</f>
        <v>0.39159999999999995</v>
      </c>
      <c r="T46" s="91">
        <f>IF(Table4[[#This Row],[Scope]]="Unchanged",6.42*Table4[[#This Row],[ISC Base]],IF(Table4[[#This Row],[Scope]]="Changed",7.52*(Table4[[#This Row],[ISC Base]] - 0.029) - 3.25 * POWER(Table4[[#This Row],[ISC Base]] - 0.02,15),NA()))</f>
        <v>2.5140719999999996</v>
      </c>
      <c r="U46" s="91">
        <f>IF(Table4[[#This Row],[Impact Sub Score]]&lt;=0,0,IF(Table4[[#This Row],[Scope]]="Unchanged",ROUNDUP(MIN((Table4[[#This Row],[Impact Sub Score]]+Table4[[#This Row],[Exploitability Sub Score]]),10),1),IF(Table4[[#This Row],[Scope]]="Changed",ROUNDUP(MIN((1.08*(Table4[[#This Row],[Impact Sub Score]]+Table4[[#This Row],[Exploitability Sub Score]])),10),1),NA())))</f>
        <v>3.2</v>
      </c>
      <c r="V46" s="85" t="s">
        <v>267</v>
      </c>
      <c r="W46" s="91">
        <f>VLOOKUP(Table4[[#This Row],[Threat Event Initiation]],NIST_Scale_LOAI[],2,FALSE())</f>
        <v>0.2</v>
      </c>
      <c r="X4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2.7</v>
      </c>
      <c r="Y4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6" s="19" t="s">
        <v>286</v>
      </c>
      <c r="AA46" s="19" t="s">
        <v>449</v>
      </c>
      <c r="AB46" s="19" t="s">
        <v>514</v>
      </c>
      <c r="AC46" s="36"/>
      <c r="AD46" s="36"/>
      <c r="AE46" s="36"/>
      <c r="AF46" s="90"/>
      <c r="AG46" s="90"/>
      <c r="AH46" s="90"/>
      <c r="AI46" s="90"/>
      <c r="AJ46" s="90"/>
      <c r="AK46"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6" s="91" t="e">
        <f>(1 - ((1 - VLOOKUP(Table4[[#This Row],[ConfidentialityP]],'Reference - CVSSv3.0'!$B$16:$C$18,2,FALSE())) * (1 - VLOOKUP(Table4[[#This Row],[IntegrityP]],'Reference - CVSSv3.0'!$B$16:$C$18,2,FALSE())) *  (1 - VLOOKUP(Table4[[#This Row],[AvailabilityP]],'Reference - CVSSv3.0'!$B$16:$C$18,2,FALSE()))))</f>
        <v>#N/A</v>
      </c>
      <c r="AM46" s="91" t="e">
        <f>IF(Table4[[#This Row],[ScopeP]]="Unchanged",6.42*Table4[[#This Row],[ISC BaseP]],IF(Table4[[#This Row],[ScopeP]]="Changed",7.52*(Table4[[#This Row],[ISC BaseP]] - 0.029) - 3.25 * POWER(Table4[[#This Row],[ISC BaseP]] - 0.02,15),NA()))</f>
        <v>#N/A</v>
      </c>
      <c r="AN4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6" s="36"/>
    </row>
    <row r="47" spans="1:43" ht="408" customHeight="1">
      <c r="A47" s="84">
        <v>43</v>
      </c>
      <c r="B47" s="85" t="s">
        <v>182</v>
      </c>
      <c r="C47" s="86" t="str">
        <f>IF(VLOOKUP(Table4[[#This Row],[T ID]],Table5[#All],5,FALSE())="No","Not in scope",VLOOKUP(Table4[[#This Row],[T ID]],Table5[#All],2,FALSE()))</f>
        <v>Gaining Access
([S]TRID[E])</v>
      </c>
      <c r="D47" s="57" t="s">
        <v>100</v>
      </c>
      <c r="E47" s="86" t="str">
        <f>IF(VLOOKUP(Table4[[#This Row],[V ID]],Vulnerabilities[#All],3,FALSE())="No","Not in scope",VLOOKUP(Table4[[#This Row],[V ID]],Vulnerabilities[#All],2,FALSE()))</f>
        <v>The password complexity or location vulnerability. Like weak passwords and hardcoded passwords.</v>
      </c>
      <c r="F47" s="87" t="s">
        <v>50</v>
      </c>
      <c r="G47" s="88" t="str">
        <f>VLOOKUP(Table4[[#This Row],[A ID]],Assets[#All],3,FALSE())</f>
        <v>Authentication/Authorisation method of all device(s)/app</v>
      </c>
      <c r="H47" s="19" t="s">
        <v>284</v>
      </c>
      <c r="I47" s="19" t="s">
        <v>465</v>
      </c>
      <c r="J47" s="89" t="s">
        <v>267</v>
      </c>
      <c r="K47" s="89" t="s">
        <v>274</v>
      </c>
      <c r="L47" s="89" t="s">
        <v>276</v>
      </c>
      <c r="M47" s="90" t="s">
        <v>275</v>
      </c>
      <c r="N47" s="90" t="s">
        <v>267</v>
      </c>
      <c r="O47" s="90" t="s">
        <v>267</v>
      </c>
      <c r="P47" s="90" t="s">
        <v>269</v>
      </c>
      <c r="Q47" s="90" t="s">
        <v>270</v>
      </c>
      <c r="R4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1.3381617480000001</v>
      </c>
      <c r="S47" s="91">
        <f>(1 - ((1 - VLOOKUP(Table4[[#This Row],[Confidentiality]],'Reference - CVSSv3.0'!$B$16:$C$18,2,FALSE())) * (1 - VLOOKUP(Table4[[#This Row],[Integrity]],'Reference - CVSSv3.0'!$B$16:$C$18,2,FALSE())) *  (1 - VLOOKUP(Table4[[#This Row],[Availability]],'Reference - CVSSv3.0'!$B$16:$C$18,2,FALSE()))))</f>
        <v>0.65680000000000005</v>
      </c>
      <c r="T47" s="91">
        <f>IF(Table4[[#This Row],[Scope]]="Unchanged",6.42*Table4[[#This Row],[ISC Base]],IF(Table4[[#This Row],[Scope]]="Changed",7.52*(Table4[[#This Row],[ISC Base]] - 0.029) - 3.25 * POWER(Table4[[#This Row],[ISC Base]] - 0.02,15),NA()))</f>
        <v>4.2166560000000004</v>
      </c>
      <c r="U47" s="91">
        <f>IF(Table4[[#This Row],[Impact Sub Score]]&lt;=0,0,IF(Table4[[#This Row],[Scope]]="Unchanged",ROUNDUP(MIN((Table4[[#This Row],[Impact Sub Score]]+Table4[[#This Row],[Exploitability Sub Score]]),10),1),IF(Table4[[#This Row],[Scope]]="Changed",ROUNDUP(MIN((1.08*(Table4[[#This Row],[Impact Sub Score]]+Table4[[#This Row],[Exploitability Sub Score]])),10),1),NA())))</f>
        <v>5.6</v>
      </c>
      <c r="V47" s="85" t="s">
        <v>267</v>
      </c>
      <c r="W47" s="91">
        <f>VLOOKUP(Table4[[#This Row],[Threat Event Initiation]],NIST_Scale_LOAI[],2,FALSE())</f>
        <v>0.2</v>
      </c>
      <c r="X4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4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7" s="19" t="s">
        <v>287</v>
      </c>
      <c r="AA47" s="19" t="s">
        <v>450</v>
      </c>
      <c r="AB47" s="19" t="s">
        <v>515</v>
      </c>
      <c r="AC47" s="36"/>
      <c r="AD47" s="36"/>
      <c r="AE47" s="36"/>
      <c r="AF47" s="90"/>
      <c r="AG47" s="90"/>
      <c r="AH47" s="90"/>
      <c r="AI47" s="90"/>
      <c r="AJ47" s="90"/>
      <c r="AK47"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7" s="91" t="e">
        <f>(1 - ((1 - VLOOKUP(Table4[[#This Row],[ConfidentialityP]],'Reference - CVSSv3.0'!$B$16:$C$18,2,FALSE())) * (1 - VLOOKUP(Table4[[#This Row],[IntegrityP]],'Reference - CVSSv3.0'!$B$16:$C$18,2,FALSE())) *  (1 - VLOOKUP(Table4[[#This Row],[AvailabilityP]],'Reference - CVSSv3.0'!$B$16:$C$18,2,FALSE()))))</f>
        <v>#N/A</v>
      </c>
      <c r="AM47" s="91" t="e">
        <f>IF(Table4[[#This Row],[ScopeP]]="Unchanged",6.42*Table4[[#This Row],[ISC BaseP]],IF(Table4[[#This Row],[ScopeP]]="Changed",7.52*(Table4[[#This Row],[ISC BaseP]] - 0.029) - 3.25 * POWER(Table4[[#This Row],[ISC BaseP]] - 0.02,15),NA()))</f>
        <v>#N/A</v>
      </c>
      <c r="AN4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7" s="36"/>
    </row>
    <row r="48" spans="1:43" ht="409.5" customHeight="1">
      <c r="A48" s="84">
        <v>44</v>
      </c>
      <c r="B48" s="85" t="s">
        <v>182</v>
      </c>
      <c r="C48" s="86" t="str">
        <f>IF(VLOOKUP(Table4[[#This Row],[T ID]],Table5[#All],5,FALSE())="No","Not in scope",VLOOKUP(Table4[[#This Row],[T ID]],Table5[#All],2,FALSE()))</f>
        <v>Gaining Access
([S]TRID[E])</v>
      </c>
      <c r="D48" s="57" t="s">
        <v>102</v>
      </c>
      <c r="E48" s="86" t="str">
        <f>IF(VLOOKUP(Table4[[#This Row],[V ID]],Vulnerabilities[#All],3,FALSE())="No","Not in scope",VLOOKUP(Table4[[#This Row],[V ID]],Vulnerabilities[#All],2,FALSE()))</f>
        <v>Checking authentication modes for possible hacks and bypasses</v>
      </c>
      <c r="F48" s="87" t="s">
        <v>50</v>
      </c>
      <c r="G48" s="88" t="str">
        <f>VLOOKUP(Table4[[#This Row],[A ID]],Assets[#All],3,FALSE())</f>
        <v>Authentication/Authorisation method of all device(s)/app</v>
      </c>
      <c r="H48" s="19" t="s">
        <v>284</v>
      </c>
      <c r="I48" s="19" t="s">
        <v>465</v>
      </c>
      <c r="J48" s="89" t="s">
        <v>267</v>
      </c>
      <c r="K48" s="89" t="s">
        <v>267</v>
      </c>
      <c r="L48" s="89" t="s">
        <v>267</v>
      </c>
      <c r="M48" s="90" t="s">
        <v>268</v>
      </c>
      <c r="N48" s="90" t="s">
        <v>267</v>
      </c>
      <c r="O48" s="90" t="s">
        <v>267</v>
      </c>
      <c r="P48" s="90" t="s">
        <v>274</v>
      </c>
      <c r="Q48" s="90" t="s">
        <v>270</v>
      </c>
      <c r="R4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48" s="91">
        <f>(1 - ((1 - VLOOKUP(Table4[[#This Row],[Confidentiality]],'Reference - CVSSv3.0'!$B$16:$C$18,2,FALSE())) * (1 - VLOOKUP(Table4[[#This Row],[Integrity]],'Reference - CVSSv3.0'!$B$16:$C$18,2,FALSE())) *  (1 - VLOOKUP(Table4[[#This Row],[Availability]],'Reference - CVSSv3.0'!$B$16:$C$18,2,FALSE()))))</f>
        <v>0.52544799999999992</v>
      </c>
      <c r="T48" s="91">
        <f>IF(Table4[[#This Row],[Scope]]="Unchanged",6.42*Table4[[#This Row],[ISC Base]],IF(Table4[[#This Row],[Scope]]="Changed",7.52*(Table4[[#This Row],[ISC Base]] - 0.029) - 3.25 * POWER(Table4[[#This Row],[ISC Base]] - 0.02,15),NA()))</f>
        <v>3.3733761599999994</v>
      </c>
      <c r="U48"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48" s="85" t="s">
        <v>267</v>
      </c>
      <c r="W48" s="91">
        <f>VLOOKUP(Table4[[#This Row],[Threat Event Initiation]],NIST_Scale_LOAI[],2,FALSE())</f>
        <v>0.2</v>
      </c>
      <c r="X4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4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8" s="19" t="s">
        <v>289</v>
      </c>
      <c r="AA48" s="19" t="s">
        <v>425</v>
      </c>
      <c r="AB48" s="19" t="s">
        <v>516</v>
      </c>
      <c r="AC48" s="36"/>
      <c r="AD48" s="36"/>
      <c r="AE48" s="36"/>
      <c r="AF48" s="90"/>
      <c r="AG48" s="90"/>
      <c r="AH48" s="90"/>
      <c r="AI48" s="90"/>
      <c r="AJ48" s="90"/>
      <c r="AK48"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8" s="91" t="e">
        <f>(1 - ((1 - VLOOKUP(Table4[[#This Row],[ConfidentialityP]],'Reference - CVSSv3.0'!$B$16:$C$18,2,FALSE())) * (1 - VLOOKUP(Table4[[#This Row],[IntegrityP]],'Reference - CVSSv3.0'!$B$16:$C$18,2,FALSE())) *  (1 - VLOOKUP(Table4[[#This Row],[AvailabilityP]],'Reference - CVSSv3.0'!$B$16:$C$18,2,FALSE()))))</f>
        <v>#N/A</v>
      </c>
      <c r="AM48" s="91" t="e">
        <f>IF(Table4[[#This Row],[ScopeP]]="Unchanged",6.42*Table4[[#This Row],[ISC BaseP]],IF(Table4[[#This Row],[ScopeP]]="Changed",7.52*(Table4[[#This Row],[ISC BaseP]] - 0.029) - 3.25 * POWER(Table4[[#This Row],[ISC BaseP]] - 0.02,15),NA()))</f>
        <v>#N/A</v>
      </c>
      <c r="AN4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8" s="36"/>
    </row>
    <row r="49" spans="1:43" ht="370.5" customHeight="1">
      <c r="A49" s="84">
        <v>45</v>
      </c>
      <c r="B49" s="85" t="s">
        <v>182</v>
      </c>
      <c r="C49" s="86" t="str">
        <f>IF(VLOOKUP(Table4[[#This Row],[T ID]],Table5[#All],5,FALSE())="No","Not in scope",VLOOKUP(Table4[[#This Row],[T ID]],Table5[#All],2,FALSE()))</f>
        <v>Gaining Access
([S]TRID[E])</v>
      </c>
      <c r="D49" s="57" t="s">
        <v>102</v>
      </c>
      <c r="E49" s="86" t="str">
        <f>IF(VLOOKUP(Table4[[#This Row],[V ID]],Vulnerabilities[#All],3,FALSE())="No","Not in scope",VLOOKUP(Table4[[#This Row],[V ID]],Vulnerabilities[#All],2,FALSE()))</f>
        <v>Checking authentication modes for possible hacks and bypasses</v>
      </c>
      <c r="F49" s="87" t="s">
        <v>71</v>
      </c>
      <c r="G49" s="88" t="str">
        <f>VLOOKUP(Table4[[#This Row],[A ID]],Assets[#All],3,FALSE())</f>
        <v>Smart medic app (Stryker Admin Web Application)</v>
      </c>
      <c r="H49" s="19" t="s">
        <v>284</v>
      </c>
      <c r="I49" s="19" t="s">
        <v>465</v>
      </c>
      <c r="J49" s="89" t="s">
        <v>267</v>
      </c>
      <c r="K49" s="89" t="s">
        <v>267</v>
      </c>
      <c r="L49" s="89" t="s">
        <v>267</v>
      </c>
      <c r="M49" s="90" t="s">
        <v>268</v>
      </c>
      <c r="N49" s="90" t="s">
        <v>267</v>
      </c>
      <c r="O49" s="90" t="s">
        <v>267</v>
      </c>
      <c r="P49" s="90" t="s">
        <v>274</v>
      </c>
      <c r="Q49" s="90" t="s">
        <v>270</v>
      </c>
      <c r="R49"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49" s="91">
        <f>(1 - ((1 - VLOOKUP(Table4[[#This Row],[Confidentiality]],'Reference - CVSSv3.0'!$B$16:$C$18,2,FALSE())) * (1 - VLOOKUP(Table4[[#This Row],[Integrity]],'Reference - CVSSv3.0'!$B$16:$C$18,2,FALSE())) *  (1 - VLOOKUP(Table4[[#This Row],[Availability]],'Reference - CVSSv3.0'!$B$16:$C$18,2,FALSE()))))</f>
        <v>0.52544799999999992</v>
      </c>
      <c r="T49" s="91">
        <f>IF(Table4[[#This Row],[Scope]]="Unchanged",6.42*Table4[[#This Row],[ISC Base]],IF(Table4[[#This Row],[Scope]]="Changed",7.52*(Table4[[#This Row],[ISC Base]] - 0.029) - 3.25 * POWER(Table4[[#This Row],[ISC Base]] - 0.02,15),NA()))</f>
        <v>3.3733761599999994</v>
      </c>
      <c r="U49"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49" s="85" t="s">
        <v>267</v>
      </c>
      <c r="W49" s="91">
        <f>VLOOKUP(Table4[[#This Row],[Threat Event Initiation]],NIST_Scale_LOAI[],2,FALSE())</f>
        <v>0.2</v>
      </c>
      <c r="X4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4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9" s="19" t="s">
        <v>288</v>
      </c>
      <c r="AA49" s="19" t="s">
        <v>426</v>
      </c>
      <c r="AB49" s="19" t="s">
        <v>517</v>
      </c>
      <c r="AC49" s="36"/>
      <c r="AD49" s="36"/>
      <c r="AE49" s="36"/>
      <c r="AF49" s="90"/>
      <c r="AG49" s="90"/>
      <c r="AH49" s="90"/>
      <c r="AI49" s="90"/>
      <c r="AJ49" s="90"/>
      <c r="AK49"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9" s="91" t="e">
        <f>(1 - ((1 - VLOOKUP(Table4[[#This Row],[ConfidentialityP]],'Reference - CVSSv3.0'!$B$16:$C$18,2,FALSE())) * (1 - VLOOKUP(Table4[[#This Row],[IntegrityP]],'Reference - CVSSv3.0'!$B$16:$C$18,2,FALSE())) *  (1 - VLOOKUP(Table4[[#This Row],[AvailabilityP]],'Reference - CVSSv3.0'!$B$16:$C$18,2,FALSE()))))</f>
        <v>#N/A</v>
      </c>
      <c r="AM49" s="91" t="e">
        <f>IF(Table4[[#This Row],[ScopeP]]="Unchanged",6.42*Table4[[#This Row],[ISC BaseP]],IF(Table4[[#This Row],[ScopeP]]="Changed",7.52*(Table4[[#This Row],[ISC BaseP]] - 0.029) - 3.25 * POWER(Table4[[#This Row],[ISC BaseP]] - 0.02,15),NA()))</f>
        <v>#N/A</v>
      </c>
      <c r="AN4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9" s="36"/>
    </row>
    <row r="50" spans="1:43" ht="213.75" customHeight="1">
      <c r="A50" s="84">
        <v>46</v>
      </c>
      <c r="B50" s="85" t="s">
        <v>182</v>
      </c>
      <c r="C50" s="86" t="str">
        <f>IF(VLOOKUP(Table4[[#This Row],[T ID]],Table5[#All],5,FALSE())="No","Not in scope",VLOOKUP(Table4[[#This Row],[T ID]],Table5[#All],2,FALSE()))</f>
        <v>Gaining Access
([S]TRID[E])</v>
      </c>
      <c r="D50" s="57" t="s">
        <v>102</v>
      </c>
      <c r="E50" s="86" t="str">
        <f>IF(VLOOKUP(Table4[[#This Row],[V ID]],Vulnerabilities[#All],3,FALSE())="No","Not in scope",VLOOKUP(Table4[[#This Row],[V ID]],Vulnerabilities[#All],2,FALSE()))</f>
        <v>Checking authentication modes for possible hacks and bypasses</v>
      </c>
      <c r="F50" s="87" t="s">
        <v>74</v>
      </c>
      <c r="G50" s="88" t="str">
        <f>VLOOKUP(Table4[[#This Row],[A ID]],Assets[#All],3,FALSE())</f>
        <v>Smart medic app (Azure Portal Administrator)</v>
      </c>
      <c r="H50" s="19" t="s">
        <v>284</v>
      </c>
      <c r="I50" s="19" t="s">
        <v>465</v>
      </c>
      <c r="J50" s="89" t="s">
        <v>267</v>
      </c>
      <c r="K50" s="89" t="s">
        <v>267</v>
      </c>
      <c r="L50" s="89" t="s">
        <v>267</v>
      </c>
      <c r="M50" s="90" t="s">
        <v>268</v>
      </c>
      <c r="N50" s="90" t="s">
        <v>267</v>
      </c>
      <c r="O50" s="90" t="s">
        <v>267</v>
      </c>
      <c r="P50" s="90" t="s">
        <v>274</v>
      </c>
      <c r="Q50" s="90" t="s">
        <v>270</v>
      </c>
      <c r="R5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50" s="91">
        <f>(1 - ((1 - VLOOKUP(Table4[[#This Row],[Confidentiality]],'Reference - CVSSv3.0'!$B$16:$C$18,2,FALSE())) * (1 - VLOOKUP(Table4[[#This Row],[Integrity]],'Reference - CVSSv3.0'!$B$16:$C$18,2,FALSE())) *  (1 - VLOOKUP(Table4[[#This Row],[Availability]],'Reference - CVSSv3.0'!$B$16:$C$18,2,FALSE()))))</f>
        <v>0.52544799999999992</v>
      </c>
      <c r="T50" s="91">
        <f>IF(Table4[[#This Row],[Scope]]="Unchanged",6.42*Table4[[#This Row],[ISC Base]],IF(Table4[[#This Row],[Scope]]="Changed",7.52*(Table4[[#This Row],[ISC Base]] - 0.029) - 3.25 * POWER(Table4[[#This Row],[ISC Base]] - 0.02,15),NA()))</f>
        <v>3.3733761599999994</v>
      </c>
      <c r="U50"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0" s="85" t="s">
        <v>267</v>
      </c>
      <c r="W50" s="91">
        <f>VLOOKUP(Table4[[#This Row],[Threat Event Initiation]],NIST_Scale_LOAI[],2,FALSE())</f>
        <v>0.2</v>
      </c>
      <c r="X5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5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0" s="19" t="s">
        <v>289</v>
      </c>
      <c r="AA50" s="19" t="s">
        <v>455</v>
      </c>
      <c r="AB50" s="19" t="s">
        <v>518</v>
      </c>
      <c r="AC50" s="36"/>
      <c r="AD50" s="36"/>
      <c r="AE50" s="36"/>
      <c r="AF50" s="90"/>
      <c r="AG50" s="90"/>
      <c r="AH50" s="90"/>
      <c r="AI50" s="90"/>
      <c r="AJ50" s="90"/>
      <c r="AK50"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0" s="91" t="e">
        <f>(1 - ((1 - VLOOKUP(Table4[[#This Row],[ConfidentialityP]],'Reference - CVSSv3.0'!$B$16:$C$18,2,FALSE())) * (1 - VLOOKUP(Table4[[#This Row],[IntegrityP]],'Reference - CVSSv3.0'!$B$16:$C$18,2,FALSE())) *  (1 - VLOOKUP(Table4[[#This Row],[AvailabilityP]],'Reference - CVSSv3.0'!$B$16:$C$18,2,FALSE()))))</f>
        <v>#N/A</v>
      </c>
      <c r="AM50" s="91" t="e">
        <f>IF(Table4[[#This Row],[ScopeP]]="Unchanged",6.42*Table4[[#This Row],[ISC BaseP]],IF(Table4[[#This Row],[ScopeP]]="Changed",7.52*(Table4[[#This Row],[ISC BaseP]] - 0.029) - 3.25 * POWER(Table4[[#This Row],[ISC BaseP]] - 0.02,15),NA()))</f>
        <v>#N/A</v>
      </c>
      <c r="AN5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0" s="36"/>
    </row>
    <row r="51" spans="1:43" ht="213.75" customHeight="1">
      <c r="A51" s="84">
        <v>47</v>
      </c>
      <c r="B51" s="85" t="s">
        <v>182</v>
      </c>
      <c r="C51" s="86" t="str">
        <f>IF(VLOOKUP(Table4[[#This Row],[T ID]],Table5[#All],5,FALSE())="No","Not in scope",VLOOKUP(Table4[[#This Row],[T ID]],Table5[#All],2,FALSE()))</f>
        <v>Gaining Access
([S]TRID[E])</v>
      </c>
      <c r="D51" s="57" t="s">
        <v>122</v>
      </c>
      <c r="E51" s="86" t="str">
        <f>IF(VLOOKUP(Table4[[#This Row],[V ID]],Vulnerabilities[#All],3,FALSE())="No","Not in scope",VLOOKUP(Table4[[#This Row],[V ID]],Vulnerabilities[#All],2,FALSE()))</f>
        <v>Unprotected external USB Port on the tablet/devices.</v>
      </c>
      <c r="F51" s="87" t="s">
        <v>38</v>
      </c>
      <c r="G51" s="88" t="str">
        <f>VLOOKUP(Table4[[#This Row],[A ID]],Assets[#All],3,FALSE())</f>
        <v>Tablet Resources - web cam, microphone, OTG devices, Removable USB, Tablet Application, Network interfaces (Bluetooth, Wifi)</v>
      </c>
      <c r="H51" s="19" t="s">
        <v>284</v>
      </c>
      <c r="I51" s="19" t="s">
        <v>465</v>
      </c>
      <c r="J51" s="89" t="s">
        <v>267</v>
      </c>
      <c r="K51" s="89" t="s">
        <v>267</v>
      </c>
      <c r="L51" s="89" t="s">
        <v>267</v>
      </c>
      <c r="M51" s="90" t="s">
        <v>268</v>
      </c>
      <c r="N51" s="90" t="s">
        <v>267</v>
      </c>
      <c r="O51" s="90" t="s">
        <v>267</v>
      </c>
      <c r="P51" s="90" t="s">
        <v>269</v>
      </c>
      <c r="Q51" s="90" t="s">
        <v>270</v>
      </c>
      <c r="R5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0.486604272</v>
      </c>
      <c r="S51" s="91">
        <f>(1 - ((1 - VLOOKUP(Table4[[#This Row],[Confidentiality]],'Reference - CVSSv3.0'!$B$16:$C$18,2,FALSE())) * (1 - VLOOKUP(Table4[[#This Row],[Integrity]],'Reference - CVSSv3.0'!$B$16:$C$18,2,FALSE())) *  (1 - VLOOKUP(Table4[[#This Row],[Availability]],'Reference - CVSSv3.0'!$B$16:$C$18,2,FALSE()))))</f>
        <v>0.52544799999999992</v>
      </c>
      <c r="T51" s="91">
        <f>IF(Table4[[#This Row],[Scope]]="Unchanged",6.42*Table4[[#This Row],[ISC Base]],IF(Table4[[#This Row],[Scope]]="Changed",7.52*(Table4[[#This Row],[ISC Base]] - 0.029) - 3.25 * POWER(Table4[[#This Row],[ISC Base]] - 0.02,15),NA()))</f>
        <v>3.3733761599999994</v>
      </c>
      <c r="U51"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51" s="85" t="s">
        <v>267</v>
      </c>
      <c r="W51" s="91">
        <f>VLOOKUP(Table4[[#This Row],[Threat Event Initiation]],NIST_Scale_LOAI[],2,FALSE())</f>
        <v>0.2</v>
      </c>
      <c r="X5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1" s="19" t="s">
        <v>271</v>
      </c>
      <c r="AA51" s="19" t="s">
        <v>290</v>
      </c>
      <c r="AB51" s="19" t="s">
        <v>519</v>
      </c>
      <c r="AC51" s="36"/>
      <c r="AD51" s="36"/>
      <c r="AE51" s="36"/>
      <c r="AF51" s="90"/>
      <c r="AG51" s="90"/>
      <c r="AH51" s="90"/>
      <c r="AI51" s="90"/>
      <c r="AJ51" s="90"/>
      <c r="AK51"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1" s="91" t="e">
        <f>(1 - ((1 - VLOOKUP(Table4[[#This Row],[ConfidentialityP]],'Reference - CVSSv3.0'!$B$16:$C$18,2,FALSE())) * (1 - VLOOKUP(Table4[[#This Row],[IntegrityP]],'Reference - CVSSv3.0'!$B$16:$C$18,2,FALSE())) *  (1 - VLOOKUP(Table4[[#This Row],[AvailabilityP]],'Reference - CVSSv3.0'!$B$16:$C$18,2,FALSE()))))</f>
        <v>#N/A</v>
      </c>
      <c r="AM51" s="91" t="e">
        <f>IF(Table4[[#This Row],[ScopeP]]="Unchanged",6.42*Table4[[#This Row],[ISC BaseP]],IF(Table4[[#This Row],[ScopeP]]="Changed",7.52*(Table4[[#This Row],[ISC BaseP]] - 0.029) - 3.25 * POWER(Table4[[#This Row],[ISC BaseP]] - 0.02,15),NA()))</f>
        <v>#N/A</v>
      </c>
      <c r="AN5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1" s="36"/>
    </row>
    <row r="52" spans="1:43" s="216" customFormat="1" ht="342" customHeight="1">
      <c r="A52" s="209">
        <v>48</v>
      </c>
      <c r="B52" s="85" t="s">
        <v>185</v>
      </c>
      <c r="C52" s="86" t="str">
        <f>IF(VLOOKUP(Table4[[#This Row],[T ID]],Table5[#All],5,FALSE())="No","Not in scope",VLOOKUP(Table4[[#This Row],[T ID]],Table5[#All],2,FALSE()))</f>
        <v>Maintaining Access
(TTP)</v>
      </c>
      <c r="D52" s="57" t="s">
        <v>94</v>
      </c>
      <c r="E52" s="86" t="str">
        <f>IF(VLOOKUP(Table4[[#This Row],[V ID]],Vulnerabilities[#All],3,FALSE())="No","Not in scope",VLOOKUP(Table4[[#This Row],[V ID]],Vulnerabilities[#All],2,FALSE()))</f>
        <v>Devices with default passwords needs to be checked for bruteforce attacks</v>
      </c>
      <c r="F52" s="87" t="s">
        <v>50</v>
      </c>
      <c r="G52" s="88" t="str">
        <f>VLOOKUP(Table4[[#This Row],[A ID]],Assets[#All],3,FALSE())</f>
        <v>Authentication/Authorisation method of all device(s)/app</v>
      </c>
      <c r="H52" s="211" t="s">
        <v>284</v>
      </c>
      <c r="I52" s="19" t="s">
        <v>465</v>
      </c>
      <c r="J52" s="212" t="s">
        <v>267</v>
      </c>
      <c r="K52" s="212" t="s">
        <v>267</v>
      </c>
      <c r="L52" s="212" t="s">
        <v>267</v>
      </c>
      <c r="M52" s="212" t="s">
        <v>268</v>
      </c>
      <c r="N52" s="212" t="s">
        <v>267</v>
      </c>
      <c r="O52" s="212" t="s">
        <v>267</v>
      </c>
      <c r="P52" s="212" t="s">
        <v>274</v>
      </c>
      <c r="Q52" s="212" t="s">
        <v>270</v>
      </c>
      <c r="R5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52" s="93">
        <f>(1 - ((1 - VLOOKUP(Table4[[#This Row],[Confidentiality]],'Reference - CVSSv3.0'!$B$16:$C$18,2,FALSE())) * (1 - VLOOKUP(Table4[[#This Row],[Integrity]],'Reference - CVSSv3.0'!$B$16:$C$18,2,FALSE())) *  (1 - VLOOKUP(Table4[[#This Row],[Availability]],'Reference - CVSSv3.0'!$B$16:$C$18,2,FALSE()))))</f>
        <v>0.52544799999999992</v>
      </c>
      <c r="T52" s="93">
        <f>IF(Table4[[#This Row],[Scope]]="Unchanged",6.42*Table4[[#This Row],[ISC Base]],IF(Table4[[#This Row],[Scope]]="Changed",7.52*(Table4[[#This Row],[ISC Base]] - 0.029) - 3.25 * POWER(Table4[[#This Row],[ISC Base]] - 0.02,15),NA()))</f>
        <v>3.3733761599999994</v>
      </c>
      <c r="U52" s="93">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2" s="210" t="s">
        <v>277</v>
      </c>
      <c r="W52" s="91">
        <f>VLOOKUP(Table4[[#This Row],[Threat Event Initiation]],NIST_Scale_LOAI[],2,FALSE())</f>
        <v>0.5</v>
      </c>
      <c r="X5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2" s="214"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2" s="19" t="s">
        <v>286</v>
      </c>
      <c r="AA52" s="19" t="s">
        <v>451</v>
      </c>
      <c r="AB52" s="19" t="s">
        <v>520</v>
      </c>
      <c r="AC52" s="215"/>
      <c r="AD52" s="215"/>
      <c r="AE52" s="215"/>
      <c r="AF52" s="212"/>
      <c r="AG52" s="212"/>
      <c r="AH52" s="212"/>
      <c r="AI52" s="212"/>
      <c r="AJ52" s="212"/>
      <c r="AK52" s="213"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2" s="213" t="e">
        <f>(1 - ((1 - VLOOKUP(Table4[[#This Row],[ConfidentialityP]],'Reference - CVSSv3.0'!$B$16:$C$18,2,FALSE())) * (1 - VLOOKUP(Table4[[#This Row],[IntegrityP]],'Reference - CVSSv3.0'!$B$16:$C$18,2,FALSE())) *  (1 - VLOOKUP(Table4[[#This Row],[AvailabilityP]],'Reference - CVSSv3.0'!$B$16:$C$18,2,FALSE()))))</f>
        <v>#N/A</v>
      </c>
      <c r="AM52" s="213" t="e">
        <f>IF(Table4[[#This Row],[ScopeP]]="Unchanged",6.42*Table4[[#This Row],[ISC BaseP]],IF(Table4[[#This Row],[ScopeP]]="Changed",7.52*(Table4[[#This Row],[ISC BaseP]] - 0.029) - 3.25 * POWER(Table4[[#This Row],[ISC BaseP]] - 0.02,15),NA()))</f>
        <v>#N/A</v>
      </c>
      <c r="AN5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2" s="215"/>
    </row>
    <row r="53" spans="1:43" ht="370.5">
      <c r="A53" s="84">
        <v>49</v>
      </c>
      <c r="B53" s="85" t="s">
        <v>185</v>
      </c>
      <c r="C53" s="86" t="str">
        <f>IF(VLOOKUP(Table4[[#This Row],[T ID]],Table5[#All],5,FALSE())="No","Not in scope",VLOOKUP(Table4[[#This Row],[T ID]],Table5[#All],2,FALSE()))</f>
        <v>Maintaining Access
(TTP)</v>
      </c>
      <c r="D53" s="57" t="s">
        <v>100</v>
      </c>
      <c r="E53" s="86" t="str">
        <f>IF(VLOOKUP(Table4[[#This Row],[V ID]],Vulnerabilities[#All],3,FALSE())="No","Not in scope",VLOOKUP(Table4[[#This Row],[V ID]],Vulnerabilities[#All],2,FALSE()))</f>
        <v>The password complexity or location vulnerability. Like weak passwords and hardcoded passwords.</v>
      </c>
      <c r="F53" s="87" t="s">
        <v>50</v>
      </c>
      <c r="G53" s="88" t="str">
        <f>VLOOKUP(Table4[[#This Row],[A ID]],Assets[#All],3,FALSE())</f>
        <v>Authentication/Authorisation method of all device(s)/app</v>
      </c>
      <c r="H53" s="19" t="s">
        <v>284</v>
      </c>
      <c r="I53" s="19" t="s">
        <v>465</v>
      </c>
      <c r="J53" s="89" t="s">
        <v>267</v>
      </c>
      <c r="K53" s="89" t="s">
        <v>267</v>
      </c>
      <c r="L53" s="89" t="s">
        <v>267</v>
      </c>
      <c r="M53" s="90" t="s">
        <v>275</v>
      </c>
      <c r="N53" s="90" t="s">
        <v>267</v>
      </c>
      <c r="O53" s="90" t="s">
        <v>267</v>
      </c>
      <c r="P53" s="90" t="s">
        <v>269</v>
      </c>
      <c r="Q53" s="90" t="s">
        <v>270</v>
      </c>
      <c r="R5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1.3381617480000001</v>
      </c>
      <c r="S53" s="91">
        <f>(1 - ((1 - VLOOKUP(Table4[[#This Row],[Confidentiality]],'Reference - CVSSv3.0'!$B$16:$C$18,2,FALSE())) * (1 - VLOOKUP(Table4[[#This Row],[Integrity]],'Reference - CVSSv3.0'!$B$16:$C$18,2,FALSE())) *  (1 - VLOOKUP(Table4[[#This Row],[Availability]],'Reference - CVSSv3.0'!$B$16:$C$18,2,FALSE()))))</f>
        <v>0.52544799999999992</v>
      </c>
      <c r="T53" s="91">
        <f>IF(Table4[[#This Row],[Scope]]="Unchanged",6.42*Table4[[#This Row],[ISC Base]],IF(Table4[[#This Row],[Scope]]="Changed",7.52*(Table4[[#This Row],[ISC Base]] - 0.029) - 3.25 * POWER(Table4[[#This Row],[ISC Base]] - 0.02,15),NA()))</f>
        <v>3.3733761599999994</v>
      </c>
      <c r="U53"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53" s="85" t="s">
        <v>267</v>
      </c>
      <c r="W53" s="91">
        <f>VLOOKUP(Table4[[#This Row],[Threat Event Initiation]],NIST_Scale_LOAI[],2,FALSE())</f>
        <v>0.2</v>
      </c>
      <c r="X5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3" s="19" t="s">
        <v>291</v>
      </c>
      <c r="AA53" s="19" t="s">
        <v>452</v>
      </c>
      <c r="AB53" s="19" t="s">
        <v>521</v>
      </c>
      <c r="AC53" s="36"/>
      <c r="AD53" s="36"/>
      <c r="AE53" s="36"/>
      <c r="AF53" s="90"/>
      <c r="AG53" s="90"/>
      <c r="AH53" s="90"/>
      <c r="AI53" s="90"/>
      <c r="AJ53" s="90"/>
      <c r="AK53"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3" s="91" t="e">
        <f>(1 - ((1 - VLOOKUP(Table4[[#This Row],[ConfidentialityP]],'Reference - CVSSv3.0'!$B$16:$C$18,2,FALSE())) * (1 - VLOOKUP(Table4[[#This Row],[IntegrityP]],'Reference - CVSSv3.0'!$B$16:$C$18,2,FALSE())) *  (1 - VLOOKUP(Table4[[#This Row],[AvailabilityP]],'Reference - CVSSv3.0'!$B$16:$C$18,2,FALSE()))))</f>
        <v>#N/A</v>
      </c>
      <c r="AM53" s="91" t="e">
        <f>IF(Table4[[#This Row],[ScopeP]]="Unchanged",6.42*Table4[[#This Row],[ISC BaseP]],IF(Table4[[#This Row],[ScopeP]]="Changed",7.52*(Table4[[#This Row],[ISC BaseP]] - 0.029) - 3.25 * POWER(Table4[[#This Row],[ISC BaseP]] - 0.02,15),NA()))</f>
        <v>#N/A</v>
      </c>
      <c r="AN5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3" s="36"/>
    </row>
    <row r="54" spans="1:43" ht="213.75">
      <c r="A54" s="84">
        <v>50</v>
      </c>
      <c r="B54" s="85" t="s">
        <v>188</v>
      </c>
      <c r="C54" s="86" t="str">
        <f>IF(VLOOKUP(Table4[[#This Row],[T ID]],Table5[#All],5,FALSE())="No","Not in scope",VLOOKUP(Table4[[#This Row],[T ID]],Table5[#All],2,FALSE()))</f>
        <v>Clearing Track
(TTP)</v>
      </c>
      <c r="D54" s="57" t="s">
        <v>140</v>
      </c>
      <c r="E54" s="86" t="str">
        <f>IF(VLOOKUP(Table4[[#This Row],[V ID]],Vulnerabilities[#All],3,FALSE())="No","Not in scope",VLOOKUP(Table4[[#This Row],[V ID]],Vulnerabilities[#All],2,FALSE()))</f>
        <v>InSecure Configuration for Software/OS on Mobile Devices, Laptops, Workstations, and Servers</v>
      </c>
      <c r="F54" s="87" t="s">
        <v>38</v>
      </c>
      <c r="G54" s="88" t="str">
        <f>VLOOKUP(Table4[[#This Row],[A ID]],Assets[#All],3,FALSE())</f>
        <v>Tablet Resources - web cam, microphone, OTG devices, Removable USB, Tablet Application, Network interfaces (Bluetooth, Wifi)</v>
      </c>
      <c r="H54" s="19" t="s">
        <v>292</v>
      </c>
      <c r="I54" s="19" t="s">
        <v>465</v>
      </c>
      <c r="J54" s="89" t="s">
        <v>267</v>
      </c>
      <c r="K54" s="89" t="s">
        <v>267</v>
      </c>
      <c r="L54" s="89" t="s">
        <v>267</v>
      </c>
      <c r="M54" s="90" t="s">
        <v>275</v>
      </c>
      <c r="N54" s="90" t="s">
        <v>267</v>
      </c>
      <c r="O54" s="90" t="s">
        <v>267</v>
      </c>
      <c r="P54" s="90" t="s">
        <v>269</v>
      </c>
      <c r="Q54" s="90" t="s">
        <v>270</v>
      </c>
      <c r="R5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1.3381617480000001</v>
      </c>
      <c r="S54" s="91">
        <f>(1 - ((1 - VLOOKUP(Table4[[#This Row],[Confidentiality]],'Reference - CVSSv3.0'!$B$16:$C$18,2,FALSE())) * (1 - VLOOKUP(Table4[[#This Row],[Integrity]],'Reference - CVSSv3.0'!$B$16:$C$18,2,FALSE())) *  (1 - VLOOKUP(Table4[[#This Row],[Availability]],'Reference - CVSSv3.0'!$B$16:$C$18,2,FALSE()))))</f>
        <v>0.52544799999999992</v>
      </c>
      <c r="T54" s="91">
        <f>IF(Table4[[#This Row],[Scope]]="Unchanged",6.42*Table4[[#This Row],[ISC Base]],IF(Table4[[#This Row],[Scope]]="Changed",7.52*(Table4[[#This Row],[ISC Base]] - 0.029) - 3.25 * POWER(Table4[[#This Row],[ISC Base]] - 0.02,15),NA()))</f>
        <v>3.3733761599999994</v>
      </c>
      <c r="U54"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54" s="85" t="s">
        <v>267</v>
      </c>
      <c r="W54" s="91">
        <f>VLOOKUP(Table4[[#This Row],[Threat Event Initiation]],NIST_Scale_LOAI[],2,FALSE())</f>
        <v>0.2</v>
      </c>
      <c r="X5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4" s="19" t="s">
        <v>271</v>
      </c>
      <c r="AA54" s="19" t="s">
        <v>282</v>
      </c>
      <c r="AB54" s="19" t="s">
        <v>522</v>
      </c>
      <c r="AC54" s="36"/>
      <c r="AD54" s="36"/>
      <c r="AE54" s="36"/>
      <c r="AF54" s="90"/>
      <c r="AG54" s="90"/>
      <c r="AH54" s="90"/>
      <c r="AI54" s="90"/>
      <c r="AJ54" s="90"/>
      <c r="AK5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4" s="91" t="e">
        <f>(1 - ((1 - VLOOKUP(Table4[[#This Row],[ConfidentialityP]],'Reference - CVSSv3.0'!$B$16:$C$18,2,FALSE())) * (1 - VLOOKUP(Table4[[#This Row],[IntegrityP]],'Reference - CVSSv3.0'!$B$16:$C$18,2,FALSE())) *  (1 - VLOOKUP(Table4[[#This Row],[AvailabilityP]],'Reference - CVSSv3.0'!$B$16:$C$18,2,FALSE()))))</f>
        <v>#N/A</v>
      </c>
      <c r="AM54" s="91" t="e">
        <f>IF(Table4[[#This Row],[ScopeP]]="Unchanged",6.42*Table4[[#This Row],[ISC BaseP]],IF(Table4[[#This Row],[ScopeP]]="Changed",7.52*(Table4[[#This Row],[ISC BaseP]] - 0.029) - 3.25 * POWER(Table4[[#This Row],[ISC BaseP]] - 0.02,15),NA()))</f>
        <v>#N/A</v>
      </c>
      <c r="AN5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4" s="36"/>
    </row>
    <row r="55" spans="1:43" ht="213.75">
      <c r="A55" s="84">
        <v>51</v>
      </c>
      <c r="B55" s="85" t="s">
        <v>188</v>
      </c>
      <c r="C55" s="86" t="str">
        <f>IF(VLOOKUP(Table4[[#This Row],[T ID]],Table5[#All],5,FALSE())="No","Not in scope",VLOOKUP(Table4[[#This Row],[T ID]],Table5[#All],2,FALSE()))</f>
        <v>Clearing Track
(TTP)</v>
      </c>
      <c r="D55" s="57" t="s">
        <v>144</v>
      </c>
      <c r="E55" s="86" t="str">
        <f>IF(VLOOKUP(Table4[[#This Row],[V ID]],Vulnerabilities[#All],3,FALSE())="No","Not in scope",VLOOKUP(Table4[[#This Row],[V ID]],Vulnerabilities[#All],2,FALSE()))</f>
        <v>Outdated  - Software/Hardware</v>
      </c>
      <c r="F55" s="87" t="s">
        <v>38</v>
      </c>
      <c r="G55" s="88" t="str">
        <f>VLOOKUP(Table4[[#This Row],[A ID]],Assets[#All],3,FALSE())</f>
        <v>Tablet Resources - web cam, microphone, OTG devices, Removable USB, Tablet Application, Network interfaces (Bluetooth, Wifi)</v>
      </c>
      <c r="H55" s="19" t="s">
        <v>292</v>
      </c>
      <c r="I55" s="19" t="s">
        <v>293</v>
      </c>
      <c r="J55" s="89" t="s">
        <v>267</v>
      </c>
      <c r="K55" s="89" t="s">
        <v>267</v>
      </c>
      <c r="L55" s="89" t="s">
        <v>267</v>
      </c>
      <c r="M55" s="90" t="s">
        <v>268</v>
      </c>
      <c r="N55" s="90" t="s">
        <v>267</v>
      </c>
      <c r="O55" s="90" t="s">
        <v>267</v>
      </c>
      <c r="P55" s="90" t="s">
        <v>274</v>
      </c>
      <c r="Q55" s="90" t="s">
        <v>270</v>
      </c>
      <c r="R55"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55" s="91">
        <f>(1 - ((1 - VLOOKUP(Table4[[#This Row],[Confidentiality]],'Reference - CVSSv3.0'!$B$16:$C$18,2,FALSE())) * (1 - VLOOKUP(Table4[[#This Row],[Integrity]],'Reference - CVSSv3.0'!$B$16:$C$18,2,FALSE())) *  (1 - VLOOKUP(Table4[[#This Row],[Availability]],'Reference - CVSSv3.0'!$B$16:$C$18,2,FALSE()))))</f>
        <v>0.52544799999999992</v>
      </c>
      <c r="T55" s="91">
        <f>IF(Table4[[#This Row],[Scope]]="Unchanged",6.42*Table4[[#This Row],[ISC Base]],IF(Table4[[#This Row],[Scope]]="Changed",7.52*(Table4[[#This Row],[ISC Base]] - 0.029) - 3.25 * POWER(Table4[[#This Row],[ISC Base]] - 0.02,15),NA()))</f>
        <v>3.3733761599999994</v>
      </c>
      <c r="U55"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5" s="85" t="s">
        <v>277</v>
      </c>
      <c r="W55" s="91">
        <f>VLOOKUP(Table4[[#This Row],[Threat Event Initiation]],NIST_Scale_LOAI[],2,FALSE())</f>
        <v>0.5</v>
      </c>
      <c r="X5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5" s="19" t="s">
        <v>271</v>
      </c>
      <c r="AA55" s="19" t="s">
        <v>272</v>
      </c>
      <c r="AB55" s="19" t="s">
        <v>523</v>
      </c>
      <c r="AC55" s="36"/>
      <c r="AD55" s="36"/>
      <c r="AE55" s="36"/>
      <c r="AF55" s="90"/>
      <c r="AG55" s="90"/>
      <c r="AH55" s="90"/>
      <c r="AI55" s="90"/>
      <c r="AJ55" s="90"/>
      <c r="AK55"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5" s="91" t="e">
        <f>(1 - ((1 - VLOOKUP(Table4[[#This Row],[ConfidentialityP]],'Reference - CVSSv3.0'!$B$16:$C$18,2,FALSE())) * (1 - VLOOKUP(Table4[[#This Row],[IntegrityP]],'Reference - CVSSv3.0'!$B$16:$C$18,2,FALSE())) *  (1 - VLOOKUP(Table4[[#This Row],[AvailabilityP]],'Reference - CVSSv3.0'!$B$16:$C$18,2,FALSE()))))</f>
        <v>#N/A</v>
      </c>
      <c r="AM55" s="91" t="e">
        <f>IF(Table4[[#This Row],[ScopeP]]="Unchanged",6.42*Table4[[#This Row],[ISC BaseP]],IF(Table4[[#This Row],[ScopeP]]="Changed",7.52*(Table4[[#This Row],[ISC BaseP]] - 0.029) - 3.25 * POWER(Table4[[#This Row],[ISC BaseP]] - 0.02,15),NA()))</f>
        <v>#N/A</v>
      </c>
      <c r="AN5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5" s="36"/>
    </row>
    <row r="56" spans="1:43" ht="213.75">
      <c r="A56" s="84">
        <v>52</v>
      </c>
      <c r="B56" s="85" t="s">
        <v>188</v>
      </c>
      <c r="C56" s="86" t="str">
        <f>IF(VLOOKUP(Table4[[#This Row],[T ID]],Table5[#All],5,FALSE())="No","Not in scope",VLOOKUP(Table4[[#This Row],[T ID]],Table5[#All],2,FALSE()))</f>
        <v>Clearing Track
(TTP)</v>
      </c>
      <c r="D56" s="57" t="s">
        <v>109</v>
      </c>
      <c r="E56" s="86" t="str">
        <f>IF(VLOOKUP(Table4[[#This Row],[V ID]],Vulnerabilities[#All],3,FALSE())="No","Not in scope",VLOOKUP(Table4[[#This Row],[V ID]],Vulnerabilities[#All],2,FALSE()))</f>
        <v>Lack of configuration controls for IT assets in the informaion system plan</v>
      </c>
      <c r="F56" s="87" t="s">
        <v>38</v>
      </c>
      <c r="G56" s="88" t="str">
        <f>VLOOKUP(Table4[[#This Row],[A ID]],Assets[#All],3,FALSE())</f>
        <v>Tablet Resources - web cam, microphone, OTG devices, Removable USB, Tablet Application, Network interfaces (Bluetooth, Wifi)</v>
      </c>
      <c r="H56" s="19" t="s">
        <v>292</v>
      </c>
      <c r="I56" s="19" t="s">
        <v>293</v>
      </c>
      <c r="J56" s="89" t="s">
        <v>267</v>
      </c>
      <c r="K56" s="89" t="s">
        <v>267</v>
      </c>
      <c r="L56" s="89" t="s">
        <v>267</v>
      </c>
      <c r="M56" s="90" t="s">
        <v>275</v>
      </c>
      <c r="N56" s="90" t="s">
        <v>267</v>
      </c>
      <c r="O56" s="90" t="s">
        <v>267</v>
      </c>
      <c r="P56" s="90" t="s">
        <v>269</v>
      </c>
      <c r="Q56" s="90" t="s">
        <v>270</v>
      </c>
      <c r="R5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1.3381617480000001</v>
      </c>
      <c r="S56" s="91">
        <f>(1 - ((1 - VLOOKUP(Table4[[#This Row],[Confidentiality]],'Reference - CVSSv3.0'!$B$16:$C$18,2,FALSE())) * (1 - VLOOKUP(Table4[[#This Row],[Integrity]],'Reference - CVSSv3.0'!$B$16:$C$18,2,FALSE())) *  (1 - VLOOKUP(Table4[[#This Row],[Availability]],'Reference - CVSSv3.0'!$B$16:$C$18,2,FALSE()))))</f>
        <v>0.52544799999999992</v>
      </c>
      <c r="T56" s="91">
        <f>IF(Table4[[#This Row],[Scope]]="Unchanged",6.42*Table4[[#This Row],[ISC Base]],IF(Table4[[#This Row],[Scope]]="Changed",7.52*(Table4[[#This Row],[ISC Base]] - 0.029) - 3.25 * POWER(Table4[[#This Row],[ISC Base]] - 0.02,15),NA()))</f>
        <v>3.3733761599999994</v>
      </c>
      <c r="U56"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56" s="85" t="s">
        <v>267</v>
      </c>
      <c r="W56" s="91">
        <f>VLOOKUP(Table4[[#This Row],[Threat Event Initiation]],NIST_Scale_LOAI[],2,FALSE())</f>
        <v>0.2</v>
      </c>
      <c r="X5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6" s="19" t="s">
        <v>271</v>
      </c>
      <c r="AA56" s="19" t="s">
        <v>272</v>
      </c>
      <c r="AB56" s="19" t="s">
        <v>524</v>
      </c>
      <c r="AC56" s="36"/>
      <c r="AD56" s="36"/>
      <c r="AE56" s="36"/>
      <c r="AF56" s="90"/>
      <c r="AG56" s="90"/>
      <c r="AH56" s="90"/>
      <c r="AI56" s="90"/>
      <c r="AJ56" s="90"/>
      <c r="AK56"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6" s="91" t="e">
        <f>(1 - ((1 - VLOOKUP(Table4[[#This Row],[ConfidentialityP]],'Reference - CVSSv3.0'!$B$16:$C$18,2,FALSE())) * (1 - VLOOKUP(Table4[[#This Row],[IntegrityP]],'Reference - CVSSv3.0'!$B$16:$C$18,2,FALSE())) *  (1 - VLOOKUP(Table4[[#This Row],[AvailabilityP]],'Reference - CVSSv3.0'!$B$16:$C$18,2,FALSE()))))</f>
        <v>#N/A</v>
      </c>
      <c r="AM56" s="91" t="e">
        <f>IF(Table4[[#This Row],[ScopeP]]="Unchanged",6.42*Table4[[#This Row],[ISC BaseP]],IF(Table4[[#This Row],[ScopeP]]="Changed",7.52*(Table4[[#This Row],[ISC BaseP]] - 0.029) - 3.25 * POWER(Table4[[#This Row],[ISC BaseP]] - 0.02,15),NA()))</f>
        <v>#N/A</v>
      </c>
      <c r="AN5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6" s="36"/>
    </row>
    <row r="57" spans="1:43" ht="156.75">
      <c r="A57" s="84">
        <v>53</v>
      </c>
      <c r="B57" s="85" t="s">
        <v>188</v>
      </c>
      <c r="C57" s="86" t="str">
        <f>IF(VLOOKUP(Table4[[#This Row],[T ID]],Table5[#All],5,FALSE())="No","Not in scope",VLOOKUP(Table4[[#This Row],[T ID]],Table5[#All],2,FALSE()))</f>
        <v>Clearing Track
(TTP)</v>
      </c>
      <c r="D57" s="57" t="s">
        <v>109</v>
      </c>
      <c r="E57" s="86" t="str">
        <f>IF(VLOOKUP(Table4[[#This Row],[V ID]],Vulnerabilities[#All],3,FALSE())="No","Not in scope",VLOOKUP(Table4[[#This Row],[V ID]],Vulnerabilities[#All],2,FALSE()))</f>
        <v>Lack of configuration controls for IT assets in the informaion system plan</v>
      </c>
      <c r="F57" s="87" t="s">
        <v>53</v>
      </c>
      <c r="G57" s="88" t="str">
        <f>VLOOKUP(Table4[[#This Row],[A ID]],Assets[#All],3,FALSE())</f>
        <v>Device Maintainence tool (Hardware/Software)</v>
      </c>
      <c r="H57" s="19" t="s">
        <v>292</v>
      </c>
      <c r="I57" s="19" t="s">
        <v>293</v>
      </c>
      <c r="J57" s="89" t="s">
        <v>267</v>
      </c>
      <c r="K57" s="89" t="s">
        <v>267</v>
      </c>
      <c r="L57" s="89" t="s">
        <v>267</v>
      </c>
      <c r="M57" s="90" t="s">
        <v>275</v>
      </c>
      <c r="N57" s="90" t="s">
        <v>267</v>
      </c>
      <c r="O57" s="90" t="s">
        <v>267</v>
      </c>
      <c r="P57" s="90" t="s">
        <v>269</v>
      </c>
      <c r="Q57" s="90" t="s">
        <v>270</v>
      </c>
      <c r="R5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1.3381617480000001</v>
      </c>
      <c r="S57" s="91">
        <f>(1 - ((1 - VLOOKUP(Table4[[#This Row],[Confidentiality]],'Reference - CVSSv3.0'!$B$16:$C$18,2,FALSE())) * (1 - VLOOKUP(Table4[[#This Row],[Integrity]],'Reference - CVSSv3.0'!$B$16:$C$18,2,FALSE())) *  (1 - VLOOKUP(Table4[[#This Row],[Availability]],'Reference - CVSSv3.0'!$B$16:$C$18,2,FALSE()))))</f>
        <v>0.52544799999999992</v>
      </c>
      <c r="T57" s="91">
        <f>IF(Table4[[#This Row],[Scope]]="Unchanged",6.42*Table4[[#This Row],[ISC Base]],IF(Table4[[#This Row],[Scope]]="Changed",7.52*(Table4[[#This Row],[ISC Base]] - 0.029) - 3.25 * POWER(Table4[[#This Row],[ISC Base]] - 0.02,15),NA()))</f>
        <v>3.3733761599999994</v>
      </c>
      <c r="U57"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57" s="85" t="s">
        <v>267</v>
      </c>
      <c r="W57" s="91">
        <f>VLOOKUP(Table4[[#This Row],[Threat Event Initiation]],NIST_Scale_LOAI[],2,FALSE())</f>
        <v>0.2</v>
      </c>
      <c r="X5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7" s="19" t="s">
        <v>271</v>
      </c>
      <c r="AA57" s="19" t="s">
        <v>454</v>
      </c>
      <c r="AB57" s="19" t="s">
        <v>525</v>
      </c>
      <c r="AC57" s="36"/>
      <c r="AD57" s="36"/>
      <c r="AE57" s="36"/>
      <c r="AF57" s="90"/>
      <c r="AG57" s="90"/>
      <c r="AH57" s="90"/>
      <c r="AI57" s="90"/>
      <c r="AJ57" s="90"/>
      <c r="AK57"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7" s="91" t="e">
        <f>(1 - ((1 - VLOOKUP(Table4[[#This Row],[ConfidentialityP]],'Reference - CVSSv3.0'!$B$16:$C$18,2,FALSE())) * (1 - VLOOKUP(Table4[[#This Row],[IntegrityP]],'Reference - CVSSv3.0'!$B$16:$C$18,2,FALSE())) *  (1 - VLOOKUP(Table4[[#This Row],[AvailabilityP]],'Reference - CVSSv3.0'!$B$16:$C$18,2,FALSE()))))</f>
        <v>#N/A</v>
      </c>
      <c r="AM57" s="91" t="e">
        <f>IF(Table4[[#This Row],[ScopeP]]="Unchanged",6.42*Table4[[#This Row],[ISC BaseP]],IF(Table4[[#This Row],[ScopeP]]="Changed",7.52*(Table4[[#This Row],[ISC BaseP]] - 0.029) - 3.25 * POWER(Table4[[#This Row],[ISC BaseP]] - 0.02,15),NA()))</f>
        <v>#N/A</v>
      </c>
      <c r="AN5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7" s="36"/>
    </row>
    <row r="58" spans="1:43" ht="199.5">
      <c r="A58" s="84">
        <v>54</v>
      </c>
      <c r="B58" s="85" t="s">
        <v>188</v>
      </c>
      <c r="C58" s="86" t="str">
        <f>IF(VLOOKUP(Table4[[#This Row],[T ID]],Table5[#All],5,FALSE())="No","Not in scope",VLOOKUP(Table4[[#This Row],[T ID]],Table5[#All],2,FALSE()))</f>
        <v>Clearing Track
(TTP)</v>
      </c>
      <c r="D58" s="57" t="s">
        <v>111</v>
      </c>
      <c r="E58" s="86" t="str">
        <f>IF(VLOOKUP(Table4[[#This Row],[V ID]],Vulnerabilities[#All],3,FALSE())="No","Not in scope",VLOOKUP(Table4[[#This Row],[V ID]],Vulnerabilities[#All],2,FALSE()))</f>
        <v>Ineffective patch management of firware, OS and applications thoughout the information system plan</v>
      </c>
      <c r="F58" s="87" t="s">
        <v>38</v>
      </c>
      <c r="G58" s="88" t="str">
        <f>VLOOKUP(Table4[[#This Row],[A ID]],Assets[#All],3,FALSE())</f>
        <v>Tablet Resources - web cam, microphone, OTG devices, Removable USB, Tablet Application, Network interfaces (Bluetooth, Wifi)</v>
      </c>
      <c r="H58" s="19" t="s">
        <v>292</v>
      </c>
      <c r="I58" s="19" t="s">
        <v>293</v>
      </c>
      <c r="J58" s="89" t="s">
        <v>274</v>
      </c>
      <c r="K58" s="89" t="s">
        <v>267</v>
      </c>
      <c r="L58" s="89" t="s">
        <v>267</v>
      </c>
      <c r="M58" s="90" t="s">
        <v>275</v>
      </c>
      <c r="N58" s="90" t="s">
        <v>267</v>
      </c>
      <c r="O58" s="90" t="s">
        <v>276</v>
      </c>
      <c r="P58" s="90" t="s">
        <v>274</v>
      </c>
      <c r="Q58" s="90" t="s">
        <v>270</v>
      </c>
      <c r="R5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0.79892851500000017</v>
      </c>
      <c r="S58" s="91">
        <f>(1 - ((1 - VLOOKUP(Table4[[#This Row],[Confidentiality]],'Reference - CVSSv3.0'!$B$16:$C$18,2,FALSE())) * (1 - VLOOKUP(Table4[[#This Row],[Integrity]],'Reference - CVSSv3.0'!$B$16:$C$18,2,FALSE())) *  (1 - VLOOKUP(Table4[[#This Row],[Availability]],'Reference - CVSSv3.0'!$B$16:$C$18,2,FALSE()))))</f>
        <v>0.39159999999999995</v>
      </c>
      <c r="T58" s="91">
        <f>IF(Table4[[#This Row],[Scope]]="Unchanged",6.42*Table4[[#This Row],[ISC Base]],IF(Table4[[#This Row],[Scope]]="Changed",7.52*(Table4[[#This Row],[ISC Base]] - 0.029) - 3.25 * POWER(Table4[[#This Row],[ISC Base]] - 0.02,15),NA()))</f>
        <v>2.5140719999999996</v>
      </c>
      <c r="U58" s="91">
        <f>IF(Table4[[#This Row],[Impact Sub Score]]&lt;=0,0,IF(Table4[[#This Row],[Scope]]="Unchanged",ROUNDUP(MIN((Table4[[#This Row],[Impact Sub Score]]+Table4[[#This Row],[Exploitability Sub Score]]),10),1),IF(Table4[[#This Row],[Scope]]="Changed",ROUNDUP(MIN((1.08*(Table4[[#This Row],[Impact Sub Score]]+Table4[[#This Row],[Exploitability Sub Score]])),10),1),NA())))</f>
        <v>3.4</v>
      </c>
      <c r="V58" s="85" t="s">
        <v>277</v>
      </c>
      <c r="W58" s="91">
        <f>VLOOKUP(Table4[[#This Row],[Threat Event Initiation]],NIST_Scale_LOAI[],2,FALSE())</f>
        <v>0.5</v>
      </c>
      <c r="X5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v>
      </c>
      <c r="Y5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8" s="19" t="s">
        <v>271</v>
      </c>
      <c r="AA58" s="19" t="s">
        <v>294</v>
      </c>
      <c r="AB58" s="19" t="s">
        <v>526</v>
      </c>
      <c r="AC58" s="36"/>
      <c r="AD58" s="36"/>
      <c r="AE58" s="36"/>
      <c r="AF58" s="90"/>
      <c r="AG58" s="90"/>
      <c r="AH58" s="90"/>
      <c r="AI58" s="90"/>
      <c r="AJ58" s="90"/>
      <c r="AK58"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8" s="91" t="e">
        <f>(1 - ((1 - VLOOKUP(Table4[[#This Row],[ConfidentialityP]],'Reference - CVSSv3.0'!$B$16:$C$18,2,FALSE())) * (1 - VLOOKUP(Table4[[#This Row],[IntegrityP]],'Reference - CVSSv3.0'!$B$16:$C$18,2,FALSE())) *  (1 - VLOOKUP(Table4[[#This Row],[AvailabilityP]],'Reference - CVSSv3.0'!$B$16:$C$18,2,FALSE()))))</f>
        <v>#N/A</v>
      </c>
      <c r="AM58" s="91" t="e">
        <f>IF(Table4[[#This Row],[ScopeP]]="Unchanged",6.42*Table4[[#This Row],[ISC BaseP]],IF(Table4[[#This Row],[ScopeP]]="Changed",7.52*(Table4[[#This Row],[ISC BaseP]] - 0.029) - 3.25 * POWER(Table4[[#This Row],[ISC BaseP]] - 0.02,15),NA()))</f>
        <v>#N/A</v>
      </c>
      <c r="AN5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8" s="36"/>
    </row>
    <row r="59" spans="1:43" ht="145.5" customHeight="1">
      <c r="A59" s="84">
        <v>55</v>
      </c>
      <c r="B59" s="85" t="s">
        <v>188</v>
      </c>
      <c r="C59" s="86" t="str">
        <f>IF(VLOOKUP(Table4[[#This Row],[T ID]],Table5[#All],5,FALSE())="No","Not in scope",VLOOKUP(Table4[[#This Row],[T ID]],Table5[#All],2,FALSE()))</f>
        <v>Clearing Track
(TTP)</v>
      </c>
      <c r="D59" s="57" t="s">
        <v>111</v>
      </c>
      <c r="E59" s="86" t="str">
        <f>IF(VLOOKUP(Table4[[#This Row],[V ID]],Vulnerabilities[#All],3,FALSE())="No","Not in scope",VLOOKUP(Table4[[#This Row],[V ID]],Vulnerabilities[#All],2,FALSE()))</f>
        <v>Ineffective patch management of firware, OS and applications thoughout the information system plan</v>
      </c>
      <c r="F59" s="87" t="s">
        <v>53</v>
      </c>
      <c r="G59" s="88" t="str">
        <f>VLOOKUP(Table4[[#This Row],[A ID]],Assets[#All],3,FALSE())</f>
        <v>Device Maintainence tool (Hardware/Software)</v>
      </c>
      <c r="H59" s="19" t="s">
        <v>292</v>
      </c>
      <c r="I59" s="19" t="s">
        <v>293</v>
      </c>
      <c r="J59" s="89" t="s">
        <v>267</v>
      </c>
      <c r="K59" s="89" t="s">
        <v>267</v>
      </c>
      <c r="L59" s="89" t="s">
        <v>267</v>
      </c>
      <c r="M59" s="90" t="s">
        <v>275</v>
      </c>
      <c r="N59" s="90" t="s">
        <v>267</v>
      </c>
      <c r="O59" s="90" t="s">
        <v>267</v>
      </c>
      <c r="P59" s="90" t="s">
        <v>274</v>
      </c>
      <c r="Q59" s="90" t="s">
        <v>270</v>
      </c>
      <c r="R59"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59" s="91">
        <f>(1 - ((1 - VLOOKUP(Table4[[#This Row],[Confidentiality]],'Reference - CVSSv3.0'!$B$16:$C$18,2,FALSE())) * (1 - VLOOKUP(Table4[[#This Row],[Integrity]],'Reference - CVSSv3.0'!$B$16:$C$18,2,FALSE())) *  (1 - VLOOKUP(Table4[[#This Row],[Availability]],'Reference - CVSSv3.0'!$B$16:$C$18,2,FALSE()))))</f>
        <v>0.52544799999999992</v>
      </c>
      <c r="T59" s="91">
        <f>IF(Table4[[#This Row],[Scope]]="Unchanged",6.42*Table4[[#This Row],[ISC Base]],IF(Table4[[#This Row],[Scope]]="Changed",7.52*(Table4[[#This Row],[ISC Base]] - 0.029) - 3.25 * POWER(Table4[[#This Row],[ISC Base]] - 0.02,15),NA()))</f>
        <v>3.3733761599999994</v>
      </c>
      <c r="U59"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59" s="85" t="s">
        <v>267</v>
      </c>
      <c r="W59" s="91">
        <f>VLOOKUP(Table4[[#This Row],[Threat Event Initiation]],NIST_Scale_LOAI[],2,FALSE())</f>
        <v>0.2</v>
      </c>
      <c r="X5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9" s="19" t="s">
        <v>271</v>
      </c>
      <c r="AA59" s="19" t="s">
        <v>454</v>
      </c>
      <c r="AB59" s="19" t="s">
        <v>527</v>
      </c>
      <c r="AC59" s="36"/>
      <c r="AD59" s="36"/>
      <c r="AE59" s="36"/>
      <c r="AF59" s="90"/>
      <c r="AG59" s="90"/>
      <c r="AH59" s="90"/>
      <c r="AI59" s="90"/>
      <c r="AJ59" s="90"/>
      <c r="AK59"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9" s="91" t="e">
        <f>(1 - ((1 - VLOOKUP(Table4[[#This Row],[ConfidentialityP]],'Reference - CVSSv3.0'!$B$16:$C$18,2,FALSE())) * (1 - VLOOKUP(Table4[[#This Row],[IntegrityP]],'Reference - CVSSv3.0'!$B$16:$C$18,2,FALSE())) *  (1 - VLOOKUP(Table4[[#This Row],[AvailabilityP]],'Reference - CVSSv3.0'!$B$16:$C$18,2,FALSE()))))</f>
        <v>#N/A</v>
      </c>
      <c r="AM59" s="91" t="e">
        <f>IF(Table4[[#This Row],[ScopeP]]="Unchanged",6.42*Table4[[#This Row],[ISC BaseP]],IF(Table4[[#This Row],[ScopeP]]="Changed",7.52*(Table4[[#This Row],[ISC BaseP]] - 0.029) - 3.25 * POWER(Table4[[#This Row],[ISC BaseP]] - 0.02,15),NA()))</f>
        <v>#N/A</v>
      </c>
      <c r="AN5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9" s="36"/>
    </row>
    <row r="60" spans="1:43" ht="213.75">
      <c r="A60" s="84">
        <v>56</v>
      </c>
      <c r="B60" s="85" t="s">
        <v>188</v>
      </c>
      <c r="C60" s="86" t="str">
        <f>IF(VLOOKUP(Table4[[#This Row],[T ID]],Table5[#All],5,FALSE())="No","Not in scope",VLOOKUP(Table4[[#This Row],[T ID]],Table5[#All],2,FALSE()))</f>
        <v>Clearing Track
(TTP)</v>
      </c>
      <c r="D60" s="57" t="s">
        <v>111</v>
      </c>
      <c r="E60" s="86" t="str">
        <f>IF(VLOOKUP(Table4[[#This Row],[V ID]],Vulnerabilities[#All],3,FALSE())="No","Not in scope",VLOOKUP(Table4[[#This Row],[V ID]],Vulnerabilities[#All],2,FALSE()))</f>
        <v>Ineffective patch management of firware, OS and applications thoughout the information system plan</v>
      </c>
      <c r="F60" s="87" t="s">
        <v>42</v>
      </c>
      <c r="G60" s="88" t="str">
        <f>VLOOKUP(Table4[[#This Row],[A ID]],Assets[#All],3,FALSE())</f>
        <v>Tablet OS/network details &amp; Tablet Application</v>
      </c>
      <c r="H60" s="19" t="s">
        <v>292</v>
      </c>
      <c r="I60" s="19" t="s">
        <v>293</v>
      </c>
      <c r="J60" s="89" t="s">
        <v>267</v>
      </c>
      <c r="K60" s="89" t="s">
        <v>267</v>
      </c>
      <c r="L60" s="89" t="s">
        <v>267</v>
      </c>
      <c r="M60" s="90" t="s">
        <v>275</v>
      </c>
      <c r="N60" s="90" t="s">
        <v>267</v>
      </c>
      <c r="O60" s="90" t="s">
        <v>267</v>
      </c>
      <c r="P60" s="90" t="s">
        <v>274</v>
      </c>
      <c r="Q60" s="90" t="s">
        <v>270</v>
      </c>
      <c r="R6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60" s="91">
        <f>(1 - ((1 - VLOOKUP(Table4[[#This Row],[Confidentiality]],'Reference - CVSSv3.0'!$B$16:$C$18,2,FALSE())) * (1 - VLOOKUP(Table4[[#This Row],[Integrity]],'Reference - CVSSv3.0'!$B$16:$C$18,2,FALSE())) *  (1 - VLOOKUP(Table4[[#This Row],[Availability]],'Reference - CVSSv3.0'!$B$16:$C$18,2,FALSE()))))</f>
        <v>0.52544799999999992</v>
      </c>
      <c r="T60" s="91">
        <f>IF(Table4[[#This Row],[Scope]]="Unchanged",6.42*Table4[[#This Row],[ISC Base]],IF(Table4[[#This Row],[Scope]]="Changed",7.52*(Table4[[#This Row],[ISC Base]] - 0.029) - 3.25 * POWER(Table4[[#This Row],[ISC Base]] - 0.02,15),NA()))</f>
        <v>3.3733761599999994</v>
      </c>
      <c r="U60"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60" s="85" t="s">
        <v>267</v>
      </c>
      <c r="W60" s="91">
        <f>VLOOKUP(Table4[[#This Row],[Threat Event Initiation]],NIST_Scale_LOAI[],2,FALSE())</f>
        <v>0.2</v>
      </c>
      <c r="X6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0" s="19" t="s">
        <v>271</v>
      </c>
      <c r="AA60" s="19" t="s">
        <v>272</v>
      </c>
      <c r="AB60" s="19" t="s">
        <v>528</v>
      </c>
      <c r="AC60" s="36"/>
      <c r="AD60" s="36"/>
      <c r="AE60" s="36"/>
      <c r="AF60" s="90"/>
      <c r="AG60" s="90"/>
      <c r="AH60" s="90"/>
      <c r="AI60" s="90"/>
      <c r="AJ60" s="90"/>
      <c r="AK60"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0" s="91" t="e">
        <f>(1 - ((1 - VLOOKUP(Table4[[#This Row],[ConfidentialityP]],'Reference - CVSSv3.0'!$B$16:$C$18,2,FALSE())) * (1 - VLOOKUP(Table4[[#This Row],[IntegrityP]],'Reference - CVSSv3.0'!$B$16:$C$18,2,FALSE())) *  (1 - VLOOKUP(Table4[[#This Row],[AvailabilityP]],'Reference - CVSSv3.0'!$B$16:$C$18,2,FALSE()))))</f>
        <v>#N/A</v>
      </c>
      <c r="AM60" s="91" t="e">
        <f>IF(Table4[[#This Row],[ScopeP]]="Unchanged",6.42*Table4[[#This Row],[ISC BaseP]],IF(Table4[[#This Row],[ScopeP]]="Changed",7.52*(Table4[[#This Row],[ISC BaseP]] - 0.029) - 3.25 * POWER(Table4[[#This Row],[ISC BaseP]] - 0.02,15),NA()))</f>
        <v>#N/A</v>
      </c>
      <c r="AN6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0" s="36"/>
    </row>
    <row r="61" spans="1:43" ht="171" customHeight="1">
      <c r="A61" s="84">
        <v>57</v>
      </c>
      <c r="B61" s="85" t="s">
        <v>188</v>
      </c>
      <c r="C61" s="86" t="str">
        <f>IF(VLOOKUP(Table4[[#This Row],[T ID]],Table5[#All],5,FALSE())="No","Not in scope",VLOOKUP(Table4[[#This Row],[T ID]],Table5[#All],2,FALSE()))</f>
        <v>Clearing Track
(TTP)</v>
      </c>
      <c r="D61" s="57" t="s">
        <v>115</v>
      </c>
      <c r="E61" s="86" t="str">
        <f>IF(VLOOKUP(Table4[[#This Row],[V ID]],Vulnerabilities[#All],3,FALSE())="No","Not in scope",VLOOKUP(Table4[[#This Row],[V ID]],Vulnerabilities[#All],2,FALSE()))</f>
        <v>The  static connection digaram between devices and applications with provision for periodic updation as per changes</v>
      </c>
      <c r="F61" s="87" t="s">
        <v>53</v>
      </c>
      <c r="G61" s="88" t="str">
        <f>VLOOKUP(Table4[[#This Row],[A ID]],Assets[#All],3,FALSE())</f>
        <v>Device Maintainence tool (Hardware/Software)</v>
      </c>
      <c r="H61" s="19" t="s">
        <v>292</v>
      </c>
      <c r="I61" s="19" t="s">
        <v>293</v>
      </c>
      <c r="J61" s="89" t="s">
        <v>267</v>
      </c>
      <c r="K61" s="89" t="s">
        <v>267</v>
      </c>
      <c r="L61" s="89" t="s">
        <v>267</v>
      </c>
      <c r="M61" s="90" t="s">
        <v>275</v>
      </c>
      <c r="N61" s="90" t="s">
        <v>267</v>
      </c>
      <c r="O61" s="90" t="s">
        <v>267</v>
      </c>
      <c r="P61" s="90" t="s">
        <v>274</v>
      </c>
      <c r="Q61" s="90" t="s">
        <v>270</v>
      </c>
      <c r="R6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61" s="91">
        <f>(1 - ((1 - VLOOKUP(Table4[[#This Row],[Confidentiality]],'Reference - CVSSv3.0'!$B$16:$C$18,2,FALSE())) * (1 - VLOOKUP(Table4[[#This Row],[Integrity]],'Reference - CVSSv3.0'!$B$16:$C$18,2,FALSE())) *  (1 - VLOOKUP(Table4[[#This Row],[Availability]],'Reference - CVSSv3.0'!$B$16:$C$18,2,FALSE()))))</f>
        <v>0.52544799999999992</v>
      </c>
      <c r="T61" s="91">
        <f>IF(Table4[[#This Row],[Scope]]="Unchanged",6.42*Table4[[#This Row],[ISC Base]],IF(Table4[[#This Row],[Scope]]="Changed",7.52*(Table4[[#This Row],[ISC Base]] - 0.029) - 3.25 * POWER(Table4[[#This Row],[ISC Base]] - 0.02,15),NA()))</f>
        <v>3.3733761599999994</v>
      </c>
      <c r="U61"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61" s="85" t="s">
        <v>267</v>
      </c>
      <c r="W61" s="91">
        <f>VLOOKUP(Table4[[#This Row],[Threat Event Initiation]],NIST_Scale_LOAI[],2,FALSE())</f>
        <v>0.2</v>
      </c>
      <c r="X6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1" s="19" t="s">
        <v>271</v>
      </c>
      <c r="AA61" s="19" t="s">
        <v>454</v>
      </c>
      <c r="AB61" s="19" t="s">
        <v>529</v>
      </c>
      <c r="AC61" s="36"/>
      <c r="AD61" s="36"/>
      <c r="AE61" s="36"/>
      <c r="AF61" s="90"/>
      <c r="AG61" s="90"/>
      <c r="AH61" s="90"/>
      <c r="AI61" s="90"/>
      <c r="AJ61" s="90"/>
      <c r="AK61"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1" s="91" t="e">
        <f>(1 - ((1 - VLOOKUP(Table4[[#This Row],[ConfidentialityP]],'Reference - CVSSv3.0'!$B$16:$C$18,2,FALSE())) * (1 - VLOOKUP(Table4[[#This Row],[IntegrityP]],'Reference - CVSSv3.0'!$B$16:$C$18,2,FALSE())) *  (1 - VLOOKUP(Table4[[#This Row],[AvailabilityP]],'Reference - CVSSv3.0'!$B$16:$C$18,2,FALSE()))))</f>
        <v>#N/A</v>
      </c>
      <c r="AM61" s="91" t="e">
        <f>IF(Table4[[#This Row],[ScopeP]]="Unchanged",6.42*Table4[[#This Row],[ISC BaseP]],IF(Table4[[#This Row],[ScopeP]]="Changed",7.52*(Table4[[#This Row],[ISC BaseP]] - 0.029) - 3.25 * POWER(Table4[[#This Row],[ISC BaseP]] - 0.02,15),NA()))</f>
        <v>#N/A</v>
      </c>
      <c r="AN6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1" s="36"/>
    </row>
    <row r="62" spans="1:43" ht="213.75">
      <c r="A62" s="84">
        <v>58</v>
      </c>
      <c r="B62" s="85" t="s">
        <v>188</v>
      </c>
      <c r="C62" s="86" t="str">
        <f>IF(VLOOKUP(Table4[[#This Row],[T ID]],Table5[#All],5,FALSE())="No","Not in scope",VLOOKUP(Table4[[#This Row],[T ID]],Table5[#All],2,FALSE()))</f>
        <v>Clearing Track
(TTP)</v>
      </c>
      <c r="D62" s="57" t="s">
        <v>115</v>
      </c>
      <c r="E62" s="86" t="str">
        <f>IF(VLOOKUP(Table4[[#This Row],[V ID]],Vulnerabilities[#All],3,FALSE())="No","Not in scope",VLOOKUP(Table4[[#This Row],[V ID]],Vulnerabilities[#All],2,FALSE()))</f>
        <v>The  static connection digaram between devices and applications with provision for periodic updation as per changes</v>
      </c>
      <c r="F62" s="87" t="s">
        <v>38</v>
      </c>
      <c r="G62" s="88" t="str">
        <f>VLOOKUP(Table4[[#This Row],[A ID]],Assets[#All],3,FALSE())</f>
        <v>Tablet Resources - web cam, microphone, OTG devices, Removable USB, Tablet Application, Network interfaces (Bluetooth, Wifi)</v>
      </c>
      <c r="H62" s="19" t="s">
        <v>292</v>
      </c>
      <c r="I62" s="19" t="s">
        <v>293</v>
      </c>
      <c r="J62" s="89" t="s">
        <v>267</v>
      </c>
      <c r="K62" s="89" t="s">
        <v>267</v>
      </c>
      <c r="L62" s="89" t="s">
        <v>267</v>
      </c>
      <c r="M62" s="90" t="s">
        <v>275</v>
      </c>
      <c r="N62" s="90" t="s">
        <v>267</v>
      </c>
      <c r="O62" s="90" t="s">
        <v>267</v>
      </c>
      <c r="P62" s="90" t="s">
        <v>274</v>
      </c>
      <c r="Q62" s="90" t="s">
        <v>270</v>
      </c>
      <c r="R6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62" s="91">
        <f>(1 - ((1 - VLOOKUP(Table4[[#This Row],[Confidentiality]],'Reference - CVSSv3.0'!$B$16:$C$18,2,FALSE())) * (1 - VLOOKUP(Table4[[#This Row],[Integrity]],'Reference - CVSSv3.0'!$B$16:$C$18,2,FALSE())) *  (1 - VLOOKUP(Table4[[#This Row],[Availability]],'Reference - CVSSv3.0'!$B$16:$C$18,2,FALSE()))))</f>
        <v>0.52544799999999992</v>
      </c>
      <c r="T62" s="91">
        <f>IF(Table4[[#This Row],[Scope]]="Unchanged",6.42*Table4[[#This Row],[ISC Base]],IF(Table4[[#This Row],[Scope]]="Changed",7.52*(Table4[[#This Row],[ISC Base]] - 0.029) - 3.25 * POWER(Table4[[#This Row],[ISC Base]] - 0.02,15),NA()))</f>
        <v>3.3733761599999994</v>
      </c>
      <c r="U62"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62" s="85" t="s">
        <v>267</v>
      </c>
      <c r="W62" s="91">
        <f>VLOOKUP(Table4[[#This Row],[Threat Event Initiation]],NIST_Scale_LOAI[],2,FALSE())</f>
        <v>0.2</v>
      </c>
      <c r="X6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2" s="19" t="s">
        <v>271</v>
      </c>
      <c r="AA62" s="19" t="s">
        <v>282</v>
      </c>
      <c r="AB62" s="19" t="s">
        <v>530</v>
      </c>
      <c r="AC62" s="36"/>
      <c r="AD62" s="36"/>
      <c r="AE62" s="36"/>
      <c r="AF62" s="90"/>
      <c r="AG62" s="90"/>
      <c r="AH62" s="90"/>
      <c r="AI62" s="90"/>
      <c r="AJ62" s="90"/>
      <c r="AK62"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2" s="91" t="e">
        <f>(1 - ((1 - VLOOKUP(Table4[[#This Row],[ConfidentialityP]],'Reference - CVSSv3.0'!$B$16:$C$18,2,FALSE())) * (1 - VLOOKUP(Table4[[#This Row],[IntegrityP]],'Reference - CVSSv3.0'!$B$16:$C$18,2,FALSE())) *  (1 - VLOOKUP(Table4[[#This Row],[AvailabilityP]],'Reference - CVSSv3.0'!$B$16:$C$18,2,FALSE()))))</f>
        <v>#N/A</v>
      </c>
      <c r="AM62" s="91" t="e">
        <f>IF(Table4[[#This Row],[ScopeP]]="Unchanged",6.42*Table4[[#This Row],[ISC BaseP]],IF(Table4[[#This Row],[ScopeP]]="Changed",7.52*(Table4[[#This Row],[ISC BaseP]] - 0.029) - 3.25 * POWER(Table4[[#This Row],[ISC BaseP]] - 0.02,15),NA()))</f>
        <v>#N/A</v>
      </c>
      <c r="AN6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2" s="36"/>
    </row>
    <row r="63" spans="1:43" s="234" customFormat="1" ht="216.6" customHeight="1">
      <c r="A63" s="219">
        <v>59</v>
      </c>
      <c r="B63" s="85" t="s">
        <v>191</v>
      </c>
      <c r="C63" s="86" t="str">
        <f>IF(VLOOKUP(Table4[[#This Row],[T ID]],Table5[#All],5,FALSE())="No","Not in scope",VLOOKUP(Table4[[#This Row],[T ID]],Table5[#All],2,FALSE()))</f>
        <v>Elevation of privilege
(STRID[E])</v>
      </c>
      <c r="D63" s="57" t="s">
        <v>126</v>
      </c>
      <c r="E63" s="86" t="str">
        <f>IF(VLOOKUP(Table4[[#This Row],[V ID]],Vulnerabilities[#All],3,FALSE())="No","Not in scope",VLOOKUP(Table4[[#This Row],[V ID]],Vulnerabilities[#All],2,FALSE()))</f>
        <v>Controlled Use of Administrative Privileges over the network</v>
      </c>
      <c r="F63" s="87" t="s">
        <v>50</v>
      </c>
      <c r="G63" s="88" t="str">
        <f>VLOOKUP(Table4[[#This Row],[A ID]],Assets[#All],3,FALSE())</f>
        <v>Authentication/Authorisation method of all device(s)/app</v>
      </c>
      <c r="H63" s="221" t="s">
        <v>295</v>
      </c>
      <c r="I63" s="19" t="s">
        <v>465</v>
      </c>
      <c r="J63" s="224" t="s">
        <v>267</v>
      </c>
      <c r="K63" s="224" t="s">
        <v>267</v>
      </c>
      <c r="L63" s="224" t="s">
        <v>267</v>
      </c>
      <c r="M63" s="224" t="s">
        <v>273</v>
      </c>
      <c r="N63" s="224" t="s">
        <v>267</v>
      </c>
      <c r="O63" s="224" t="s">
        <v>267</v>
      </c>
      <c r="P63" s="224" t="s">
        <v>269</v>
      </c>
      <c r="Q63" s="224" t="s">
        <v>270</v>
      </c>
      <c r="R6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2.0680681560000003</v>
      </c>
      <c r="S63" s="93">
        <f>(1 - ((1 - VLOOKUP(Table4[[#This Row],[Confidentiality]],'Reference - CVSSv3.0'!$B$16:$C$18,2,FALSE())) * (1 - VLOOKUP(Table4[[#This Row],[Integrity]],'Reference - CVSSv3.0'!$B$16:$C$18,2,FALSE())) *  (1 - VLOOKUP(Table4[[#This Row],[Availability]],'Reference - CVSSv3.0'!$B$16:$C$18,2,FALSE()))))</f>
        <v>0.52544799999999992</v>
      </c>
      <c r="T63" s="93">
        <f>IF(Table4[[#This Row],[Scope]]="Unchanged",6.42*Table4[[#This Row],[ISC Base]],IF(Table4[[#This Row],[Scope]]="Changed",7.52*(Table4[[#This Row],[ISC Base]] - 0.029) - 3.25 * POWER(Table4[[#This Row],[ISC Base]] - 0.02,15),NA()))</f>
        <v>3.3733761599999994</v>
      </c>
      <c r="U63" s="93">
        <f>IF(Table4[[#This Row],[Impact Sub Score]]&lt;=0,0,IF(Table4[[#This Row],[Scope]]="Unchanged",ROUNDUP(MIN((Table4[[#This Row],[Impact Sub Score]]+Table4[[#This Row],[Exploitability Sub Score]]),10),1),IF(Table4[[#This Row],[Scope]]="Changed",ROUNDUP(MIN((1.08*(Table4[[#This Row],[Impact Sub Score]]+Table4[[#This Row],[Exploitability Sub Score]])),10),1),NA())))</f>
        <v>5.5</v>
      </c>
      <c r="V63" s="220" t="s">
        <v>267</v>
      </c>
      <c r="W63" s="91">
        <f>VLOOKUP(Table4[[#This Row],[Threat Event Initiation]],NIST_Scale_LOAI[],2,FALSE())</f>
        <v>0.2</v>
      </c>
      <c r="X6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3" s="23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3" s="19" t="s">
        <v>296</v>
      </c>
      <c r="AA63" s="19" t="s">
        <v>458</v>
      </c>
      <c r="AB63" s="19" t="s">
        <v>531</v>
      </c>
      <c r="AC63" s="223"/>
      <c r="AD63" s="223"/>
      <c r="AE63" s="223"/>
      <c r="AF63" s="224"/>
      <c r="AG63" s="224"/>
      <c r="AH63" s="224"/>
      <c r="AI63" s="224"/>
      <c r="AJ63" s="224"/>
      <c r="AK63" s="225"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3" s="225" t="e">
        <f>(1 - ((1 - VLOOKUP(Table4[[#This Row],[ConfidentialityP]],'Reference - CVSSv3.0'!$B$16:$C$18,2,FALSE())) * (1 - VLOOKUP(Table4[[#This Row],[IntegrityP]],'Reference - CVSSv3.0'!$B$16:$C$18,2,FALSE())) *  (1 - VLOOKUP(Table4[[#This Row],[AvailabilityP]],'Reference - CVSSv3.0'!$B$16:$C$18,2,FALSE()))))</f>
        <v>#N/A</v>
      </c>
      <c r="AM63" s="225" t="e">
        <f>IF(Table4[[#This Row],[ScopeP]]="Unchanged",6.42*Table4[[#This Row],[ISC BaseP]],IF(Table4[[#This Row],[ScopeP]]="Changed",7.52*(Table4[[#This Row],[ISC BaseP]] - 0.029) - 3.25 * POWER(Table4[[#This Row],[ISC BaseP]] - 0.02,15),NA()))</f>
        <v>#N/A</v>
      </c>
      <c r="AN6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3" s="223"/>
    </row>
    <row r="64" spans="1:43" ht="169.5" customHeight="1">
      <c r="A64" s="84">
        <v>60</v>
      </c>
      <c r="B64" s="85" t="s">
        <v>191</v>
      </c>
      <c r="C64" s="86" t="str">
        <f>IF(VLOOKUP(Table4[[#This Row],[T ID]],Table5[#All],5,FALSE())="No","Not in scope",VLOOKUP(Table4[[#This Row],[T ID]],Table5[#All],2,FALSE()))</f>
        <v>Elevation of privilege
(STRID[E])</v>
      </c>
      <c r="D64" s="57" t="s">
        <v>126</v>
      </c>
      <c r="E64" s="86" t="str">
        <f>IF(VLOOKUP(Table4[[#This Row],[V ID]],Vulnerabilities[#All],3,FALSE())="No","Not in scope",VLOOKUP(Table4[[#This Row],[V ID]],Vulnerabilities[#All],2,FALSE()))</f>
        <v>Controlled Use of Administrative Privileges over the network</v>
      </c>
      <c r="F64" s="87" t="s">
        <v>74</v>
      </c>
      <c r="G64" s="88" t="str">
        <f>VLOOKUP(Table4[[#This Row],[A ID]],Assets[#All],3,FALSE())</f>
        <v>Smart medic app (Azure Portal Administrator)</v>
      </c>
      <c r="H64" s="19" t="s">
        <v>295</v>
      </c>
      <c r="I64" s="19" t="s">
        <v>465</v>
      </c>
      <c r="J64" s="89" t="s">
        <v>274</v>
      </c>
      <c r="K64" s="89" t="s">
        <v>267</v>
      </c>
      <c r="L64" s="89" t="s">
        <v>276</v>
      </c>
      <c r="M64" s="90" t="s">
        <v>273</v>
      </c>
      <c r="N64" s="90" t="s">
        <v>267</v>
      </c>
      <c r="O64" s="90" t="s">
        <v>276</v>
      </c>
      <c r="P64" s="90" t="s">
        <v>269</v>
      </c>
      <c r="Q64" s="90" t="s">
        <v>270</v>
      </c>
      <c r="R6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0.90061032600000002</v>
      </c>
      <c r="S64" s="91">
        <f>(1 - ((1 - VLOOKUP(Table4[[#This Row],[Confidentiality]],'Reference - CVSSv3.0'!$B$16:$C$18,2,FALSE())) * (1 - VLOOKUP(Table4[[#This Row],[Integrity]],'Reference - CVSSv3.0'!$B$16:$C$18,2,FALSE())) *  (1 - VLOOKUP(Table4[[#This Row],[Availability]],'Reference - CVSSv3.0'!$B$16:$C$18,2,FALSE()))))</f>
        <v>0.65680000000000005</v>
      </c>
      <c r="T64" s="91">
        <f>IF(Table4[[#This Row],[Scope]]="Unchanged",6.42*Table4[[#This Row],[ISC Base]],IF(Table4[[#This Row],[Scope]]="Changed",7.52*(Table4[[#This Row],[ISC Base]] - 0.029) - 3.25 * POWER(Table4[[#This Row],[ISC Base]] - 0.02,15),NA()))</f>
        <v>4.2166560000000004</v>
      </c>
      <c r="U64" s="91">
        <f>IF(Table4[[#This Row],[Impact Sub Score]]&lt;=0,0,IF(Table4[[#This Row],[Scope]]="Unchanged",ROUNDUP(MIN((Table4[[#This Row],[Impact Sub Score]]+Table4[[#This Row],[Exploitability Sub Score]]),10),1),IF(Table4[[#This Row],[Scope]]="Changed",ROUNDUP(MIN((1.08*(Table4[[#This Row],[Impact Sub Score]]+Table4[[#This Row],[Exploitability Sub Score]])),10),1),NA())))</f>
        <v>5.1999999999999993</v>
      </c>
      <c r="V64" s="85" t="s">
        <v>277</v>
      </c>
      <c r="W64" s="91">
        <f>VLOOKUP(Table4[[#This Row],[Threat Event Initiation]],NIST_Scale_LOAI[],2,FALSE())</f>
        <v>0.5</v>
      </c>
      <c r="X6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4.6999999999999993</v>
      </c>
      <c r="Y6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4" s="19" t="s">
        <v>296</v>
      </c>
      <c r="AA64" s="19" t="s">
        <v>455</v>
      </c>
      <c r="AB64" s="19" t="s">
        <v>532</v>
      </c>
      <c r="AC64" s="36"/>
      <c r="AD64" s="36"/>
      <c r="AE64" s="36"/>
      <c r="AF64" s="90"/>
      <c r="AG64" s="90"/>
      <c r="AH64" s="90"/>
      <c r="AI64" s="90"/>
      <c r="AJ64" s="90"/>
      <c r="AK6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4" s="91" t="e">
        <f>(1 - ((1 - VLOOKUP(Table4[[#This Row],[ConfidentialityP]],'Reference - CVSSv3.0'!$B$16:$C$18,2,FALSE())) * (1 - VLOOKUP(Table4[[#This Row],[IntegrityP]],'Reference - CVSSv3.0'!$B$16:$C$18,2,FALSE())) *  (1 - VLOOKUP(Table4[[#This Row],[AvailabilityP]],'Reference - CVSSv3.0'!$B$16:$C$18,2,FALSE()))))</f>
        <v>#N/A</v>
      </c>
      <c r="AM64" s="91" t="e">
        <f>IF(Table4[[#This Row],[ScopeP]]="Unchanged",6.42*Table4[[#This Row],[ISC BaseP]],IF(Table4[[#This Row],[ScopeP]]="Changed",7.52*(Table4[[#This Row],[ISC BaseP]] - 0.029) - 3.25 * POWER(Table4[[#This Row],[ISC BaseP]] - 0.02,15),NA()))</f>
        <v>#N/A</v>
      </c>
      <c r="AN6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4" s="36"/>
    </row>
    <row r="65" spans="1:43" ht="213.75">
      <c r="A65" s="84">
        <v>61</v>
      </c>
      <c r="B65" s="85" t="s">
        <v>194</v>
      </c>
      <c r="C65" s="86" t="str">
        <f>IF(VLOOKUP(Table4[[#This Row],[T ID]],Table5[#All],5,FALSE())="No","Not in scope",VLOOKUP(Table4[[#This Row],[T ID]],Table5[#All],2,FALSE()))</f>
        <v>Denial of service
(STRI(D)E)</v>
      </c>
      <c r="D65" s="57" t="s">
        <v>120</v>
      </c>
      <c r="E65" s="86" t="str">
        <f>IF(VLOOKUP(Table4[[#This Row],[V ID]],Vulnerabilities[#All],3,FALSE())="No","Not in scope",VLOOKUP(Table4[[#This Row],[V ID]],Vulnerabilities[#All],2,FALSE()))</f>
        <v>Unprotected network port(s) on network devices and connection points</v>
      </c>
      <c r="F65" s="87" t="s">
        <v>42</v>
      </c>
      <c r="G65" s="88" t="str">
        <f>VLOOKUP(Table4[[#This Row],[A ID]],Assets[#All],3,FALSE())</f>
        <v>Tablet OS/network details &amp; Tablet Application</v>
      </c>
      <c r="H65" s="19" t="s">
        <v>297</v>
      </c>
      <c r="I65" s="19" t="s">
        <v>465</v>
      </c>
      <c r="J65" s="89" t="s">
        <v>274</v>
      </c>
      <c r="K65" s="89" t="s">
        <v>274</v>
      </c>
      <c r="L65" s="89" t="s">
        <v>276</v>
      </c>
      <c r="M65" s="90" t="s">
        <v>273</v>
      </c>
      <c r="N65" s="90" t="s">
        <v>267</v>
      </c>
      <c r="O65" s="90" t="s">
        <v>267</v>
      </c>
      <c r="P65" s="90" t="s">
        <v>274</v>
      </c>
      <c r="Q65" s="90" t="s">
        <v>270</v>
      </c>
      <c r="R65"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2.8352547299999999</v>
      </c>
      <c r="S65" s="91">
        <f>(1 - ((1 - VLOOKUP(Table4[[#This Row],[Confidentiality]],'Reference - CVSSv3.0'!$B$16:$C$18,2,FALSE())) * (1 - VLOOKUP(Table4[[#This Row],[Integrity]],'Reference - CVSSv3.0'!$B$16:$C$18,2,FALSE())) *  (1 - VLOOKUP(Table4[[#This Row],[Availability]],'Reference - CVSSv3.0'!$B$16:$C$18,2,FALSE()))))</f>
        <v>0.56000000000000005</v>
      </c>
      <c r="T65" s="91">
        <f>IF(Table4[[#This Row],[Scope]]="Unchanged",6.42*Table4[[#This Row],[ISC Base]],IF(Table4[[#This Row],[Scope]]="Changed",7.52*(Table4[[#This Row],[ISC Base]] - 0.029) - 3.25 * POWER(Table4[[#This Row],[ISC Base]] - 0.02,15),NA()))</f>
        <v>3.5952000000000002</v>
      </c>
      <c r="U65" s="91">
        <f>IF(Table4[[#This Row],[Impact Sub Score]]&lt;=0,0,IF(Table4[[#This Row],[Scope]]="Unchanged",ROUNDUP(MIN((Table4[[#This Row],[Impact Sub Score]]+Table4[[#This Row],[Exploitability Sub Score]]),10),1),IF(Table4[[#This Row],[Scope]]="Changed",ROUNDUP(MIN((1.08*(Table4[[#This Row],[Impact Sub Score]]+Table4[[#This Row],[Exploitability Sub Score]])),10),1),NA())))</f>
        <v>6.5</v>
      </c>
      <c r="V65" s="85" t="s">
        <v>267</v>
      </c>
      <c r="W65" s="91">
        <f>VLOOKUP(Table4[[#This Row],[Threat Event Initiation]],NIST_Scale_LOAI[],2,FALSE())</f>
        <v>0.2</v>
      </c>
      <c r="X6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4.1999999999999993</v>
      </c>
      <c r="Y6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5" s="19" t="s">
        <v>298</v>
      </c>
      <c r="AA65" s="19" t="s">
        <v>272</v>
      </c>
      <c r="AB65" s="19" t="s">
        <v>533</v>
      </c>
      <c r="AC65" s="36"/>
      <c r="AD65" s="36"/>
      <c r="AE65" s="36"/>
      <c r="AF65" s="90"/>
      <c r="AG65" s="90"/>
      <c r="AH65" s="90"/>
      <c r="AI65" s="90"/>
      <c r="AJ65" s="90"/>
      <c r="AK65"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5" s="91" t="e">
        <f>(1 - ((1 - VLOOKUP(Table4[[#This Row],[ConfidentialityP]],'Reference - CVSSv3.0'!$B$16:$C$18,2,FALSE())) * (1 - VLOOKUP(Table4[[#This Row],[IntegrityP]],'Reference - CVSSv3.0'!$B$16:$C$18,2,FALSE())) *  (1 - VLOOKUP(Table4[[#This Row],[AvailabilityP]],'Reference - CVSSv3.0'!$B$16:$C$18,2,FALSE()))))</f>
        <v>#N/A</v>
      </c>
      <c r="AM65" s="91" t="e">
        <f>IF(Table4[[#This Row],[ScopeP]]="Unchanged",6.42*Table4[[#This Row],[ISC BaseP]],IF(Table4[[#This Row],[ScopeP]]="Changed",7.52*(Table4[[#This Row],[ISC BaseP]] - 0.029) - 3.25 * POWER(Table4[[#This Row],[ISC BaseP]] - 0.02,15),NA()))</f>
        <v>#N/A</v>
      </c>
      <c r="AN6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5" s="36"/>
    </row>
    <row r="66" spans="1:43" ht="299.25">
      <c r="A66" s="84">
        <v>62</v>
      </c>
      <c r="B66" s="85" t="s">
        <v>197</v>
      </c>
      <c r="C66" s="86" t="str">
        <f>IF(VLOOKUP(Table4[[#This Row],[T ID]],Table5[#All],5,FALSE())="No","Not in scope",VLOOKUP(Table4[[#This Row],[T ID]],Table5[#All],2,FALSE()))</f>
        <v>Information disclosure
(STR(I)DE)</v>
      </c>
      <c r="D66" s="57" t="s">
        <v>129</v>
      </c>
      <c r="E66" s="86" t="str">
        <f>IF(VLOOKUP(Table4[[#This Row],[V ID]],Vulnerabilities[#All],3,FALSE())="No","Not in scope",VLOOKUP(Table4[[#This Row],[V ID]],Vulnerabilities[#All],2,FALSE()))</f>
        <v>Unencrypted data at rest in all possible locations</v>
      </c>
      <c r="F66" s="87" t="s">
        <v>65</v>
      </c>
      <c r="G66" s="88" t="str">
        <f>VLOOKUP(Table4[[#This Row],[A ID]],Assets[#All],3,FALSE())</f>
        <v>Data at Rest</v>
      </c>
      <c r="H66" s="19" t="s">
        <v>299</v>
      </c>
      <c r="I66" s="19" t="s">
        <v>465</v>
      </c>
      <c r="J66" s="89" t="s">
        <v>267</v>
      </c>
      <c r="K66" s="89" t="s">
        <v>267</v>
      </c>
      <c r="L66" s="89" t="s">
        <v>267</v>
      </c>
      <c r="M66" s="90" t="s">
        <v>275</v>
      </c>
      <c r="N66" s="90" t="s">
        <v>276</v>
      </c>
      <c r="O66" s="90" t="s">
        <v>276</v>
      </c>
      <c r="P66" s="90" t="s">
        <v>274</v>
      </c>
      <c r="Q66" s="90" t="s">
        <v>270</v>
      </c>
      <c r="R6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0.45653058000000007</v>
      </c>
      <c r="S66" s="91">
        <f>(1 - ((1 - VLOOKUP(Table4[[#This Row],[Confidentiality]],'Reference - CVSSv3.0'!$B$16:$C$18,2,FALSE())) * (1 - VLOOKUP(Table4[[#This Row],[Integrity]],'Reference - CVSSv3.0'!$B$16:$C$18,2,FALSE())) *  (1 - VLOOKUP(Table4[[#This Row],[Availability]],'Reference - CVSSv3.0'!$B$16:$C$18,2,FALSE()))))</f>
        <v>0.52544799999999992</v>
      </c>
      <c r="T66" s="91">
        <f>IF(Table4[[#This Row],[Scope]]="Unchanged",6.42*Table4[[#This Row],[ISC Base]],IF(Table4[[#This Row],[Scope]]="Changed",7.52*(Table4[[#This Row],[ISC Base]] - 0.029) - 3.25 * POWER(Table4[[#This Row],[ISC Base]] - 0.02,15),NA()))</f>
        <v>3.3733761599999994</v>
      </c>
      <c r="U66"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66" s="85" t="s">
        <v>277</v>
      </c>
      <c r="W66" s="91">
        <f>VLOOKUP(Table4[[#This Row],[Threat Event Initiation]],NIST_Scale_LOAI[],2,FALSE())</f>
        <v>0.5</v>
      </c>
      <c r="X6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6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6" s="19" t="s">
        <v>300</v>
      </c>
      <c r="AA66" s="19" t="s">
        <v>427</v>
      </c>
      <c r="AB66" s="19" t="s">
        <v>534</v>
      </c>
      <c r="AC66" s="36"/>
      <c r="AD66" s="36"/>
      <c r="AE66" s="36"/>
      <c r="AF66" s="90"/>
      <c r="AG66" s="90"/>
      <c r="AH66" s="90"/>
      <c r="AI66" s="90"/>
      <c r="AJ66" s="90"/>
      <c r="AK66"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6" s="91" t="e">
        <f>(1 - ((1 - VLOOKUP(Table4[[#This Row],[ConfidentialityP]],'Reference - CVSSv3.0'!$B$16:$C$18,2,FALSE())) * (1 - VLOOKUP(Table4[[#This Row],[IntegrityP]],'Reference - CVSSv3.0'!$B$16:$C$18,2,FALSE())) *  (1 - VLOOKUP(Table4[[#This Row],[AvailabilityP]],'Reference - CVSSv3.0'!$B$16:$C$18,2,FALSE()))))</f>
        <v>#N/A</v>
      </c>
      <c r="AM66" s="91" t="e">
        <f>IF(Table4[[#This Row],[ScopeP]]="Unchanged",6.42*Table4[[#This Row],[ISC BaseP]],IF(Table4[[#This Row],[ScopeP]]="Changed",7.52*(Table4[[#This Row],[ISC BaseP]] - 0.029) - 3.25 * POWER(Table4[[#This Row],[ISC BaseP]] - 0.02,15),NA()))</f>
        <v>#N/A</v>
      </c>
      <c r="AN6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6" s="36"/>
    </row>
    <row r="67" spans="1:43" ht="270.75">
      <c r="A67" s="84">
        <v>63</v>
      </c>
      <c r="B67" s="85" t="s">
        <v>197</v>
      </c>
      <c r="C67" s="86" t="str">
        <f>IF(VLOOKUP(Table4[[#This Row],[T ID]],Table5[#All],5,FALSE())="No","Not in scope",VLOOKUP(Table4[[#This Row],[T ID]],Table5[#All],2,FALSE()))</f>
        <v>Information disclosure
(STR(I)DE)</v>
      </c>
      <c r="D67" s="57" t="s">
        <v>131</v>
      </c>
      <c r="E67" s="86" t="str">
        <f>IF(VLOOKUP(Table4[[#This Row],[V ID]],Vulnerabilities[#All],3,FALSE())="No","Not in scope",VLOOKUP(Table4[[#This Row],[V ID]],Vulnerabilities[#All],2,FALSE()))</f>
        <v>Unencrypted data in transit in all flowchannels</v>
      </c>
      <c r="F67" s="87" t="s">
        <v>68</v>
      </c>
      <c r="G67" s="88" t="str">
        <f>VLOOKUP(Table4[[#This Row],[A ID]],Assets[#All],3,FALSE())</f>
        <v>Data in Transit</v>
      </c>
      <c r="H67" s="19" t="s">
        <v>299</v>
      </c>
      <c r="I67" s="19" t="s">
        <v>465</v>
      </c>
      <c r="J67" s="89" t="s">
        <v>267</v>
      </c>
      <c r="K67" s="89" t="s">
        <v>274</v>
      </c>
      <c r="L67" s="89" t="s">
        <v>267</v>
      </c>
      <c r="M67" s="90" t="s">
        <v>273</v>
      </c>
      <c r="N67" s="90" t="s">
        <v>276</v>
      </c>
      <c r="O67" s="90" t="s">
        <v>267</v>
      </c>
      <c r="P67" s="90" t="s">
        <v>274</v>
      </c>
      <c r="Q67" s="90" t="s">
        <v>270</v>
      </c>
      <c r="R6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67" s="91">
        <f>(1 - ((1 - VLOOKUP(Table4[[#This Row],[Confidentiality]],'Reference - CVSSv3.0'!$B$16:$C$18,2,FALSE())) * (1 - VLOOKUP(Table4[[#This Row],[Integrity]],'Reference - CVSSv3.0'!$B$16:$C$18,2,FALSE())) *  (1 - VLOOKUP(Table4[[#This Row],[Availability]],'Reference - CVSSv3.0'!$B$16:$C$18,2,FALSE()))))</f>
        <v>0.39159999999999995</v>
      </c>
      <c r="T67" s="91">
        <f>IF(Table4[[#This Row],[Scope]]="Unchanged",6.42*Table4[[#This Row],[ISC Base]],IF(Table4[[#This Row],[Scope]]="Changed",7.52*(Table4[[#This Row],[ISC Base]] - 0.029) - 3.25 * POWER(Table4[[#This Row],[ISC Base]] - 0.02,15),NA()))</f>
        <v>2.5140719999999996</v>
      </c>
      <c r="U67"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67" s="85" t="s">
        <v>277</v>
      </c>
      <c r="W67" s="91">
        <f>VLOOKUP(Table4[[#This Row],[Threat Event Initiation]],NIST_Scale_LOAI[],2,FALSE())</f>
        <v>0.5</v>
      </c>
      <c r="X6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6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7" s="19" t="s">
        <v>301</v>
      </c>
      <c r="AA67" s="19" t="s">
        <v>302</v>
      </c>
      <c r="AB67" s="19" t="s">
        <v>535</v>
      </c>
      <c r="AC67" s="36"/>
      <c r="AD67" s="36"/>
      <c r="AE67" s="36"/>
      <c r="AF67" s="90"/>
      <c r="AG67" s="90"/>
      <c r="AH67" s="90"/>
      <c r="AI67" s="90"/>
      <c r="AJ67" s="90"/>
      <c r="AK67"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7" s="91" t="e">
        <f>(1 - ((1 - VLOOKUP(Table4[[#This Row],[ConfidentialityP]],'Reference - CVSSv3.0'!$B$16:$C$18,2,FALSE())) * (1 - VLOOKUP(Table4[[#This Row],[IntegrityP]],'Reference - CVSSv3.0'!$B$16:$C$18,2,FALSE())) *  (1 - VLOOKUP(Table4[[#This Row],[AvailabilityP]],'Reference - CVSSv3.0'!$B$16:$C$18,2,FALSE()))))</f>
        <v>#N/A</v>
      </c>
      <c r="AM67" s="91" t="e">
        <f>IF(Table4[[#This Row],[ScopeP]]="Unchanged",6.42*Table4[[#This Row],[ISC BaseP]],IF(Table4[[#This Row],[ScopeP]]="Changed",7.52*(Table4[[#This Row],[ISC BaseP]] - 0.029) - 3.25 * POWER(Table4[[#This Row],[ISC BaseP]] - 0.02,15),NA()))</f>
        <v>#N/A</v>
      </c>
      <c r="AN6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7" s="36"/>
    </row>
    <row r="68" spans="1:43" ht="380.25" customHeight="1">
      <c r="A68" s="84">
        <v>64</v>
      </c>
      <c r="B68" s="85" t="s">
        <v>197</v>
      </c>
      <c r="C68" s="86" t="str">
        <f>IF(VLOOKUP(Table4[[#This Row],[T ID]],Table5[#All],5,FALSE())="No","Not in scope",VLOOKUP(Table4[[#This Row],[T ID]],Table5[#All],2,FALSE()))</f>
        <v>Information disclosure
(STR(I)DE)</v>
      </c>
      <c r="D68" s="57" t="s">
        <v>133</v>
      </c>
      <c r="E68" s="86" t="str">
        <f>IF(VLOOKUP(Table4[[#This Row],[V ID]],Vulnerabilities[#All],3,FALSE())="No","Not in scope",VLOOKUP(Table4[[#This Row],[V ID]],Vulnerabilities[#All],2,FALSE()))</f>
        <v>Weak Encryption Implementaion in data at rest and in transit tactical and design wise</v>
      </c>
      <c r="F68" s="87" t="s">
        <v>65</v>
      </c>
      <c r="G68" s="88" t="str">
        <f>VLOOKUP(Table4[[#This Row],[A ID]],Assets[#All],3,FALSE())</f>
        <v>Data at Rest</v>
      </c>
      <c r="H68" s="19" t="s">
        <v>299</v>
      </c>
      <c r="I68" s="19" t="s">
        <v>465</v>
      </c>
      <c r="J68" s="89" t="s">
        <v>267</v>
      </c>
      <c r="K68" s="89" t="s">
        <v>267</v>
      </c>
      <c r="L68" s="89" t="s">
        <v>267</v>
      </c>
      <c r="M68" s="90" t="s">
        <v>275</v>
      </c>
      <c r="N68" s="90" t="s">
        <v>276</v>
      </c>
      <c r="O68" s="90" t="s">
        <v>276</v>
      </c>
      <c r="P68" s="90" t="s">
        <v>274</v>
      </c>
      <c r="Q68" s="90" t="s">
        <v>270</v>
      </c>
      <c r="R6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0.45653058000000007</v>
      </c>
      <c r="S68" s="91">
        <f>(1 - ((1 - VLOOKUP(Table4[[#This Row],[Confidentiality]],'Reference - CVSSv3.0'!$B$16:$C$18,2,FALSE())) * (1 - VLOOKUP(Table4[[#This Row],[Integrity]],'Reference - CVSSv3.0'!$B$16:$C$18,2,FALSE())) *  (1 - VLOOKUP(Table4[[#This Row],[Availability]],'Reference - CVSSv3.0'!$B$16:$C$18,2,FALSE()))))</f>
        <v>0.52544799999999992</v>
      </c>
      <c r="T68" s="91">
        <f>IF(Table4[[#This Row],[Scope]]="Unchanged",6.42*Table4[[#This Row],[ISC Base]],IF(Table4[[#This Row],[Scope]]="Changed",7.52*(Table4[[#This Row],[ISC Base]] - 0.029) - 3.25 * POWER(Table4[[#This Row],[ISC Base]] - 0.02,15),NA()))</f>
        <v>3.3733761599999994</v>
      </c>
      <c r="U68"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68" s="85" t="s">
        <v>277</v>
      </c>
      <c r="W68" s="91">
        <f>VLOOKUP(Table4[[#This Row],[Threat Event Initiation]],NIST_Scale_LOAI[],2,FALSE())</f>
        <v>0.5</v>
      </c>
      <c r="X6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6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8" s="19" t="s">
        <v>428</v>
      </c>
      <c r="AA68" s="19" t="s">
        <v>435</v>
      </c>
      <c r="AB68" s="19" t="s">
        <v>536</v>
      </c>
      <c r="AC68" s="36"/>
      <c r="AD68" s="36"/>
      <c r="AE68" s="36"/>
      <c r="AF68" s="90"/>
      <c r="AG68" s="90"/>
      <c r="AH68" s="90"/>
      <c r="AI68" s="90"/>
      <c r="AJ68" s="90"/>
      <c r="AK68"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8" s="91" t="e">
        <f>(1 - ((1 - VLOOKUP(Table4[[#This Row],[ConfidentialityP]],'Reference - CVSSv3.0'!$B$16:$C$18,2,FALSE())) * (1 - VLOOKUP(Table4[[#This Row],[IntegrityP]],'Reference - CVSSv3.0'!$B$16:$C$18,2,FALSE())) *  (1 - VLOOKUP(Table4[[#This Row],[AvailabilityP]],'Reference - CVSSv3.0'!$B$16:$C$18,2,FALSE()))))</f>
        <v>#N/A</v>
      </c>
      <c r="AM68" s="91" t="e">
        <f>IF(Table4[[#This Row],[ScopeP]]="Unchanged",6.42*Table4[[#This Row],[ISC BaseP]],IF(Table4[[#This Row],[ScopeP]]="Changed",7.52*(Table4[[#This Row],[ISC BaseP]] - 0.029) - 3.25 * POWER(Table4[[#This Row],[ISC BaseP]] - 0.02,15),NA()))</f>
        <v>#N/A</v>
      </c>
      <c r="AN6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8" s="36"/>
    </row>
    <row r="69" spans="1:43" ht="313.5" customHeight="1">
      <c r="A69" s="84">
        <v>65</v>
      </c>
      <c r="B69" s="85" t="s">
        <v>197</v>
      </c>
      <c r="C69" s="86" t="str">
        <f>IF(VLOOKUP(Table4[[#This Row],[T ID]],Table5[#All],5,FALSE())="No","Not in scope",VLOOKUP(Table4[[#This Row],[T ID]],Table5[#All],2,FALSE()))</f>
        <v>Information disclosure
(STR(I)DE)</v>
      </c>
      <c r="D69" s="57" t="s">
        <v>133</v>
      </c>
      <c r="E69" s="86" t="str">
        <f>IF(VLOOKUP(Table4[[#This Row],[V ID]],Vulnerabilities[#All],3,FALSE())="No","Not in scope",VLOOKUP(Table4[[#This Row],[V ID]],Vulnerabilities[#All],2,FALSE()))</f>
        <v>Weak Encryption Implementaion in data at rest and in transit tactical and design wise</v>
      </c>
      <c r="F69" s="87" t="s">
        <v>68</v>
      </c>
      <c r="G69" s="88" t="str">
        <f>VLOOKUP(Table4[[#This Row],[A ID]],Assets[#All],3,FALSE())</f>
        <v>Data in Transit</v>
      </c>
      <c r="H69" s="19" t="s">
        <v>299</v>
      </c>
      <c r="I69" s="19" t="s">
        <v>465</v>
      </c>
      <c r="J69" s="89" t="s">
        <v>267</v>
      </c>
      <c r="K69" s="89" t="s">
        <v>274</v>
      </c>
      <c r="L69" s="89" t="s">
        <v>267</v>
      </c>
      <c r="M69" s="90" t="s">
        <v>273</v>
      </c>
      <c r="N69" s="90" t="s">
        <v>276</v>
      </c>
      <c r="O69" s="90" t="s">
        <v>267</v>
      </c>
      <c r="P69" s="90" t="s">
        <v>274</v>
      </c>
      <c r="Q69" s="90" t="s">
        <v>270</v>
      </c>
      <c r="R69"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69" s="91">
        <f>(1 - ((1 - VLOOKUP(Table4[[#This Row],[Confidentiality]],'Reference - CVSSv3.0'!$B$16:$C$18,2,FALSE())) * (1 - VLOOKUP(Table4[[#This Row],[Integrity]],'Reference - CVSSv3.0'!$B$16:$C$18,2,FALSE())) *  (1 - VLOOKUP(Table4[[#This Row],[Availability]],'Reference - CVSSv3.0'!$B$16:$C$18,2,FALSE()))))</f>
        <v>0.39159999999999995</v>
      </c>
      <c r="T69" s="91">
        <f>IF(Table4[[#This Row],[Scope]]="Unchanged",6.42*Table4[[#This Row],[ISC Base]],IF(Table4[[#This Row],[Scope]]="Changed",7.52*(Table4[[#This Row],[ISC Base]] - 0.029) - 3.25 * POWER(Table4[[#This Row],[ISC Base]] - 0.02,15),NA()))</f>
        <v>2.5140719999999996</v>
      </c>
      <c r="U69"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69" s="85" t="s">
        <v>277</v>
      </c>
      <c r="W69" s="91">
        <f>VLOOKUP(Table4[[#This Row],[Threat Event Initiation]],NIST_Scale_LOAI[],2,FALSE())</f>
        <v>0.5</v>
      </c>
      <c r="X6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6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9" s="19" t="s">
        <v>303</v>
      </c>
      <c r="AA69" s="19" t="s">
        <v>304</v>
      </c>
      <c r="AB69" s="19" t="s">
        <v>537</v>
      </c>
      <c r="AC69" s="36"/>
      <c r="AD69" s="36"/>
      <c r="AE69" s="36"/>
      <c r="AF69" s="90"/>
      <c r="AG69" s="90"/>
      <c r="AH69" s="90"/>
      <c r="AI69" s="90"/>
      <c r="AJ69" s="90"/>
      <c r="AK69"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9" s="91" t="e">
        <f>(1 - ((1 - VLOOKUP(Table4[[#This Row],[ConfidentialityP]],'Reference - CVSSv3.0'!$B$16:$C$18,2,FALSE())) * (1 - VLOOKUP(Table4[[#This Row],[IntegrityP]],'Reference - CVSSv3.0'!$B$16:$C$18,2,FALSE())) *  (1 - VLOOKUP(Table4[[#This Row],[AvailabilityP]],'Reference - CVSSv3.0'!$B$16:$C$18,2,FALSE()))))</f>
        <v>#N/A</v>
      </c>
      <c r="AM69" s="91" t="e">
        <f>IF(Table4[[#This Row],[ScopeP]]="Unchanged",6.42*Table4[[#This Row],[ISC BaseP]],IF(Table4[[#This Row],[ScopeP]]="Changed",7.52*(Table4[[#This Row],[ISC BaseP]] - 0.029) - 3.25 * POWER(Table4[[#This Row],[ISC BaseP]] - 0.02,15),NA()))</f>
        <v>#N/A</v>
      </c>
      <c r="AN6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9" s="36"/>
    </row>
    <row r="70" spans="1:43" s="234" customFormat="1" ht="142.5">
      <c r="A70" s="219">
        <v>66</v>
      </c>
      <c r="B70" s="85" t="s">
        <v>197</v>
      </c>
      <c r="C70" s="86" t="str">
        <f>IF(VLOOKUP(Table4[[#This Row],[T ID]],Table5[#All],5,FALSE())="No","Not in scope",VLOOKUP(Table4[[#This Row],[T ID]],Table5[#All],2,FALSE()))</f>
        <v>Information disclosure
(STR(I)DE)</v>
      </c>
      <c r="D70" s="57" t="s">
        <v>135</v>
      </c>
      <c r="E70" s="86" t="str">
        <f>IF(VLOOKUP(Table4[[#This Row],[V ID]],Vulnerabilities[#All],3,FALSE())="No","Not in scope",VLOOKUP(Table4[[#This Row],[V ID]],Vulnerabilities[#All],2,FALSE()))</f>
        <v>Weak Algorthim implementation with respect cipher key size</v>
      </c>
      <c r="F70" s="87" t="s">
        <v>65</v>
      </c>
      <c r="G70" s="88" t="str">
        <f>VLOOKUP(Table4[[#This Row],[A ID]],Assets[#All],3,FALSE())</f>
        <v>Data at Rest</v>
      </c>
      <c r="H70" s="221" t="s">
        <v>299</v>
      </c>
      <c r="I70" s="19" t="s">
        <v>465</v>
      </c>
      <c r="J70" s="224" t="s">
        <v>267</v>
      </c>
      <c r="K70" s="224" t="s">
        <v>267</v>
      </c>
      <c r="L70" s="224" t="s">
        <v>267</v>
      </c>
      <c r="M70" s="224" t="s">
        <v>275</v>
      </c>
      <c r="N70" s="224" t="s">
        <v>276</v>
      </c>
      <c r="O70" s="224" t="s">
        <v>276</v>
      </c>
      <c r="P70" s="224" t="s">
        <v>274</v>
      </c>
      <c r="Q70" s="224" t="s">
        <v>270</v>
      </c>
      <c r="R7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0.45653058000000007</v>
      </c>
      <c r="S70" s="93">
        <f>(1 - ((1 - VLOOKUP(Table4[[#This Row],[Confidentiality]],'Reference - CVSSv3.0'!$B$16:$C$18,2,FALSE())) * (1 - VLOOKUP(Table4[[#This Row],[Integrity]],'Reference - CVSSv3.0'!$B$16:$C$18,2,FALSE())) *  (1 - VLOOKUP(Table4[[#This Row],[Availability]],'Reference - CVSSv3.0'!$B$16:$C$18,2,FALSE()))))</f>
        <v>0.52544799999999992</v>
      </c>
      <c r="T70" s="93">
        <f>IF(Table4[[#This Row],[Scope]]="Unchanged",6.42*Table4[[#This Row],[ISC Base]],IF(Table4[[#This Row],[Scope]]="Changed",7.52*(Table4[[#This Row],[ISC Base]] - 0.029) - 3.25 * POWER(Table4[[#This Row],[ISC Base]] - 0.02,15),NA()))</f>
        <v>3.3733761599999994</v>
      </c>
      <c r="U70" s="93">
        <f>IF(Table4[[#This Row],[Impact Sub Score]]&lt;=0,0,IF(Table4[[#This Row],[Scope]]="Unchanged",ROUNDUP(MIN((Table4[[#This Row],[Impact Sub Score]]+Table4[[#This Row],[Exploitability Sub Score]]),10),1),IF(Table4[[#This Row],[Scope]]="Changed",ROUNDUP(MIN((1.08*(Table4[[#This Row],[Impact Sub Score]]+Table4[[#This Row],[Exploitability Sub Score]])),10),1),NA())))</f>
        <v>3.9</v>
      </c>
      <c r="V70" s="220" t="s">
        <v>277</v>
      </c>
      <c r="W70" s="91">
        <f>VLOOKUP(Table4[[#This Row],[Threat Event Initiation]],NIST_Scale_LOAI[],2,FALSE())</f>
        <v>0.5</v>
      </c>
      <c r="X7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70" s="23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0" s="19" t="s">
        <v>305</v>
      </c>
      <c r="AA70" s="19" t="s">
        <v>429</v>
      </c>
      <c r="AB70" s="19" t="s">
        <v>538</v>
      </c>
      <c r="AC70" s="223"/>
      <c r="AD70" s="223"/>
      <c r="AE70" s="223"/>
      <c r="AF70" s="224"/>
      <c r="AG70" s="224"/>
      <c r="AH70" s="224"/>
      <c r="AI70" s="224"/>
      <c r="AJ70" s="224"/>
      <c r="AK70" s="225"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0" s="225" t="e">
        <f>(1 - ((1 - VLOOKUP(Table4[[#This Row],[ConfidentialityP]],'Reference - CVSSv3.0'!$B$16:$C$18,2,FALSE())) * (1 - VLOOKUP(Table4[[#This Row],[IntegrityP]],'Reference - CVSSv3.0'!$B$16:$C$18,2,FALSE())) *  (1 - VLOOKUP(Table4[[#This Row],[AvailabilityP]],'Reference - CVSSv3.0'!$B$16:$C$18,2,FALSE()))))</f>
        <v>#N/A</v>
      </c>
      <c r="AM70" s="225" t="e">
        <f>IF(Table4[[#This Row],[ScopeP]]="Unchanged",6.42*Table4[[#This Row],[ISC BaseP]],IF(Table4[[#This Row],[ScopeP]]="Changed",7.52*(Table4[[#This Row],[ISC BaseP]] - 0.029) - 3.25 * POWER(Table4[[#This Row],[ISC BaseP]] - 0.02,15),NA()))</f>
        <v>#N/A</v>
      </c>
      <c r="AN7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0" s="223"/>
    </row>
    <row r="71" spans="1:43" s="234" customFormat="1" ht="142.5">
      <c r="A71" s="219">
        <v>67</v>
      </c>
      <c r="B71" s="85" t="s">
        <v>197</v>
      </c>
      <c r="C71" s="86" t="str">
        <f>IF(VLOOKUP(Table4[[#This Row],[T ID]],Table5[#All],5,FALSE())="No","Not in scope",VLOOKUP(Table4[[#This Row],[T ID]],Table5[#All],2,FALSE()))</f>
        <v>Information disclosure
(STR(I)DE)</v>
      </c>
      <c r="D71" s="57" t="s">
        <v>135</v>
      </c>
      <c r="E71" s="86" t="str">
        <f>IF(VLOOKUP(Table4[[#This Row],[V ID]],Vulnerabilities[#All],3,FALSE())="No","Not in scope",VLOOKUP(Table4[[#This Row],[V ID]],Vulnerabilities[#All],2,FALSE()))</f>
        <v>Weak Algorthim implementation with respect cipher key size</v>
      </c>
      <c r="F71" s="87" t="s">
        <v>68</v>
      </c>
      <c r="G71" s="88" t="str">
        <f>VLOOKUP(Table4[[#This Row],[A ID]],Assets[#All],3,FALSE())</f>
        <v>Data in Transit</v>
      </c>
      <c r="H71" s="221" t="s">
        <v>299</v>
      </c>
      <c r="I71" s="19" t="s">
        <v>465</v>
      </c>
      <c r="J71" s="224" t="s">
        <v>267</v>
      </c>
      <c r="K71" s="224" t="s">
        <v>274</v>
      </c>
      <c r="L71" s="224" t="s">
        <v>267</v>
      </c>
      <c r="M71" s="224" t="s">
        <v>273</v>
      </c>
      <c r="N71" s="224" t="s">
        <v>276</v>
      </c>
      <c r="O71" s="224" t="s">
        <v>267</v>
      </c>
      <c r="P71" s="224" t="s">
        <v>274</v>
      </c>
      <c r="Q71" s="224" t="s">
        <v>270</v>
      </c>
      <c r="R7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71" s="93">
        <f>(1 - ((1 - VLOOKUP(Table4[[#This Row],[Confidentiality]],'Reference - CVSSv3.0'!$B$16:$C$18,2,FALSE())) * (1 - VLOOKUP(Table4[[#This Row],[Integrity]],'Reference - CVSSv3.0'!$B$16:$C$18,2,FALSE())) *  (1 - VLOOKUP(Table4[[#This Row],[Availability]],'Reference - CVSSv3.0'!$B$16:$C$18,2,FALSE()))))</f>
        <v>0.39159999999999995</v>
      </c>
      <c r="T71" s="93">
        <f>IF(Table4[[#This Row],[Scope]]="Unchanged",6.42*Table4[[#This Row],[ISC Base]],IF(Table4[[#This Row],[Scope]]="Changed",7.52*(Table4[[#This Row],[ISC Base]] - 0.029) - 3.25 * POWER(Table4[[#This Row],[ISC Base]] - 0.02,15),NA()))</f>
        <v>2.5140719999999996</v>
      </c>
      <c r="U71" s="93">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71" s="220" t="s">
        <v>277</v>
      </c>
      <c r="W71" s="91">
        <f>VLOOKUP(Table4[[#This Row],[Threat Event Initiation]],NIST_Scale_LOAI[],2,FALSE())</f>
        <v>0.5</v>
      </c>
      <c r="X7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71" s="23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1" s="19" t="s">
        <v>305</v>
      </c>
      <c r="AA71" s="19" t="s">
        <v>429</v>
      </c>
      <c r="AB71" s="19" t="s">
        <v>539</v>
      </c>
      <c r="AC71" s="223"/>
      <c r="AD71" s="223"/>
      <c r="AE71" s="223"/>
      <c r="AF71" s="224"/>
      <c r="AG71" s="224"/>
      <c r="AH71" s="224"/>
      <c r="AI71" s="224"/>
      <c r="AJ71" s="224"/>
      <c r="AK71" s="225"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1" s="225" t="e">
        <f>(1 - ((1 - VLOOKUP(Table4[[#This Row],[ConfidentialityP]],'Reference - CVSSv3.0'!$B$16:$C$18,2,FALSE())) * (1 - VLOOKUP(Table4[[#This Row],[IntegrityP]],'Reference - CVSSv3.0'!$B$16:$C$18,2,FALSE())) *  (1 - VLOOKUP(Table4[[#This Row],[AvailabilityP]],'Reference - CVSSv3.0'!$B$16:$C$18,2,FALSE()))))</f>
        <v>#N/A</v>
      </c>
      <c r="AM71" s="225" t="e">
        <f>IF(Table4[[#This Row],[ScopeP]]="Unchanged",6.42*Table4[[#This Row],[ISC BaseP]],IF(Table4[[#This Row],[ScopeP]]="Changed",7.52*(Table4[[#This Row],[ISC BaseP]] - 0.029) - 3.25 * POWER(Table4[[#This Row],[ISC BaseP]] - 0.02,15),NA()))</f>
        <v>#N/A</v>
      </c>
      <c r="AN7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1" s="223"/>
    </row>
    <row r="72" spans="1:43" ht="242.25">
      <c r="A72" s="84">
        <v>68</v>
      </c>
      <c r="B72" s="85" t="s">
        <v>197</v>
      </c>
      <c r="C72" s="86" t="str">
        <f>IF(VLOOKUP(Table4[[#This Row],[T ID]],Table5[#All],5,FALSE())="No","Not in scope",VLOOKUP(Table4[[#This Row],[T ID]],Table5[#All],2,FALSE()))</f>
        <v>Information disclosure
(STR(I)DE)</v>
      </c>
      <c r="D72" s="57" t="s">
        <v>140</v>
      </c>
      <c r="E72" s="86" t="str">
        <f>IF(VLOOKUP(Table4[[#This Row],[V ID]],Vulnerabilities[#All],3,FALSE())="No","Not in scope",VLOOKUP(Table4[[#This Row],[V ID]],Vulnerabilities[#All],2,FALSE()))</f>
        <v>InSecure Configuration for Software/OS on Mobile Devices, Laptops, Workstations, and Servers</v>
      </c>
      <c r="F72" s="87" t="s">
        <v>38</v>
      </c>
      <c r="G72" s="88" t="str">
        <f>VLOOKUP(Table4[[#This Row],[A ID]],Assets[#All],3,FALSE())</f>
        <v>Tablet Resources - web cam, microphone, OTG devices, Removable USB, Tablet Application, Network interfaces (Bluetooth, Wifi)</v>
      </c>
      <c r="H72" s="19" t="s">
        <v>299</v>
      </c>
      <c r="I72" s="19" t="s">
        <v>465</v>
      </c>
      <c r="J72" s="89" t="s">
        <v>267</v>
      </c>
      <c r="K72" s="89" t="s">
        <v>267</v>
      </c>
      <c r="L72" s="89" t="s">
        <v>267</v>
      </c>
      <c r="M72" s="90" t="s">
        <v>273</v>
      </c>
      <c r="N72" s="90" t="s">
        <v>276</v>
      </c>
      <c r="O72" s="90" t="s">
        <v>276</v>
      </c>
      <c r="P72" s="90" t="s">
        <v>274</v>
      </c>
      <c r="Q72" s="90" t="s">
        <v>270</v>
      </c>
      <c r="R7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72" s="91">
        <f>(1 - ((1 - VLOOKUP(Table4[[#This Row],[Confidentiality]],'Reference - CVSSv3.0'!$B$16:$C$18,2,FALSE())) * (1 - VLOOKUP(Table4[[#This Row],[Integrity]],'Reference - CVSSv3.0'!$B$16:$C$18,2,FALSE())) *  (1 - VLOOKUP(Table4[[#This Row],[Availability]],'Reference - CVSSv3.0'!$B$16:$C$18,2,FALSE()))))</f>
        <v>0.52544799999999992</v>
      </c>
      <c r="T72" s="91">
        <f>IF(Table4[[#This Row],[Scope]]="Unchanged",6.42*Table4[[#This Row],[ISC Base]],IF(Table4[[#This Row],[Scope]]="Changed",7.52*(Table4[[#This Row],[ISC Base]] - 0.029) - 3.25 * POWER(Table4[[#This Row],[ISC Base]] - 0.02,15),NA()))</f>
        <v>3.3733761599999994</v>
      </c>
      <c r="U72"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72" s="85" t="s">
        <v>277</v>
      </c>
      <c r="W72" s="91">
        <f>VLOOKUP(Table4[[#This Row],[Threat Event Initiation]],NIST_Scale_LOAI[],2,FALSE())</f>
        <v>0.5</v>
      </c>
      <c r="X7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2" s="19" t="s">
        <v>306</v>
      </c>
      <c r="AA72" s="19" t="s">
        <v>307</v>
      </c>
      <c r="AB72" s="19" t="s">
        <v>540</v>
      </c>
      <c r="AC72" s="36"/>
      <c r="AD72" s="36"/>
      <c r="AE72" s="36"/>
      <c r="AF72" s="90"/>
      <c r="AG72" s="90"/>
      <c r="AH72" s="90"/>
      <c r="AI72" s="90"/>
      <c r="AJ72" s="90"/>
      <c r="AK72"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2" s="91" t="e">
        <f>(1 - ((1 - VLOOKUP(Table4[[#This Row],[ConfidentialityP]],'Reference - CVSSv3.0'!$B$16:$C$18,2,FALSE())) * (1 - VLOOKUP(Table4[[#This Row],[IntegrityP]],'Reference - CVSSv3.0'!$B$16:$C$18,2,FALSE())) *  (1 - VLOOKUP(Table4[[#This Row],[AvailabilityP]],'Reference - CVSSv3.0'!$B$16:$C$18,2,FALSE()))))</f>
        <v>#N/A</v>
      </c>
      <c r="AM72" s="91" t="e">
        <f>IF(Table4[[#This Row],[ScopeP]]="Unchanged",6.42*Table4[[#This Row],[ISC BaseP]],IF(Table4[[#This Row],[ScopeP]]="Changed",7.52*(Table4[[#This Row],[ISC BaseP]] - 0.029) - 3.25 * POWER(Table4[[#This Row],[ISC BaseP]] - 0.02,15),NA()))</f>
        <v>#N/A</v>
      </c>
      <c r="AN7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2" s="36"/>
    </row>
    <row r="73" spans="1:43" ht="313.5">
      <c r="A73" s="84">
        <v>69</v>
      </c>
      <c r="B73" s="85" t="s">
        <v>197</v>
      </c>
      <c r="C73" s="86" t="str">
        <f>IF(VLOOKUP(Table4[[#This Row],[T ID]],Table5[#All],5,FALSE())="No","Not in scope",VLOOKUP(Table4[[#This Row],[T ID]],Table5[#All],2,FALSE()))</f>
        <v>Information disclosure
(STR(I)DE)</v>
      </c>
      <c r="D73" s="57" t="s">
        <v>124</v>
      </c>
      <c r="E73" s="86" t="str">
        <f>IF(VLOOKUP(Table4[[#This Row],[V ID]],Vulnerabilities[#All],3,FALSE())="No","Not in scope",VLOOKUP(Table4[[#This Row],[V ID]],Vulnerabilities[#All],2,FALSE()))</f>
        <v>Unencrypted Network segment through out the information flow</v>
      </c>
      <c r="F73" s="87" t="s">
        <v>68</v>
      </c>
      <c r="G73" s="88" t="str">
        <f>VLOOKUP(Table4[[#This Row],[A ID]],Assets[#All],3,FALSE())</f>
        <v>Data in Transit</v>
      </c>
      <c r="H73" s="19" t="s">
        <v>299</v>
      </c>
      <c r="I73" s="19" t="s">
        <v>465</v>
      </c>
      <c r="J73" s="89" t="s">
        <v>267</v>
      </c>
      <c r="K73" s="89" t="s">
        <v>274</v>
      </c>
      <c r="L73" s="89" t="s">
        <v>267</v>
      </c>
      <c r="M73" s="90" t="s">
        <v>273</v>
      </c>
      <c r="N73" s="90" t="s">
        <v>276</v>
      </c>
      <c r="O73" s="90" t="s">
        <v>267</v>
      </c>
      <c r="P73" s="90" t="s">
        <v>274</v>
      </c>
      <c r="Q73" s="90" t="s">
        <v>270</v>
      </c>
      <c r="R7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73" s="91">
        <f>(1 - ((1 - VLOOKUP(Table4[[#This Row],[Confidentiality]],'Reference - CVSSv3.0'!$B$16:$C$18,2,FALSE())) * (1 - VLOOKUP(Table4[[#This Row],[Integrity]],'Reference - CVSSv3.0'!$B$16:$C$18,2,FALSE())) *  (1 - VLOOKUP(Table4[[#This Row],[Availability]],'Reference - CVSSv3.0'!$B$16:$C$18,2,FALSE()))))</f>
        <v>0.39159999999999995</v>
      </c>
      <c r="T73" s="91">
        <f>IF(Table4[[#This Row],[Scope]]="Unchanged",6.42*Table4[[#This Row],[ISC Base]],IF(Table4[[#This Row],[Scope]]="Changed",7.52*(Table4[[#This Row],[ISC Base]] - 0.029) - 3.25 * POWER(Table4[[#This Row],[ISC Base]] - 0.02,15),NA()))</f>
        <v>2.5140719999999996</v>
      </c>
      <c r="U73"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73" s="85" t="s">
        <v>277</v>
      </c>
      <c r="W73" s="91">
        <f>VLOOKUP(Table4[[#This Row],[Threat Event Initiation]],NIST_Scale_LOAI[],2,FALSE())</f>
        <v>0.5</v>
      </c>
      <c r="X7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7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3" s="19" t="s">
        <v>308</v>
      </c>
      <c r="AA73" s="19" t="s">
        <v>436</v>
      </c>
      <c r="AB73" s="19" t="s">
        <v>541</v>
      </c>
      <c r="AC73" s="36"/>
      <c r="AD73" s="36"/>
      <c r="AE73" s="36"/>
      <c r="AF73" s="90"/>
      <c r="AG73" s="90"/>
      <c r="AH73" s="90"/>
      <c r="AI73" s="90"/>
      <c r="AJ73" s="90"/>
      <c r="AK73"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3" s="91" t="e">
        <f>(1 - ((1 - VLOOKUP(Table4[[#This Row],[ConfidentialityP]],'Reference - CVSSv3.0'!$B$16:$C$18,2,FALSE())) * (1 - VLOOKUP(Table4[[#This Row],[IntegrityP]],'Reference - CVSSv3.0'!$B$16:$C$18,2,FALSE())) *  (1 - VLOOKUP(Table4[[#This Row],[AvailabilityP]],'Reference - CVSSv3.0'!$B$16:$C$18,2,FALSE()))))</f>
        <v>#N/A</v>
      </c>
      <c r="AM73" s="91" t="e">
        <f>IF(Table4[[#This Row],[ScopeP]]="Unchanged",6.42*Table4[[#This Row],[ISC BaseP]],IF(Table4[[#This Row],[ScopeP]]="Changed",7.52*(Table4[[#This Row],[ISC BaseP]] - 0.029) - 3.25 * POWER(Table4[[#This Row],[ISC BaseP]] - 0.02,15),NA()))</f>
        <v>#N/A</v>
      </c>
      <c r="AN7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3" s="36"/>
    </row>
    <row r="74" spans="1:43" ht="313.5" customHeight="1">
      <c r="A74" s="84">
        <v>70</v>
      </c>
      <c r="B74" s="85" t="s">
        <v>197</v>
      </c>
      <c r="C74" s="86" t="str">
        <f>IF(VLOOKUP(Table4[[#This Row],[T ID]],Table5[#All],5,FALSE())="No","Not in scope",VLOOKUP(Table4[[#This Row],[T ID]],Table5[#All],2,FALSE()))</f>
        <v>Information disclosure
(STR(I)DE)</v>
      </c>
      <c r="D74" s="57" t="s">
        <v>104</v>
      </c>
      <c r="E74" s="86" t="str">
        <f>IF(VLOOKUP(Table4[[#This Row],[V ID]],Vulnerabilities[#All],3,FALSE())="No","Not in scope",VLOOKUP(Table4[[#This Row],[V ID]],Vulnerabilities[#All],2,FALSE()))</f>
        <v>Insecure communications in networks (hospital)</v>
      </c>
      <c r="F74" s="87" t="s">
        <v>68</v>
      </c>
      <c r="G74" s="88" t="str">
        <f>VLOOKUP(Table4[[#This Row],[A ID]],Assets[#All],3,FALSE())</f>
        <v>Data in Transit</v>
      </c>
      <c r="H74" s="19" t="s">
        <v>299</v>
      </c>
      <c r="I74" s="19" t="s">
        <v>465</v>
      </c>
      <c r="J74" s="89" t="s">
        <v>267</v>
      </c>
      <c r="K74" s="89" t="s">
        <v>274</v>
      </c>
      <c r="L74" s="89" t="s">
        <v>267</v>
      </c>
      <c r="M74" s="90" t="s">
        <v>273</v>
      </c>
      <c r="N74" s="90" t="s">
        <v>276</v>
      </c>
      <c r="O74" s="90" t="s">
        <v>267</v>
      </c>
      <c r="P74" s="90" t="s">
        <v>274</v>
      </c>
      <c r="Q74" s="90" t="s">
        <v>270</v>
      </c>
      <c r="R7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74" s="91">
        <f>(1 - ((1 - VLOOKUP(Table4[[#This Row],[Confidentiality]],'Reference - CVSSv3.0'!$B$16:$C$18,2,FALSE())) * (1 - VLOOKUP(Table4[[#This Row],[Integrity]],'Reference - CVSSv3.0'!$B$16:$C$18,2,FALSE())) *  (1 - VLOOKUP(Table4[[#This Row],[Availability]],'Reference - CVSSv3.0'!$B$16:$C$18,2,FALSE()))))</f>
        <v>0.39159999999999995</v>
      </c>
      <c r="T74" s="91">
        <f>IF(Table4[[#This Row],[Scope]]="Unchanged",6.42*Table4[[#This Row],[ISC Base]],IF(Table4[[#This Row],[Scope]]="Changed",7.52*(Table4[[#This Row],[ISC Base]] - 0.029) - 3.25 * POWER(Table4[[#This Row],[ISC Base]] - 0.02,15),NA()))</f>
        <v>2.5140719999999996</v>
      </c>
      <c r="U74"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74" s="85" t="s">
        <v>277</v>
      </c>
      <c r="W74" s="91">
        <f>VLOOKUP(Table4[[#This Row],[Threat Event Initiation]],NIST_Scale_LOAI[],2,FALSE())</f>
        <v>0.5</v>
      </c>
      <c r="X7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7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4" s="19" t="s">
        <v>309</v>
      </c>
      <c r="AA74" s="19" t="s">
        <v>310</v>
      </c>
      <c r="AB74" s="19" t="s">
        <v>542</v>
      </c>
      <c r="AC74" s="36"/>
      <c r="AD74" s="36"/>
      <c r="AE74" s="36"/>
      <c r="AF74" s="90"/>
      <c r="AG74" s="90"/>
      <c r="AH74" s="90"/>
      <c r="AI74" s="90"/>
      <c r="AJ74" s="90"/>
      <c r="AK7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4" s="91" t="e">
        <f>(1 - ((1 - VLOOKUP(Table4[[#This Row],[ConfidentialityP]],'Reference - CVSSv3.0'!$B$16:$C$18,2,FALSE())) * (1 - VLOOKUP(Table4[[#This Row],[IntegrityP]],'Reference - CVSSv3.0'!$B$16:$C$18,2,FALSE())) *  (1 - VLOOKUP(Table4[[#This Row],[AvailabilityP]],'Reference - CVSSv3.0'!$B$16:$C$18,2,FALSE()))))</f>
        <v>#N/A</v>
      </c>
      <c r="AM74" s="91" t="e">
        <f>IF(Table4[[#This Row],[ScopeP]]="Unchanged",6.42*Table4[[#This Row],[ISC BaseP]],IF(Table4[[#This Row],[ScopeP]]="Changed",7.52*(Table4[[#This Row],[ISC BaseP]] - 0.029) - 3.25 * POWER(Table4[[#This Row],[ISC BaseP]] - 0.02,15),NA()))</f>
        <v>#N/A</v>
      </c>
      <c r="AN7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4" s="36"/>
    </row>
    <row r="75" spans="1:43" ht="228">
      <c r="A75" s="84">
        <v>71</v>
      </c>
      <c r="B75" s="85" t="s">
        <v>200</v>
      </c>
      <c r="C75" s="86" t="str">
        <f>IF(VLOOKUP(Table4[[#This Row],[T ID]],Table5[#All],5,FALSE())="No","Not in scope",VLOOKUP(Table4[[#This Row],[T ID]],Table5[#All],2,FALSE()))</f>
        <v>Data Access
(STR[I]DE)</v>
      </c>
      <c r="D75" s="57" t="s">
        <v>120</v>
      </c>
      <c r="E75" s="86" t="str">
        <f>IF(VLOOKUP(Table4[[#This Row],[V ID]],Vulnerabilities[#All],3,FALSE())="No","Not in scope",VLOOKUP(Table4[[#This Row],[V ID]],Vulnerabilities[#All],2,FALSE()))</f>
        <v>Unprotected network port(s) on network devices and connection points</v>
      </c>
      <c r="F75" s="87" t="s">
        <v>38</v>
      </c>
      <c r="G75" s="88" t="str">
        <f>VLOOKUP(Table4[[#This Row],[A ID]],Assets[#All],3,FALSE())</f>
        <v>Tablet Resources - web cam, microphone, OTG devices, Removable USB, Tablet Application, Network interfaces (Bluetooth, Wifi)</v>
      </c>
      <c r="H75" s="19" t="s">
        <v>311</v>
      </c>
      <c r="I75" s="19" t="s">
        <v>465</v>
      </c>
      <c r="J75" s="89" t="s">
        <v>274</v>
      </c>
      <c r="K75" s="89" t="s">
        <v>274</v>
      </c>
      <c r="L75" s="89" t="s">
        <v>276</v>
      </c>
      <c r="M75" s="90" t="s">
        <v>273</v>
      </c>
      <c r="N75" s="90" t="s">
        <v>276</v>
      </c>
      <c r="O75" s="90" t="s">
        <v>276</v>
      </c>
      <c r="P75" s="90" t="s">
        <v>274</v>
      </c>
      <c r="Q75" s="90" t="s">
        <v>270</v>
      </c>
      <c r="R75"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75" s="91">
        <f>(1 - ((1 - VLOOKUP(Table4[[#This Row],[Confidentiality]],'Reference - CVSSv3.0'!$B$16:$C$18,2,FALSE())) * (1 - VLOOKUP(Table4[[#This Row],[Integrity]],'Reference - CVSSv3.0'!$B$16:$C$18,2,FALSE())) *  (1 - VLOOKUP(Table4[[#This Row],[Availability]],'Reference - CVSSv3.0'!$B$16:$C$18,2,FALSE()))))</f>
        <v>0.56000000000000005</v>
      </c>
      <c r="T75" s="91">
        <f>IF(Table4[[#This Row],[Scope]]="Unchanged",6.42*Table4[[#This Row],[ISC Base]],IF(Table4[[#This Row],[Scope]]="Changed",7.52*(Table4[[#This Row],[ISC Base]] - 0.029) - 3.25 * POWER(Table4[[#This Row],[ISC Base]] - 0.02,15),NA()))</f>
        <v>3.5952000000000002</v>
      </c>
      <c r="U75" s="91">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75" s="85" t="s">
        <v>267</v>
      </c>
      <c r="W75" s="91">
        <f>VLOOKUP(Table4[[#This Row],[Threat Event Initiation]],NIST_Scale_LOAI[],2,FALSE())</f>
        <v>0.2</v>
      </c>
      <c r="X7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5" s="19" t="s">
        <v>271</v>
      </c>
      <c r="AA75" s="19" t="s">
        <v>312</v>
      </c>
      <c r="AB75" s="19" t="s">
        <v>543</v>
      </c>
      <c r="AC75" s="36"/>
      <c r="AD75" s="36"/>
      <c r="AE75" s="36"/>
      <c r="AF75" s="90"/>
      <c r="AG75" s="90"/>
      <c r="AH75" s="90"/>
      <c r="AI75" s="90"/>
      <c r="AJ75" s="90"/>
      <c r="AK75"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5" s="91" t="e">
        <f>(1 - ((1 - VLOOKUP(Table4[[#This Row],[ConfidentialityP]],'Reference - CVSSv3.0'!$B$16:$C$18,2,FALSE())) * (1 - VLOOKUP(Table4[[#This Row],[IntegrityP]],'Reference - CVSSv3.0'!$B$16:$C$18,2,FALSE())) *  (1 - VLOOKUP(Table4[[#This Row],[AvailabilityP]],'Reference - CVSSv3.0'!$B$16:$C$18,2,FALSE()))))</f>
        <v>#N/A</v>
      </c>
      <c r="AM75" s="91" t="e">
        <f>IF(Table4[[#This Row],[ScopeP]]="Unchanged",6.42*Table4[[#This Row],[ISC BaseP]],IF(Table4[[#This Row],[ScopeP]]="Changed",7.52*(Table4[[#This Row],[ISC BaseP]] - 0.029) - 3.25 * POWER(Table4[[#This Row],[ISC BaseP]] - 0.02,15),NA()))</f>
        <v>#N/A</v>
      </c>
      <c r="AN7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5" s="36"/>
    </row>
    <row r="76" spans="1:43" ht="228">
      <c r="A76" s="84">
        <v>72</v>
      </c>
      <c r="B76" s="85" t="s">
        <v>200</v>
      </c>
      <c r="C76" s="86" t="str">
        <f>IF(VLOOKUP(Table4[[#This Row],[T ID]],Table5[#All],5,FALSE())="No","Not in scope",VLOOKUP(Table4[[#This Row],[T ID]],Table5[#All],2,FALSE()))</f>
        <v>Data Access
(STR[I]DE)</v>
      </c>
      <c r="D76" s="57" t="s">
        <v>120</v>
      </c>
      <c r="E76" s="86" t="str">
        <f>IF(VLOOKUP(Table4[[#This Row],[V ID]],Vulnerabilities[#All],3,FALSE())="No","Not in scope",VLOOKUP(Table4[[#This Row],[V ID]],Vulnerabilities[#All],2,FALSE()))</f>
        <v>Unprotected network port(s) on network devices and connection points</v>
      </c>
      <c r="F76" s="87" t="s">
        <v>42</v>
      </c>
      <c r="G76" s="88" t="str">
        <f>VLOOKUP(Table4[[#This Row],[A ID]],Assets[#All],3,FALSE())</f>
        <v>Tablet OS/network details &amp; Tablet Application</v>
      </c>
      <c r="H76" s="19" t="s">
        <v>311</v>
      </c>
      <c r="I76" s="19" t="s">
        <v>465</v>
      </c>
      <c r="J76" s="89" t="s">
        <v>274</v>
      </c>
      <c r="K76" s="89" t="s">
        <v>267</v>
      </c>
      <c r="L76" s="89" t="s">
        <v>267</v>
      </c>
      <c r="M76" s="90" t="s">
        <v>273</v>
      </c>
      <c r="N76" s="90" t="s">
        <v>276</v>
      </c>
      <c r="O76" s="90" t="s">
        <v>276</v>
      </c>
      <c r="P76" s="90" t="s">
        <v>274</v>
      </c>
      <c r="Q76" s="90" t="s">
        <v>270</v>
      </c>
      <c r="R7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76" s="91">
        <f>(1 - ((1 - VLOOKUP(Table4[[#This Row],[Confidentiality]],'Reference - CVSSv3.0'!$B$16:$C$18,2,FALSE())) * (1 - VLOOKUP(Table4[[#This Row],[Integrity]],'Reference - CVSSv3.0'!$B$16:$C$18,2,FALSE())) *  (1 - VLOOKUP(Table4[[#This Row],[Availability]],'Reference - CVSSv3.0'!$B$16:$C$18,2,FALSE()))))</f>
        <v>0.39159999999999995</v>
      </c>
      <c r="T76" s="91">
        <f>IF(Table4[[#This Row],[Scope]]="Unchanged",6.42*Table4[[#This Row],[ISC Base]],IF(Table4[[#This Row],[Scope]]="Changed",7.52*(Table4[[#This Row],[ISC Base]] - 0.029) - 3.25 * POWER(Table4[[#This Row],[ISC Base]] - 0.02,15),NA()))</f>
        <v>2.5140719999999996</v>
      </c>
      <c r="U76"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76" s="85" t="s">
        <v>267</v>
      </c>
      <c r="W76" s="91">
        <f>VLOOKUP(Table4[[#This Row],[Threat Event Initiation]],NIST_Scale_LOAI[],2,FALSE())</f>
        <v>0.2</v>
      </c>
      <c r="X7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2.7</v>
      </c>
      <c r="Y7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6" s="19" t="s">
        <v>271</v>
      </c>
      <c r="AA76" s="19" t="s">
        <v>312</v>
      </c>
      <c r="AB76" s="19" t="s">
        <v>544</v>
      </c>
      <c r="AC76" s="36"/>
      <c r="AD76" s="36"/>
      <c r="AE76" s="36"/>
      <c r="AF76" s="90"/>
      <c r="AG76" s="90"/>
      <c r="AH76" s="90"/>
      <c r="AI76" s="90"/>
      <c r="AJ76" s="90"/>
      <c r="AK76"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6" s="91" t="e">
        <f>(1 - ((1 - VLOOKUP(Table4[[#This Row],[ConfidentialityP]],'Reference - CVSSv3.0'!$B$16:$C$18,2,FALSE())) * (1 - VLOOKUP(Table4[[#This Row],[IntegrityP]],'Reference - CVSSv3.0'!$B$16:$C$18,2,FALSE())) *  (1 - VLOOKUP(Table4[[#This Row],[AvailabilityP]],'Reference - CVSSv3.0'!$B$16:$C$18,2,FALSE()))))</f>
        <v>#N/A</v>
      </c>
      <c r="AM76" s="91" t="e">
        <f>IF(Table4[[#This Row],[ScopeP]]="Unchanged",6.42*Table4[[#This Row],[ISC BaseP]],IF(Table4[[#This Row],[ScopeP]]="Changed",7.52*(Table4[[#This Row],[ISC BaseP]] - 0.029) - 3.25 * POWER(Table4[[#This Row],[ISC BaseP]] - 0.02,15),NA()))</f>
        <v>#N/A</v>
      </c>
      <c r="AN7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6" s="36"/>
    </row>
    <row r="77" spans="1:43" ht="409.5" customHeight="1">
      <c r="A77" s="84">
        <v>73</v>
      </c>
      <c r="B77" s="85" t="s">
        <v>200</v>
      </c>
      <c r="C77" s="86" t="str">
        <f>IF(VLOOKUP(Table4[[#This Row],[T ID]],Table5[#All],5,FALSE())="No","Not in scope",VLOOKUP(Table4[[#This Row],[T ID]],Table5[#All],2,FALSE()))</f>
        <v>Data Access
(STR[I]DE)</v>
      </c>
      <c r="D77" s="57" t="s">
        <v>94</v>
      </c>
      <c r="E77" s="86" t="str">
        <f>IF(VLOOKUP(Table4[[#This Row],[V ID]],Vulnerabilities[#All],3,FALSE())="No","Not in scope",VLOOKUP(Table4[[#This Row],[V ID]],Vulnerabilities[#All],2,FALSE()))</f>
        <v>Devices with default passwords needs to be checked for bruteforce attacks</v>
      </c>
      <c r="F77" s="87" t="s">
        <v>65</v>
      </c>
      <c r="G77" s="88" t="str">
        <f>VLOOKUP(Table4[[#This Row],[A ID]],Assets[#All],3,FALSE())</f>
        <v>Data at Rest</v>
      </c>
      <c r="H77" s="19" t="s">
        <v>311</v>
      </c>
      <c r="I77" s="19" t="s">
        <v>465</v>
      </c>
      <c r="J77" s="89" t="s">
        <v>267</v>
      </c>
      <c r="K77" s="89" t="s">
        <v>267</v>
      </c>
      <c r="L77" s="89" t="s">
        <v>267</v>
      </c>
      <c r="M77" s="90" t="s">
        <v>273</v>
      </c>
      <c r="N77" s="90" t="s">
        <v>276</v>
      </c>
      <c r="O77" s="90" t="s">
        <v>276</v>
      </c>
      <c r="P77" s="90" t="s">
        <v>274</v>
      </c>
      <c r="Q77" s="90" t="s">
        <v>270</v>
      </c>
      <c r="R7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77" s="91">
        <f>(1 - ((1 - VLOOKUP(Table4[[#This Row],[Confidentiality]],'Reference - CVSSv3.0'!$B$16:$C$18,2,FALSE())) * (1 - VLOOKUP(Table4[[#This Row],[Integrity]],'Reference - CVSSv3.0'!$B$16:$C$18,2,FALSE())) *  (1 - VLOOKUP(Table4[[#This Row],[Availability]],'Reference - CVSSv3.0'!$B$16:$C$18,2,FALSE()))))</f>
        <v>0.52544799999999992</v>
      </c>
      <c r="T77" s="91">
        <f>IF(Table4[[#This Row],[Scope]]="Unchanged",6.42*Table4[[#This Row],[ISC Base]],IF(Table4[[#This Row],[Scope]]="Changed",7.52*(Table4[[#This Row],[ISC Base]] - 0.029) - 3.25 * POWER(Table4[[#This Row],[ISC Base]] - 0.02,15),NA()))</f>
        <v>3.3733761599999994</v>
      </c>
      <c r="U77"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77" s="85" t="s">
        <v>267</v>
      </c>
      <c r="W77" s="91">
        <f>VLOOKUP(Table4[[#This Row],[Threat Event Initiation]],NIST_Scale_LOAI[],2,FALSE())</f>
        <v>0.2</v>
      </c>
      <c r="X7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7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7" s="19" t="s">
        <v>313</v>
      </c>
      <c r="AA77" s="19" t="s">
        <v>459</v>
      </c>
      <c r="AB77" s="19" t="s">
        <v>545</v>
      </c>
      <c r="AC77" s="36"/>
      <c r="AD77" s="36"/>
      <c r="AE77" s="36"/>
      <c r="AF77" s="90"/>
      <c r="AG77" s="90"/>
      <c r="AH77" s="90"/>
      <c r="AI77" s="90"/>
      <c r="AJ77" s="90"/>
      <c r="AK77"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7" s="91" t="e">
        <f>(1 - ((1 - VLOOKUP(Table4[[#This Row],[ConfidentialityP]],'Reference - CVSSv3.0'!$B$16:$C$18,2,FALSE())) * (1 - VLOOKUP(Table4[[#This Row],[IntegrityP]],'Reference - CVSSv3.0'!$B$16:$C$18,2,FALSE())) *  (1 - VLOOKUP(Table4[[#This Row],[AvailabilityP]],'Reference - CVSSv3.0'!$B$16:$C$18,2,FALSE()))))</f>
        <v>#N/A</v>
      </c>
      <c r="AM77" s="91" t="e">
        <f>IF(Table4[[#This Row],[ScopeP]]="Unchanged",6.42*Table4[[#This Row],[ISC BaseP]],IF(Table4[[#This Row],[ScopeP]]="Changed",7.52*(Table4[[#This Row],[ISC BaseP]] - 0.029) - 3.25 * POWER(Table4[[#This Row],[ISC BaseP]] - 0.02,15),NA()))</f>
        <v>#N/A</v>
      </c>
      <c r="AN7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7" s="36"/>
    </row>
    <row r="78" spans="1:43" ht="270.75">
      <c r="A78" s="84">
        <v>74</v>
      </c>
      <c r="B78" s="85" t="s">
        <v>200</v>
      </c>
      <c r="C78" s="86" t="str">
        <f>IF(VLOOKUP(Table4[[#This Row],[T ID]],Table5[#All],5,FALSE())="No","Not in scope",VLOOKUP(Table4[[#This Row],[T ID]],Table5[#All],2,FALSE()))</f>
        <v>Data Access
(STR[I]DE)</v>
      </c>
      <c r="D78" s="57" t="s">
        <v>94</v>
      </c>
      <c r="E78" s="86" t="str">
        <f>IF(VLOOKUP(Table4[[#This Row],[V ID]],Vulnerabilities[#All],3,FALSE())="No","Not in scope",VLOOKUP(Table4[[#This Row],[V ID]],Vulnerabilities[#All],2,FALSE()))</f>
        <v>Devices with default passwords needs to be checked for bruteforce attacks</v>
      </c>
      <c r="F78" s="87" t="s">
        <v>50</v>
      </c>
      <c r="G78" s="88" t="str">
        <f>VLOOKUP(Table4[[#This Row],[A ID]],Assets[#All],3,FALSE())</f>
        <v>Authentication/Authorisation method of all device(s)/app</v>
      </c>
      <c r="H78" s="19" t="s">
        <v>314</v>
      </c>
      <c r="I78" s="19" t="s">
        <v>465</v>
      </c>
      <c r="J78" s="89" t="s">
        <v>276</v>
      </c>
      <c r="K78" s="89" t="s">
        <v>274</v>
      </c>
      <c r="L78" s="89" t="s">
        <v>274</v>
      </c>
      <c r="M78" s="90" t="s">
        <v>273</v>
      </c>
      <c r="N78" s="90" t="s">
        <v>276</v>
      </c>
      <c r="O78" s="90" t="s">
        <v>276</v>
      </c>
      <c r="P78" s="90" t="s">
        <v>274</v>
      </c>
      <c r="Q78" s="90" t="s">
        <v>270</v>
      </c>
      <c r="R7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78" s="91">
        <f>(1 - ((1 - VLOOKUP(Table4[[#This Row],[Confidentiality]],'Reference - CVSSv3.0'!$B$16:$C$18,2,FALSE())) * (1 - VLOOKUP(Table4[[#This Row],[Integrity]],'Reference - CVSSv3.0'!$B$16:$C$18,2,FALSE())) *  (1 - VLOOKUP(Table4[[#This Row],[Availability]],'Reference - CVSSv3.0'!$B$16:$C$18,2,FALSE()))))</f>
        <v>0.56000000000000005</v>
      </c>
      <c r="T78" s="91">
        <f>IF(Table4[[#This Row],[Scope]]="Unchanged",6.42*Table4[[#This Row],[ISC Base]],IF(Table4[[#This Row],[Scope]]="Changed",7.52*(Table4[[#This Row],[ISC Base]] - 0.029) - 3.25 * POWER(Table4[[#This Row],[ISC Base]] - 0.02,15),NA()))</f>
        <v>3.5952000000000002</v>
      </c>
      <c r="U78" s="91">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78" s="85" t="s">
        <v>277</v>
      </c>
      <c r="W78" s="91">
        <f>VLOOKUP(Table4[[#This Row],[Threat Event Initiation]],NIST_Scale_LOAI[],2,FALSE())</f>
        <v>0.5</v>
      </c>
      <c r="X7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v>
      </c>
      <c r="Y7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8" s="19" t="s">
        <v>313</v>
      </c>
      <c r="AA78" s="19" t="s">
        <v>459</v>
      </c>
      <c r="AB78" s="19" t="s">
        <v>546</v>
      </c>
      <c r="AC78" s="36"/>
      <c r="AD78" s="36"/>
      <c r="AE78" s="36"/>
      <c r="AF78" s="90"/>
      <c r="AG78" s="90"/>
      <c r="AH78" s="90"/>
      <c r="AI78" s="90"/>
      <c r="AJ78" s="90"/>
      <c r="AK78"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8" s="91" t="e">
        <f>(1 - ((1 - VLOOKUP(Table4[[#This Row],[ConfidentialityP]],'Reference - CVSSv3.0'!$B$16:$C$18,2,FALSE())) * (1 - VLOOKUP(Table4[[#This Row],[IntegrityP]],'Reference - CVSSv3.0'!$B$16:$C$18,2,FALSE())) *  (1 - VLOOKUP(Table4[[#This Row],[AvailabilityP]],'Reference - CVSSv3.0'!$B$16:$C$18,2,FALSE()))))</f>
        <v>#N/A</v>
      </c>
      <c r="AM78" s="91" t="e">
        <f>IF(Table4[[#This Row],[ScopeP]]="Unchanged",6.42*Table4[[#This Row],[ISC BaseP]],IF(Table4[[#This Row],[ScopeP]]="Changed",7.52*(Table4[[#This Row],[ISC BaseP]] - 0.029) - 3.25 * POWER(Table4[[#This Row],[ISC BaseP]] - 0.02,15),NA()))</f>
        <v>#N/A</v>
      </c>
      <c r="AN7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8" s="36"/>
    </row>
    <row r="79" spans="1:43" ht="270.75">
      <c r="A79" s="95">
        <v>75</v>
      </c>
      <c r="B79" s="85" t="s">
        <v>200</v>
      </c>
      <c r="C79" s="86" t="str">
        <f>IF(VLOOKUP(Table4[[#This Row],[T ID]],Table5[#All],5,FALSE())="No","Not in scope",VLOOKUP(Table4[[#This Row],[T ID]],Table5[#All],2,FALSE()))</f>
        <v>Data Access
(STR[I]DE)</v>
      </c>
      <c r="D79" s="57" t="s">
        <v>94</v>
      </c>
      <c r="E79" s="86" t="str">
        <f>IF(VLOOKUP(Table4[[#This Row],[V ID]],Vulnerabilities[#All],3,FALSE())="No","Not in scope",VLOOKUP(Table4[[#This Row],[V ID]],Vulnerabilities[#All],2,FALSE()))</f>
        <v>Devices with default passwords needs to be checked for bruteforce attacks</v>
      </c>
      <c r="F79" s="87" t="s">
        <v>68</v>
      </c>
      <c r="G79" s="88" t="str">
        <f>VLOOKUP(Table4[[#This Row],[A ID]],Assets[#All],3,FALSE())</f>
        <v>Data in Transit</v>
      </c>
      <c r="H79" s="19" t="s">
        <v>314</v>
      </c>
      <c r="I79" s="19" t="s">
        <v>465</v>
      </c>
      <c r="J79" s="89" t="s">
        <v>276</v>
      </c>
      <c r="K79" s="89" t="s">
        <v>274</v>
      </c>
      <c r="L79" s="89" t="s">
        <v>274</v>
      </c>
      <c r="M79" s="90" t="s">
        <v>273</v>
      </c>
      <c r="N79" s="90" t="s">
        <v>276</v>
      </c>
      <c r="O79" s="90" t="s">
        <v>276</v>
      </c>
      <c r="P79" s="90" t="s">
        <v>274</v>
      </c>
      <c r="Q79" s="90" t="s">
        <v>270</v>
      </c>
      <c r="R79"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79" s="91">
        <f>(1 - ((1 - VLOOKUP(Table4[[#This Row],[Confidentiality]],'Reference - CVSSv3.0'!$B$16:$C$18,2,FALSE())) * (1 - VLOOKUP(Table4[[#This Row],[Integrity]],'Reference - CVSSv3.0'!$B$16:$C$18,2,FALSE())) *  (1 - VLOOKUP(Table4[[#This Row],[Availability]],'Reference - CVSSv3.0'!$B$16:$C$18,2,FALSE()))))</f>
        <v>0.56000000000000005</v>
      </c>
      <c r="T79" s="91">
        <f>IF(Table4[[#This Row],[Scope]]="Unchanged",6.42*Table4[[#This Row],[ISC Base]],IF(Table4[[#This Row],[Scope]]="Changed",7.52*(Table4[[#This Row],[ISC Base]] - 0.029) - 3.25 * POWER(Table4[[#This Row],[ISC Base]] - 0.02,15),NA()))</f>
        <v>3.5952000000000002</v>
      </c>
      <c r="U79" s="91">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79" s="85" t="s">
        <v>267</v>
      </c>
      <c r="W79" s="91">
        <f>VLOOKUP(Table4[[#This Row],[Threat Event Initiation]],NIST_Scale_LOAI[],2,FALSE())</f>
        <v>0.2</v>
      </c>
      <c r="X7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9" s="19" t="s">
        <v>315</v>
      </c>
      <c r="AA79" s="19" t="s">
        <v>459</v>
      </c>
      <c r="AB79" s="19" t="s">
        <v>547</v>
      </c>
      <c r="AC79" s="36"/>
      <c r="AD79" s="36"/>
      <c r="AE79" s="36"/>
      <c r="AF79" s="90"/>
      <c r="AG79" s="90"/>
      <c r="AH79" s="90"/>
      <c r="AI79" s="90"/>
      <c r="AJ79" s="90"/>
      <c r="AK79"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9" s="91" t="e">
        <f>(1 - ((1 - VLOOKUP(Table4[[#This Row],[ConfidentialityP]],'Reference - CVSSv3.0'!$B$16:$C$18,2,FALSE())) * (1 - VLOOKUP(Table4[[#This Row],[IntegrityP]],'Reference - CVSSv3.0'!$B$16:$C$18,2,FALSE())) *  (1 - VLOOKUP(Table4[[#This Row],[AvailabilityP]],'Reference - CVSSv3.0'!$B$16:$C$18,2,FALSE()))))</f>
        <v>#N/A</v>
      </c>
      <c r="AM79" s="91" t="e">
        <f>IF(Table4[[#This Row],[ScopeP]]="Unchanged",6.42*Table4[[#This Row],[ISC BaseP]],IF(Table4[[#This Row],[ScopeP]]="Changed",7.52*(Table4[[#This Row],[ISC BaseP]] - 0.029) - 3.25 * POWER(Table4[[#This Row],[ISC BaseP]] - 0.02,15),NA()))</f>
        <v>#N/A</v>
      </c>
      <c r="AN7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9" s="36"/>
    </row>
    <row r="80" spans="1:43" ht="356.25">
      <c r="A80" s="84">
        <v>76</v>
      </c>
      <c r="B80" s="85" t="s">
        <v>200</v>
      </c>
      <c r="C80" s="86" t="str">
        <f>IF(VLOOKUP(Table4[[#This Row],[T ID]],Table5[#All],5,FALSE())="No","Not in scope",VLOOKUP(Table4[[#This Row],[T ID]],Table5[#All],2,FALSE()))</f>
        <v>Data Access
(STR[I]DE)</v>
      </c>
      <c r="D80" s="57" t="s">
        <v>100</v>
      </c>
      <c r="E80" s="86" t="str">
        <f>IF(VLOOKUP(Table4[[#This Row],[V ID]],Vulnerabilities[#All],3,FALSE())="No","Not in scope",VLOOKUP(Table4[[#This Row],[V ID]],Vulnerabilities[#All],2,FALSE()))</f>
        <v>The password complexity or location vulnerability. Like weak passwords and hardcoded passwords.</v>
      </c>
      <c r="F80" s="87" t="s">
        <v>65</v>
      </c>
      <c r="G80" s="88" t="str">
        <f>VLOOKUP(Table4[[#This Row],[A ID]],Assets[#All],3,FALSE())</f>
        <v>Data at Rest</v>
      </c>
      <c r="H80" s="211" t="s">
        <v>314</v>
      </c>
      <c r="I80" s="19" t="s">
        <v>465</v>
      </c>
      <c r="J80" s="212" t="s">
        <v>267</v>
      </c>
      <c r="K80" s="212" t="s">
        <v>267</v>
      </c>
      <c r="L80" s="212" t="s">
        <v>267</v>
      </c>
      <c r="M80" s="212" t="s">
        <v>273</v>
      </c>
      <c r="N80" s="212" t="s">
        <v>276</v>
      </c>
      <c r="O80" s="212" t="s">
        <v>276</v>
      </c>
      <c r="P80" s="212" t="s">
        <v>274</v>
      </c>
      <c r="Q80" s="212" t="s">
        <v>270</v>
      </c>
      <c r="R8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80" s="93">
        <f>(1 - ((1 - VLOOKUP(Table4[[#This Row],[Confidentiality]],'Reference - CVSSv3.0'!$B$16:$C$18,2,FALSE())) * (1 - VLOOKUP(Table4[[#This Row],[Integrity]],'Reference - CVSSv3.0'!$B$16:$C$18,2,FALSE())) *  (1 - VLOOKUP(Table4[[#This Row],[Availability]],'Reference - CVSSv3.0'!$B$16:$C$18,2,FALSE()))))</f>
        <v>0.52544799999999992</v>
      </c>
      <c r="T80" s="93">
        <f>IF(Table4[[#This Row],[Scope]]="Unchanged",6.42*Table4[[#This Row],[ISC Base]],IF(Table4[[#This Row],[Scope]]="Changed",7.52*(Table4[[#This Row],[ISC Base]] - 0.029) - 3.25 * POWER(Table4[[#This Row],[ISC Base]] - 0.02,15),NA()))</f>
        <v>3.3733761599999994</v>
      </c>
      <c r="U80" s="93">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80" s="210" t="s">
        <v>267</v>
      </c>
      <c r="W80" s="91">
        <f>VLOOKUP(Table4[[#This Row],[Threat Event Initiation]],NIST_Scale_LOAI[],2,FALSE())</f>
        <v>0.2</v>
      </c>
      <c r="X8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80" s="214"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0" s="19" t="s">
        <v>316</v>
      </c>
      <c r="AA80" s="19" t="s">
        <v>453</v>
      </c>
      <c r="AB80" s="19" t="s">
        <v>548</v>
      </c>
      <c r="AC80" s="36"/>
      <c r="AD80" s="36"/>
      <c r="AE80" s="36"/>
      <c r="AF80" s="90"/>
      <c r="AG80" s="90"/>
      <c r="AH80" s="90"/>
      <c r="AI80" s="90"/>
      <c r="AJ80" s="90"/>
      <c r="AK80"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0" s="91" t="e">
        <f>(1 - ((1 - VLOOKUP(Table4[[#This Row],[ConfidentialityP]],'Reference - CVSSv3.0'!$B$16:$C$18,2,FALSE())) * (1 - VLOOKUP(Table4[[#This Row],[IntegrityP]],'Reference - CVSSv3.0'!$B$16:$C$18,2,FALSE())) *  (1 - VLOOKUP(Table4[[#This Row],[AvailabilityP]],'Reference - CVSSv3.0'!$B$16:$C$18,2,FALSE()))))</f>
        <v>#N/A</v>
      </c>
      <c r="AM80" s="91" t="e">
        <f>IF(Table4[[#This Row],[ScopeP]]="Unchanged",6.42*Table4[[#This Row],[ISC BaseP]],IF(Table4[[#This Row],[ScopeP]]="Changed",7.52*(Table4[[#This Row],[ISC BaseP]] - 0.029) - 3.25 * POWER(Table4[[#This Row],[ISC BaseP]] - 0.02,15),NA()))</f>
        <v>#N/A</v>
      </c>
      <c r="AN8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0" s="36"/>
    </row>
    <row r="81" spans="1:43" ht="242.25">
      <c r="A81" s="95">
        <v>77</v>
      </c>
      <c r="B81" s="85" t="s">
        <v>200</v>
      </c>
      <c r="C81" s="86" t="str">
        <f>IF(VLOOKUP(Table4[[#This Row],[T ID]],Table5[#All],5,FALSE())="No","Not in scope",VLOOKUP(Table4[[#This Row],[T ID]],Table5[#All],2,FALSE()))</f>
        <v>Data Access
(STR[I]DE)</v>
      </c>
      <c r="D81" s="57" t="s">
        <v>122</v>
      </c>
      <c r="E81" s="86" t="str">
        <f>IF(VLOOKUP(Table4[[#This Row],[V ID]],Vulnerabilities[#All],3,FALSE())="No","Not in scope",VLOOKUP(Table4[[#This Row],[V ID]],Vulnerabilities[#All],2,FALSE()))</f>
        <v>Unprotected external USB Port on the tablet/devices.</v>
      </c>
      <c r="F81" s="87" t="s">
        <v>38</v>
      </c>
      <c r="G81" s="88" t="str">
        <f>VLOOKUP(Table4[[#This Row],[A ID]],Assets[#All],3,FALSE())</f>
        <v>Tablet Resources - web cam, microphone, OTG devices, Removable USB, Tablet Application, Network interfaces (Bluetooth, Wifi)</v>
      </c>
      <c r="H81" s="19" t="s">
        <v>314</v>
      </c>
      <c r="I81" s="19" t="s">
        <v>465</v>
      </c>
      <c r="J81" s="89" t="s">
        <v>274</v>
      </c>
      <c r="K81" s="89" t="s">
        <v>267</v>
      </c>
      <c r="L81" s="89" t="s">
        <v>267</v>
      </c>
      <c r="M81" s="90" t="s">
        <v>268</v>
      </c>
      <c r="N81" s="90" t="s">
        <v>276</v>
      </c>
      <c r="O81" s="90" t="s">
        <v>276</v>
      </c>
      <c r="P81" s="90" t="s">
        <v>274</v>
      </c>
      <c r="Q81" s="90" t="s">
        <v>270</v>
      </c>
      <c r="R8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0.16601112000000004</v>
      </c>
      <c r="S81" s="91">
        <f>(1 - ((1 - VLOOKUP(Table4[[#This Row],[Confidentiality]],'Reference - CVSSv3.0'!$B$16:$C$18,2,FALSE())) * (1 - VLOOKUP(Table4[[#This Row],[Integrity]],'Reference - CVSSv3.0'!$B$16:$C$18,2,FALSE())) *  (1 - VLOOKUP(Table4[[#This Row],[Availability]],'Reference - CVSSv3.0'!$B$16:$C$18,2,FALSE()))))</f>
        <v>0.39159999999999995</v>
      </c>
      <c r="T81" s="91">
        <f>IF(Table4[[#This Row],[Scope]]="Unchanged",6.42*Table4[[#This Row],[ISC Base]],IF(Table4[[#This Row],[Scope]]="Changed",7.52*(Table4[[#This Row],[ISC Base]] - 0.029) - 3.25 * POWER(Table4[[#This Row],[ISC Base]] - 0.02,15),NA()))</f>
        <v>2.5140719999999996</v>
      </c>
      <c r="U81" s="91">
        <f>IF(Table4[[#This Row],[Impact Sub Score]]&lt;=0,0,IF(Table4[[#This Row],[Scope]]="Unchanged",ROUNDUP(MIN((Table4[[#This Row],[Impact Sub Score]]+Table4[[#This Row],[Exploitability Sub Score]]),10),1),IF(Table4[[#This Row],[Scope]]="Changed",ROUNDUP(MIN((1.08*(Table4[[#This Row],[Impact Sub Score]]+Table4[[#This Row],[Exploitability Sub Score]])),10),1),NA())))</f>
        <v>2.7</v>
      </c>
      <c r="V81" s="85" t="s">
        <v>277</v>
      </c>
      <c r="W81" s="91">
        <f>VLOOKUP(Table4[[#This Row],[Threat Event Initiation]],NIST_Scale_LOAI[],2,FALSE())</f>
        <v>0.5</v>
      </c>
      <c r="X8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2.6</v>
      </c>
      <c r="Y8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1" s="19" t="s">
        <v>271</v>
      </c>
      <c r="AA81" s="19" t="s">
        <v>307</v>
      </c>
      <c r="AB81" s="19" t="s">
        <v>549</v>
      </c>
      <c r="AC81" s="36"/>
      <c r="AD81" s="36"/>
      <c r="AE81" s="36"/>
      <c r="AF81" s="90"/>
      <c r="AG81" s="90"/>
      <c r="AH81" s="90"/>
      <c r="AI81" s="90"/>
      <c r="AJ81" s="90"/>
      <c r="AK81"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1" s="91" t="e">
        <f>(1 - ((1 - VLOOKUP(Table4[[#This Row],[ConfidentialityP]],'Reference - CVSSv3.0'!$B$16:$C$18,2,FALSE())) * (1 - VLOOKUP(Table4[[#This Row],[IntegrityP]],'Reference - CVSSv3.0'!$B$16:$C$18,2,FALSE())) *  (1 - VLOOKUP(Table4[[#This Row],[AvailabilityP]],'Reference - CVSSv3.0'!$B$16:$C$18,2,FALSE()))))</f>
        <v>#N/A</v>
      </c>
      <c r="AM81" s="91" t="e">
        <f>IF(Table4[[#This Row],[ScopeP]]="Unchanged",6.42*Table4[[#This Row],[ISC BaseP]],IF(Table4[[#This Row],[ScopeP]]="Changed",7.52*(Table4[[#This Row],[ISC BaseP]] - 0.029) - 3.25 * POWER(Table4[[#This Row],[ISC BaseP]] - 0.02,15),NA()))</f>
        <v>#N/A</v>
      </c>
      <c r="AN8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1" s="36"/>
    </row>
    <row r="82" spans="1:43" ht="242.25">
      <c r="A82" s="84">
        <v>78</v>
      </c>
      <c r="B82" s="85" t="s">
        <v>203</v>
      </c>
      <c r="C82" s="86" t="str">
        <f>IF(VLOOKUP(Table4[[#This Row],[T ID]],Table5[#All],5,FALSE())="No","Not in scope",VLOOKUP(Table4[[#This Row],[T ID]],Table5[#All],2,FALSE()))</f>
        <v>Open network port exploit
(TTP)</v>
      </c>
      <c r="D82" s="57" t="s">
        <v>120</v>
      </c>
      <c r="E82" s="86" t="str">
        <f>IF(VLOOKUP(Table4[[#This Row],[V ID]],Vulnerabilities[#All],3,FALSE())="No","Not in scope",VLOOKUP(Table4[[#This Row],[V ID]],Vulnerabilities[#All],2,FALSE()))</f>
        <v>Unprotected network port(s) on network devices and connection points</v>
      </c>
      <c r="F82" s="87" t="s">
        <v>42</v>
      </c>
      <c r="G82" s="88" t="str">
        <f>VLOOKUP(Table4[[#This Row],[A ID]],Assets[#All],3,FALSE())</f>
        <v>Tablet OS/network details &amp; Tablet Application</v>
      </c>
      <c r="H82" s="19" t="s">
        <v>317</v>
      </c>
      <c r="I82" s="19" t="s">
        <v>465</v>
      </c>
      <c r="J82" s="89" t="s">
        <v>274</v>
      </c>
      <c r="K82" s="89" t="s">
        <v>274</v>
      </c>
      <c r="L82" s="89" t="s">
        <v>267</v>
      </c>
      <c r="M82" s="90" t="s">
        <v>273</v>
      </c>
      <c r="N82" s="90" t="s">
        <v>276</v>
      </c>
      <c r="O82" s="90" t="s">
        <v>267</v>
      </c>
      <c r="P82" s="90" t="s">
        <v>274</v>
      </c>
      <c r="Q82" s="90" t="s">
        <v>270</v>
      </c>
      <c r="R8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82" s="91">
        <f>(1 - ((1 - VLOOKUP(Table4[[#This Row],[Confidentiality]],'Reference - CVSSv3.0'!$B$16:$C$18,2,FALSE())) * (1 - VLOOKUP(Table4[[#This Row],[Integrity]],'Reference - CVSSv3.0'!$B$16:$C$18,2,FALSE())) *  (1 - VLOOKUP(Table4[[#This Row],[Availability]],'Reference - CVSSv3.0'!$B$16:$C$18,2,FALSE()))))</f>
        <v>0.21999999999999997</v>
      </c>
      <c r="T82" s="91">
        <f>IF(Table4[[#This Row],[Scope]]="Unchanged",6.42*Table4[[#This Row],[ISC Base]],IF(Table4[[#This Row],[Scope]]="Changed",7.52*(Table4[[#This Row],[ISC Base]] - 0.029) - 3.25 * POWER(Table4[[#This Row],[ISC Base]] - 0.02,15),NA()))</f>
        <v>1.4123999999999999</v>
      </c>
      <c r="U82" s="91">
        <f>IF(Table4[[#This Row],[Impact Sub Score]]&lt;=0,0,IF(Table4[[#This Row],[Scope]]="Unchanged",ROUNDUP(MIN((Table4[[#This Row],[Impact Sub Score]]+Table4[[#This Row],[Exploitability Sub Score]]),10),1),IF(Table4[[#This Row],[Scope]]="Changed",ROUNDUP(MIN((1.08*(Table4[[#This Row],[Impact Sub Score]]+Table4[[#This Row],[Exploitability Sub Score]])),10),1),NA())))</f>
        <v>3.1</v>
      </c>
      <c r="V82" s="85" t="s">
        <v>277</v>
      </c>
      <c r="W82" s="91">
        <f>VLOOKUP(Table4[[#This Row],[Threat Event Initiation]],NIST_Scale_LOAI[],2,FALSE())</f>
        <v>0.5</v>
      </c>
      <c r="X8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2" s="19" t="s">
        <v>271</v>
      </c>
      <c r="AA82" s="19" t="s">
        <v>307</v>
      </c>
      <c r="AB82" s="19" t="s">
        <v>550</v>
      </c>
      <c r="AC82" s="36"/>
      <c r="AD82" s="36"/>
      <c r="AE82" s="36"/>
      <c r="AF82" s="90"/>
      <c r="AG82" s="90"/>
      <c r="AH82" s="90"/>
      <c r="AI82" s="90"/>
      <c r="AJ82" s="90"/>
      <c r="AK82"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2" s="91" t="e">
        <f>(1 - ((1 - VLOOKUP(Table4[[#This Row],[ConfidentialityP]],'Reference - CVSSv3.0'!$B$16:$C$18,2,FALSE())) * (1 - VLOOKUP(Table4[[#This Row],[IntegrityP]],'Reference - CVSSv3.0'!$B$16:$C$18,2,FALSE())) *  (1 - VLOOKUP(Table4[[#This Row],[AvailabilityP]],'Reference - CVSSv3.0'!$B$16:$C$18,2,FALSE()))))</f>
        <v>#N/A</v>
      </c>
      <c r="AM82" s="91" t="e">
        <f>IF(Table4[[#This Row],[ScopeP]]="Unchanged",6.42*Table4[[#This Row],[ISC BaseP]],IF(Table4[[#This Row],[ScopeP]]="Changed",7.52*(Table4[[#This Row],[ISC BaseP]] - 0.029) - 3.25 * POWER(Table4[[#This Row],[ISC BaseP]] - 0.02,15),NA()))</f>
        <v>#N/A</v>
      </c>
      <c r="AN8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2" s="36"/>
    </row>
    <row r="83" spans="1:43" ht="124.5" customHeight="1">
      <c r="A83" s="84">
        <v>79</v>
      </c>
      <c r="B83" s="85" t="s">
        <v>203</v>
      </c>
      <c r="C83" s="86" t="str">
        <f>IF(VLOOKUP(Table4[[#This Row],[T ID]],Table5[#All],5,FALSE())="No","Not in scope",VLOOKUP(Table4[[#This Row],[T ID]],Table5[#All],2,FALSE()))</f>
        <v>Open network port exploit
(TTP)</v>
      </c>
      <c r="D83" s="57" t="s">
        <v>120</v>
      </c>
      <c r="E83" s="86" t="str">
        <f>IF(VLOOKUP(Table4[[#This Row],[V ID]],Vulnerabilities[#All],3,FALSE())="No","Not in scope",VLOOKUP(Table4[[#This Row],[V ID]],Vulnerabilities[#All],2,FALSE()))</f>
        <v>Unprotected network port(s) on network devices and connection points</v>
      </c>
      <c r="F83" s="87" t="s">
        <v>62</v>
      </c>
      <c r="G83" s="88" t="str">
        <f>VLOOKUP(Table4[[#This Row],[A ID]],Assets[#All],3,FALSE())</f>
        <v>Wireless Network device (Scope of HDO)</v>
      </c>
      <c r="H83" s="19" t="s">
        <v>317</v>
      </c>
      <c r="I83" s="19" t="s">
        <v>465</v>
      </c>
      <c r="J83" s="89" t="s">
        <v>274</v>
      </c>
      <c r="K83" s="89" t="s">
        <v>274</v>
      </c>
      <c r="L83" s="89" t="s">
        <v>267</v>
      </c>
      <c r="M83" s="90" t="s">
        <v>273</v>
      </c>
      <c r="N83" s="90" t="s">
        <v>276</v>
      </c>
      <c r="O83" s="90" t="s">
        <v>267</v>
      </c>
      <c r="P83" s="90" t="s">
        <v>274</v>
      </c>
      <c r="Q83" s="90" t="s">
        <v>270</v>
      </c>
      <c r="R8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83" s="91">
        <f>(1 - ((1 - VLOOKUP(Table4[[#This Row],[Confidentiality]],'Reference - CVSSv3.0'!$B$16:$C$18,2,FALSE())) * (1 - VLOOKUP(Table4[[#This Row],[Integrity]],'Reference - CVSSv3.0'!$B$16:$C$18,2,FALSE())) *  (1 - VLOOKUP(Table4[[#This Row],[Availability]],'Reference - CVSSv3.0'!$B$16:$C$18,2,FALSE()))))</f>
        <v>0.21999999999999997</v>
      </c>
      <c r="T83" s="91">
        <f>IF(Table4[[#This Row],[Scope]]="Unchanged",6.42*Table4[[#This Row],[ISC Base]],IF(Table4[[#This Row],[Scope]]="Changed",7.52*(Table4[[#This Row],[ISC Base]] - 0.029) - 3.25 * POWER(Table4[[#This Row],[ISC Base]] - 0.02,15),NA()))</f>
        <v>1.4123999999999999</v>
      </c>
      <c r="U83" s="91">
        <f>IF(Table4[[#This Row],[Impact Sub Score]]&lt;=0,0,IF(Table4[[#This Row],[Scope]]="Unchanged",ROUNDUP(MIN((Table4[[#This Row],[Impact Sub Score]]+Table4[[#This Row],[Exploitability Sub Score]]),10),1),IF(Table4[[#This Row],[Scope]]="Changed",ROUNDUP(MIN((1.08*(Table4[[#This Row],[Impact Sub Score]]+Table4[[#This Row],[Exploitability Sub Score]])),10),1),NA())))</f>
        <v>3.1</v>
      </c>
      <c r="V83" s="85" t="s">
        <v>277</v>
      </c>
      <c r="W83" s="91">
        <f>VLOOKUP(Table4[[#This Row],[Threat Event Initiation]],NIST_Scale_LOAI[],2,FALSE())</f>
        <v>0.5</v>
      </c>
      <c r="X8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3" s="19" t="s">
        <v>318</v>
      </c>
      <c r="AA83" s="19" t="s">
        <v>319</v>
      </c>
      <c r="AB83" s="19" t="s">
        <v>551</v>
      </c>
      <c r="AC83" s="36"/>
      <c r="AD83" s="36"/>
      <c r="AE83" s="36"/>
      <c r="AF83" s="90"/>
      <c r="AG83" s="90"/>
      <c r="AH83" s="90"/>
      <c r="AI83" s="90"/>
      <c r="AJ83" s="90"/>
      <c r="AK83"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3" s="91" t="e">
        <f>(1 - ((1 - VLOOKUP(Table4[[#This Row],[ConfidentialityP]],'Reference - CVSSv3.0'!$B$16:$C$18,2,FALSE())) * (1 - VLOOKUP(Table4[[#This Row],[IntegrityP]],'Reference - CVSSv3.0'!$B$16:$C$18,2,FALSE())) *  (1 - VLOOKUP(Table4[[#This Row],[AvailabilityP]],'Reference - CVSSv3.0'!$B$16:$C$18,2,FALSE()))))</f>
        <v>#N/A</v>
      </c>
      <c r="AM83" s="91" t="e">
        <f>IF(Table4[[#This Row],[ScopeP]]="Unchanged",6.42*Table4[[#This Row],[ISC BaseP]],IF(Table4[[#This Row],[ScopeP]]="Changed",7.52*(Table4[[#This Row],[ISC BaseP]] - 0.029) - 3.25 * POWER(Table4[[#This Row],[ISC BaseP]] - 0.02,15),NA()))</f>
        <v>#N/A</v>
      </c>
      <c r="AN8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3" s="36"/>
    </row>
    <row r="84" spans="1:43" ht="242.25">
      <c r="A84" s="84">
        <v>80</v>
      </c>
      <c r="B84" s="85" t="s">
        <v>203</v>
      </c>
      <c r="C84" s="86" t="str">
        <f>IF(VLOOKUP(Table4[[#This Row],[T ID]],Table5[#All],5,FALSE())="No","Not in scope",VLOOKUP(Table4[[#This Row],[T ID]],Table5[#All],2,FALSE()))</f>
        <v>Open network port exploit
(TTP)</v>
      </c>
      <c r="D84" s="57" t="s">
        <v>124</v>
      </c>
      <c r="E84" s="86" t="str">
        <f>IF(VLOOKUP(Table4[[#This Row],[V ID]],Vulnerabilities[#All],3,FALSE())="No","Not in scope",VLOOKUP(Table4[[#This Row],[V ID]],Vulnerabilities[#All],2,FALSE()))</f>
        <v>Unencrypted Network segment through out the information flow</v>
      </c>
      <c r="F84" s="87" t="s">
        <v>42</v>
      </c>
      <c r="G84" s="88" t="str">
        <f>VLOOKUP(Table4[[#This Row],[A ID]],Assets[#All],3,FALSE())</f>
        <v>Tablet OS/network details &amp; Tablet Application</v>
      </c>
      <c r="H84" s="19" t="s">
        <v>317</v>
      </c>
      <c r="I84" s="19" t="s">
        <v>465</v>
      </c>
      <c r="J84" s="89" t="s">
        <v>274</v>
      </c>
      <c r="K84" s="89" t="s">
        <v>274</v>
      </c>
      <c r="L84" s="89" t="s">
        <v>267</v>
      </c>
      <c r="M84" s="90" t="s">
        <v>273</v>
      </c>
      <c r="N84" s="90" t="s">
        <v>276</v>
      </c>
      <c r="O84" s="90" t="s">
        <v>267</v>
      </c>
      <c r="P84" s="90" t="s">
        <v>274</v>
      </c>
      <c r="Q84" s="90" t="s">
        <v>270</v>
      </c>
      <c r="R8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84" s="91">
        <f>(1 - ((1 - VLOOKUP(Table4[[#This Row],[Confidentiality]],'Reference - CVSSv3.0'!$B$16:$C$18,2,FALSE())) * (1 - VLOOKUP(Table4[[#This Row],[Integrity]],'Reference - CVSSv3.0'!$B$16:$C$18,2,FALSE())) *  (1 - VLOOKUP(Table4[[#This Row],[Availability]],'Reference - CVSSv3.0'!$B$16:$C$18,2,FALSE()))))</f>
        <v>0.21999999999999997</v>
      </c>
      <c r="T84" s="91">
        <f>IF(Table4[[#This Row],[Scope]]="Unchanged",6.42*Table4[[#This Row],[ISC Base]],IF(Table4[[#This Row],[Scope]]="Changed",7.52*(Table4[[#This Row],[ISC Base]] - 0.029) - 3.25 * POWER(Table4[[#This Row],[ISC Base]] - 0.02,15),NA()))</f>
        <v>1.4123999999999999</v>
      </c>
      <c r="U84" s="91">
        <f>IF(Table4[[#This Row],[Impact Sub Score]]&lt;=0,0,IF(Table4[[#This Row],[Scope]]="Unchanged",ROUNDUP(MIN((Table4[[#This Row],[Impact Sub Score]]+Table4[[#This Row],[Exploitability Sub Score]]),10),1),IF(Table4[[#This Row],[Scope]]="Changed",ROUNDUP(MIN((1.08*(Table4[[#This Row],[Impact Sub Score]]+Table4[[#This Row],[Exploitability Sub Score]])),10),1),NA())))</f>
        <v>3.1</v>
      </c>
      <c r="V84" s="85" t="s">
        <v>277</v>
      </c>
      <c r="W84" s="91">
        <f>VLOOKUP(Table4[[#This Row],[Threat Event Initiation]],NIST_Scale_LOAI[],2,FALSE())</f>
        <v>0.5</v>
      </c>
      <c r="X8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4" s="19" t="s">
        <v>271</v>
      </c>
      <c r="AA84" s="19" t="s">
        <v>307</v>
      </c>
      <c r="AB84" s="19" t="s">
        <v>552</v>
      </c>
      <c r="AC84" s="36"/>
      <c r="AD84" s="36"/>
      <c r="AE84" s="36"/>
      <c r="AF84" s="90"/>
      <c r="AG84" s="90"/>
      <c r="AH84" s="90"/>
      <c r="AI84" s="90"/>
      <c r="AJ84" s="90"/>
      <c r="AK8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4" s="91" t="e">
        <f>(1 - ((1 - VLOOKUP(Table4[[#This Row],[ConfidentialityP]],'Reference - CVSSv3.0'!$B$16:$C$18,2,FALSE())) * (1 - VLOOKUP(Table4[[#This Row],[IntegrityP]],'Reference - CVSSv3.0'!$B$16:$C$18,2,FALSE())) *  (1 - VLOOKUP(Table4[[#This Row],[AvailabilityP]],'Reference - CVSSv3.0'!$B$16:$C$18,2,FALSE()))))</f>
        <v>#N/A</v>
      </c>
      <c r="AM84" s="91" t="e">
        <f>IF(Table4[[#This Row],[ScopeP]]="Unchanged",6.42*Table4[[#This Row],[ISC BaseP]],IF(Table4[[#This Row],[ScopeP]]="Changed",7.52*(Table4[[#This Row],[ISC BaseP]] - 0.029) - 3.25 * POWER(Table4[[#This Row],[ISC BaseP]] - 0.02,15),NA()))</f>
        <v>#N/A</v>
      </c>
      <c r="AN8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4" s="36"/>
    </row>
    <row r="85" spans="1:43" ht="270.75">
      <c r="A85" s="84">
        <v>81</v>
      </c>
      <c r="B85" s="85" t="s">
        <v>203</v>
      </c>
      <c r="C85" s="86" t="str">
        <f>IF(VLOOKUP(Table4[[#This Row],[T ID]],Table5[#All],5,FALSE())="No","Not in scope",VLOOKUP(Table4[[#This Row],[T ID]],Table5[#All],2,FALSE()))</f>
        <v>Open network port exploit
(TTP)</v>
      </c>
      <c r="D85" s="57" t="s">
        <v>131</v>
      </c>
      <c r="E85" s="86" t="str">
        <f>IF(VLOOKUP(Table4[[#This Row],[V ID]],Vulnerabilities[#All],3,FALSE())="No","Not in scope",VLOOKUP(Table4[[#This Row],[V ID]],Vulnerabilities[#All],2,FALSE()))</f>
        <v>Unencrypted data in transit in all flowchannels</v>
      </c>
      <c r="F85" s="87" t="s">
        <v>68</v>
      </c>
      <c r="G85" s="88" t="str">
        <f>VLOOKUP(Table4[[#This Row],[A ID]],Assets[#All],3,FALSE())</f>
        <v>Data in Transit</v>
      </c>
      <c r="H85" s="19" t="s">
        <v>320</v>
      </c>
      <c r="I85" s="19" t="s">
        <v>465</v>
      </c>
      <c r="J85" s="89" t="s">
        <v>274</v>
      </c>
      <c r="K85" s="89" t="s">
        <v>274</v>
      </c>
      <c r="L85" s="89" t="s">
        <v>267</v>
      </c>
      <c r="M85" s="90" t="s">
        <v>273</v>
      </c>
      <c r="N85" s="90" t="s">
        <v>276</v>
      </c>
      <c r="O85" s="90" t="s">
        <v>267</v>
      </c>
      <c r="P85" s="90" t="s">
        <v>274</v>
      </c>
      <c r="Q85" s="90" t="s">
        <v>270</v>
      </c>
      <c r="R85"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85" s="91">
        <f>(1 - ((1 - VLOOKUP(Table4[[#This Row],[Confidentiality]],'Reference - CVSSv3.0'!$B$16:$C$18,2,FALSE())) * (1 - VLOOKUP(Table4[[#This Row],[Integrity]],'Reference - CVSSv3.0'!$B$16:$C$18,2,FALSE())) *  (1 - VLOOKUP(Table4[[#This Row],[Availability]],'Reference - CVSSv3.0'!$B$16:$C$18,2,FALSE()))))</f>
        <v>0.21999999999999997</v>
      </c>
      <c r="T85" s="91">
        <f>IF(Table4[[#This Row],[Scope]]="Unchanged",6.42*Table4[[#This Row],[ISC Base]],IF(Table4[[#This Row],[Scope]]="Changed",7.52*(Table4[[#This Row],[ISC Base]] - 0.029) - 3.25 * POWER(Table4[[#This Row],[ISC Base]] - 0.02,15),NA()))</f>
        <v>1.4123999999999999</v>
      </c>
      <c r="U85" s="91">
        <f>IF(Table4[[#This Row],[Impact Sub Score]]&lt;=0,0,IF(Table4[[#This Row],[Scope]]="Unchanged",ROUNDUP(MIN((Table4[[#This Row],[Impact Sub Score]]+Table4[[#This Row],[Exploitability Sub Score]]),10),1),IF(Table4[[#This Row],[Scope]]="Changed",ROUNDUP(MIN((1.08*(Table4[[#This Row],[Impact Sub Score]]+Table4[[#This Row],[Exploitability Sub Score]])),10),1),NA())))</f>
        <v>3.1</v>
      </c>
      <c r="V85" s="85" t="s">
        <v>277</v>
      </c>
      <c r="W85" s="91">
        <f>VLOOKUP(Table4[[#This Row],[Threat Event Initiation]],NIST_Scale_LOAI[],2,FALSE())</f>
        <v>0.5</v>
      </c>
      <c r="X8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5" s="19" t="s">
        <v>301</v>
      </c>
      <c r="AA85" s="19" t="s">
        <v>321</v>
      </c>
      <c r="AB85" s="19" t="s">
        <v>553</v>
      </c>
      <c r="AC85" s="36"/>
      <c r="AD85" s="36"/>
      <c r="AE85" s="36"/>
      <c r="AF85" s="90"/>
      <c r="AG85" s="90"/>
      <c r="AH85" s="90"/>
      <c r="AI85" s="90"/>
      <c r="AJ85" s="90"/>
      <c r="AK85"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5" s="91" t="e">
        <f>(1 - ((1 - VLOOKUP(Table4[[#This Row],[ConfidentialityP]],'Reference - CVSSv3.0'!$B$16:$C$18,2,FALSE())) * (1 - VLOOKUP(Table4[[#This Row],[IntegrityP]],'Reference - CVSSv3.0'!$B$16:$C$18,2,FALSE())) *  (1 - VLOOKUP(Table4[[#This Row],[AvailabilityP]],'Reference - CVSSv3.0'!$B$16:$C$18,2,FALSE()))))</f>
        <v>#N/A</v>
      </c>
      <c r="AM85" s="91" t="e">
        <f>IF(Table4[[#This Row],[ScopeP]]="Unchanged",6.42*Table4[[#This Row],[ISC BaseP]],IF(Table4[[#This Row],[ScopeP]]="Changed",7.52*(Table4[[#This Row],[ISC BaseP]] - 0.029) - 3.25 * POWER(Table4[[#This Row],[ISC BaseP]] - 0.02,15),NA()))</f>
        <v>#N/A</v>
      </c>
      <c r="AN8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5" s="36"/>
    </row>
    <row r="86" spans="1:43" ht="228">
      <c r="A86" s="95">
        <v>82</v>
      </c>
      <c r="B86" s="85" t="s">
        <v>203</v>
      </c>
      <c r="C86" s="86" t="str">
        <f>IF(VLOOKUP(Table4[[#This Row],[T ID]],Table5[#All],5,FALSE())="No","Not in scope",VLOOKUP(Table4[[#This Row],[T ID]],Table5[#All],2,FALSE()))</f>
        <v>Open network port exploit
(TTP)</v>
      </c>
      <c r="D86" s="57" t="s">
        <v>104</v>
      </c>
      <c r="E86" s="86" t="str">
        <f>IF(VLOOKUP(Table4[[#This Row],[V ID]],Vulnerabilities[#All],3,FALSE())="No","Not in scope",VLOOKUP(Table4[[#This Row],[V ID]],Vulnerabilities[#All],2,FALSE()))</f>
        <v>Insecure communications in networks (hospital)</v>
      </c>
      <c r="F86" s="87" t="s">
        <v>42</v>
      </c>
      <c r="G86" s="88" t="str">
        <f>VLOOKUP(Table4[[#This Row],[A ID]],Assets[#All],3,FALSE())</f>
        <v>Tablet OS/network details &amp; Tablet Application</v>
      </c>
      <c r="H86" s="19" t="s">
        <v>317</v>
      </c>
      <c r="I86" s="19" t="s">
        <v>465</v>
      </c>
      <c r="J86" s="89" t="s">
        <v>274</v>
      </c>
      <c r="K86" s="89" t="s">
        <v>267</v>
      </c>
      <c r="L86" s="89" t="s">
        <v>267</v>
      </c>
      <c r="M86" s="90" t="s">
        <v>273</v>
      </c>
      <c r="N86" s="90" t="s">
        <v>276</v>
      </c>
      <c r="O86" s="90" t="s">
        <v>267</v>
      </c>
      <c r="P86" s="90" t="s">
        <v>274</v>
      </c>
      <c r="Q86" s="90" t="s">
        <v>270</v>
      </c>
      <c r="R8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86" s="91">
        <f>(1 - ((1 - VLOOKUP(Table4[[#This Row],[Confidentiality]],'Reference - CVSSv3.0'!$B$16:$C$18,2,FALSE())) * (1 - VLOOKUP(Table4[[#This Row],[Integrity]],'Reference - CVSSv3.0'!$B$16:$C$18,2,FALSE())) *  (1 - VLOOKUP(Table4[[#This Row],[Availability]],'Reference - CVSSv3.0'!$B$16:$C$18,2,FALSE()))))</f>
        <v>0.39159999999999995</v>
      </c>
      <c r="T86" s="91">
        <f>IF(Table4[[#This Row],[Scope]]="Unchanged",6.42*Table4[[#This Row],[ISC Base]],IF(Table4[[#This Row],[Scope]]="Changed",7.52*(Table4[[#This Row],[ISC Base]] - 0.029) - 3.25 * POWER(Table4[[#This Row],[ISC Base]] - 0.02,15),NA()))</f>
        <v>2.5140719999999996</v>
      </c>
      <c r="U86"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86" s="85" t="s">
        <v>277</v>
      </c>
      <c r="W86" s="91">
        <f>VLOOKUP(Table4[[#This Row],[Threat Event Initiation]],NIST_Scale_LOAI[],2,FALSE())</f>
        <v>0.5</v>
      </c>
      <c r="X8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8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6" s="19" t="s">
        <v>271</v>
      </c>
      <c r="AA86" s="19" t="s">
        <v>312</v>
      </c>
      <c r="AB86" s="19" t="s">
        <v>554</v>
      </c>
      <c r="AC86" s="36"/>
      <c r="AD86" s="36"/>
      <c r="AE86" s="36"/>
      <c r="AF86" s="90"/>
      <c r="AG86" s="90"/>
      <c r="AH86" s="90"/>
      <c r="AI86" s="90"/>
      <c r="AJ86" s="90"/>
      <c r="AK86"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6" s="91" t="e">
        <f>(1 - ((1 - VLOOKUP(Table4[[#This Row],[ConfidentialityP]],'Reference - CVSSv3.0'!$B$16:$C$18,2,FALSE())) * (1 - VLOOKUP(Table4[[#This Row],[IntegrityP]],'Reference - CVSSv3.0'!$B$16:$C$18,2,FALSE())) *  (1 - VLOOKUP(Table4[[#This Row],[AvailabilityP]],'Reference - CVSSv3.0'!$B$16:$C$18,2,FALSE()))))</f>
        <v>#N/A</v>
      </c>
      <c r="AM86" s="91" t="e">
        <f>IF(Table4[[#This Row],[ScopeP]]="Unchanged",6.42*Table4[[#This Row],[ISC BaseP]],IF(Table4[[#This Row],[ScopeP]]="Changed",7.52*(Table4[[#This Row],[ISC BaseP]] - 0.029) - 3.25 * POWER(Table4[[#This Row],[ISC BaseP]] - 0.02,15),NA()))</f>
        <v>#N/A</v>
      </c>
      <c r="AN8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6" s="36"/>
    </row>
    <row r="87" spans="1:43" ht="256.5">
      <c r="A87" s="84">
        <v>83</v>
      </c>
      <c r="B87" s="85" t="s">
        <v>206</v>
      </c>
      <c r="C87" s="86" t="str">
        <f>IF(VLOOKUP(Table4[[#This Row],[T ID]],Table5[#All],5,FALSE())="No","Not in scope",VLOOKUP(Table4[[#This Row],[T ID]],Table5[#All],2,FALSE()))</f>
        <v>Brute-force Attack
(CAPEC-112)</v>
      </c>
      <c r="D87" s="57" t="s">
        <v>94</v>
      </c>
      <c r="E87" s="86" t="str">
        <f>IF(VLOOKUP(Table4[[#This Row],[V ID]],Vulnerabilities[#All],3,FALSE())="No","Not in scope",VLOOKUP(Table4[[#This Row],[V ID]],Vulnerabilities[#All],2,FALSE()))</f>
        <v>Devices with default passwords needs to be checked for bruteforce attacks</v>
      </c>
      <c r="F87" s="87" t="s">
        <v>71</v>
      </c>
      <c r="G87" s="88" t="str">
        <f>VLOOKUP(Table4[[#This Row],[A ID]],Assets[#All],3,FALSE())</f>
        <v>Smart medic app (Stryker Admin Web Application)</v>
      </c>
      <c r="H87" s="19" t="s">
        <v>322</v>
      </c>
      <c r="I87" s="19" t="s">
        <v>465</v>
      </c>
      <c r="J87" s="89" t="s">
        <v>267</v>
      </c>
      <c r="K87" s="89" t="s">
        <v>274</v>
      </c>
      <c r="L87" s="89" t="s">
        <v>267</v>
      </c>
      <c r="M87" s="90" t="s">
        <v>273</v>
      </c>
      <c r="N87" s="90" t="s">
        <v>276</v>
      </c>
      <c r="O87" s="90" t="s">
        <v>276</v>
      </c>
      <c r="P87" s="90" t="s">
        <v>274</v>
      </c>
      <c r="Q87" s="90" t="s">
        <v>270</v>
      </c>
      <c r="R8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87" s="91">
        <f>(1 - ((1 - VLOOKUP(Table4[[#This Row],[Confidentiality]],'Reference - CVSSv3.0'!$B$16:$C$18,2,FALSE())) * (1 - VLOOKUP(Table4[[#This Row],[Integrity]],'Reference - CVSSv3.0'!$B$16:$C$18,2,FALSE())) *  (1 - VLOOKUP(Table4[[#This Row],[Availability]],'Reference - CVSSv3.0'!$B$16:$C$18,2,FALSE()))))</f>
        <v>0.39159999999999995</v>
      </c>
      <c r="T87" s="91">
        <f>IF(Table4[[#This Row],[Scope]]="Unchanged",6.42*Table4[[#This Row],[ISC Base]],IF(Table4[[#This Row],[Scope]]="Changed",7.52*(Table4[[#This Row],[ISC Base]] - 0.029) - 3.25 * POWER(Table4[[#This Row],[ISC Base]] - 0.02,15),NA()))</f>
        <v>2.5140719999999996</v>
      </c>
      <c r="U87"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87" s="85" t="s">
        <v>277</v>
      </c>
      <c r="W87" s="91">
        <f>VLOOKUP(Table4[[#This Row],[Threat Event Initiation]],NIST_Scale_LOAI[],2,FALSE())</f>
        <v>0.5</v>
      </c>
      <c r="X8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8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7" s="19" t="s">
        <v>323</v>
      </c>
      <c r="AA87" s="19" t="s">
        <v>460</v>
      </c>
      <c r="AB87" s="19" t="s">
        <v>555</v>
      </c>
      <c r="AC87" s="36"/>
      <c r="AD87" s="36"/>
      <c r="AE87" s="36"/>
      <c r="AF87" s="90"/>
      <c r="AG87" s="90"/>
      <c r="AH87" s="90"/>
      <c r="AI87" s="90"/>
      <c r="AJ87" s="90"/>
      <c r="AK87"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7" s="91" t="e">
        <f>(1 - ((1 - VLOOKUP(Table4[[#This Row],[ConfidentialityP]],'Reference - CVSSv3.0'!$B$16:$C$18,2,FALSE())) * (1 - VLOOKUP(Table4[[#This Row],[IntegrityP]],'Reference - CVSSv3.0'!$B$16:$C$18,2,FALSE())) *  (1 - VLOOKUP(Table4[[#This Row],[AvailabilityP]],'Reference - CVSSv3.0'!$B$16:$C$18,2,FALSE()))))</f>
        <v>#N/A</v>
      </c>
      <c r="AM87" s="91" t="e">
        <f>IF(Table4[[#This Row],[ScopeP]]="Unchanged",6.42*Table4[[#This Row],[ISC BaseP]],IF(Table4[[#This Row],[ScopeP]]="Changed",7.52*(Table4[[#This Row],[ISC BaseP]] - 0.029) - 3.25 * POWER(Table4[[#This Row],[ISC BaseP]] - 0.02,15),NA()))</f>
        <v>#N/A</v>
      </c>
      <c r="AN8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7" s="36"/>
    </row>
    <row r="88" spans="1:43" ht="228" customHeight="1">
      <c r="A88" s="84">
        <v>84</v>
      </c>
      <c r="B88" s="85" t="s">
        <v>206</v>
      </c>
      <c r="C88" s="86" t="str">
        <f>IF(VLOOKUP(Table4[[#This Row],[T ID]],Table5[#All],5,FALSE())="No","Not in scope",VLOOKUP(Table4[[#This Row],[T ID]],Table5[#All],2,FALSE()))</f>
        <v>Brute-force Attack
(CAPEC-112)</v>
      </c>
      <c r="D88" s="57" t="s">
        <v>94</v>
      </c>
      <c r="E88" s="86" t="str">
        <f>IF(VLOOKUP(Table4[[#This Row],[V ID]],Vulnerabilities[#All],3,FALSE())="No","Not in scope",VLOOKUP(Table4[[#This Row],[V ID]],Vulnerabilities[#All],2,FALSE()))</f>
        <v>Devices with default passwords needs to be checked for bruteforce attacks</v>
      </c>
      <c r="F88" s="87" t="s">
        <v>74</v>
      </c>
      <c r="G88" s="88" t="str">
        <f>VLOOKUP(Table4[[#This Row],[A ID]],Assets[#All],3,FALSE())</f>
        <v>Smart medic app (Azure Portal Administrator)</v>
      </c>
      <c r="H88" s="19" t="s">
        <v>322</v>
      </c>
      <c r="I88" s="19" t="s">
        <v>465</v>
      </c>
      <c r="J88" s="89" t="s">
        <v>267</v>
      </c>
      <c r="K88" s="89" t="s">
        <v>274</v>
      </c>
      <c r="L88" s="89" t="s">
        <v>267</v>
      </c>
      <c r="M88" s="90" t="s">
        <v>273</v>
      </c>
      <c r="N88" s="90" t="s">
        <v>276</v>
      </c>
      <c r="O88" s="90" t="s">
        <v>276</v>
      </c>
      <c r="P88" s="90" t="s">
        <v>274</v>
      </c>
      <c r="Q88" s="90" t="s">
        <v>270</v>
      </c>
      <c r="R8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88" s="91">
        <f>(1 - ((1 - VLOOKUP(Table4[[#This Row],[Confidentiality]],'Reference - CVSSv3.0'!$B$16:$C$18,2,FALSE())) * (1 - VLOOKUP(Table4[[#This Row],[Integrity]],'Reference - CVSSv3.0'!$B$16:$C$18,2,FALSE())) *  (1 - VLOOKUP(Table4[[#This Row],[Availability]],'Reference - CVSSv3.0'!$B$16:$C$18,2,FALSE()))))</f>
        <v>0.39159999999999995</v>
      </c>
      <c r="T88" s="91">
        <f>IF(Table4[[#This Row],[Scope]]="Unchanged",6.42*Table4[[#This Row],[ISC Base]],IF(Table4[[#This Row],[Scope]]="Changed",7.52*(Table4[[#This Row],[ISC Base]] - 0.029) - 3.25 * POWER(Table4[[#This Row],[ISC Base]] - 0.02,15),NA()))</f>
        <v>2.5140719999999996</v>
      </c>
      <c r="U88"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88" s="85" t="s">
        <v>277</v>
      </c>
      <c r="W88" s="91">
        <f>VLOOKUP(Table4[[#This Row],[Threat Event Initiation]],NIST_Scale_LOAI[],2,FALSE())</f>
        <v>0.5</v>
      </c>
      <c r="X8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8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8" s="19" t="s">
        <v>323</v>
      </c>
      <c r="AA88" s="19" t="s">
        <v>455</v>
      </c>
      <c r="AB88" s="19" t="s">
        <v>556</v>
      </c>
      <c r="AC88" s="36"/>
      <c r="AD88" s="36"/>
      <c r="AE88" s="36"/>
      <c r="AF88" s="90"/>
      <c r="AG88" s="90"/>
      <c r="AH88" s="90"/>
      <c r="AI88" s="90"/>
      <c r="AJ88" s="90"/>
      <c r="AK88"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8" s="91" t="e">
        <f>(1 - ((1 - VLOOKUP(Table4[[#This Row],[ConfidentialityP]],'Reference - CVSSv3.0'!$B$16:$C$18,2,FALSE())) * (1 - VLOOKUP(Table4[[#This Row],[IntegrityP]],'Reference - CVSSv3.0'!$B$16:$C$18,2,FALSE())) *  (1 - VLOOKUP(Table4[[#This Row],[AvailabilityP]],'Reference - CVSSv3.0'!$B$16:$C$18,2,FALSE()))))</f>
        <v>#N/A</v>
      </c>
      <c r="AM88" s="91" t="e">
        <f>IF(Table4[[#This Row],[ScopeP]]="Unchanged",6.42*Table4[[#This Row],[ISC BaseP]],IF(Table4[[#This Row],[ScopeP]]="Changed",7.52*(Table4[[#This Row],[ISC BaseP]] - 0.029) - 3.25 * POWER(Table4[[#This Row],[ISC BaseP]] - 0.02,15),NA()))</f>
        <v>#N/A</v>
      </c>
      <c r="AN8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8" s="36"/>
    </row>
    <row r="89" spans="1:43" ht="270.75" customHeight="1">
      <c r="A89" s="84">
        <v>85</v>
      </c>
      <c r="B89" s="85" t="s">
        <v>206</v>
      </c>
      <c r="C89" s="86" t="str">
        <f>IF(VLOOKUP(Table4[[#This Row],[T ID]],Table5[#All],5,FALSE())="No","Not in scope",VLOOKUP(Table4[[#This Row],[T ID]],Table5[#All],2,FALSE()))</f>
        <v>Brute-force Attack
(CAPEC-112)</v>
      </c>
      <c r="D89" s="57" t="s">
        <v>100</v>
      </c>
      <c r="E89" s="86" t="str">
        <f>IF(VLOOKUP(Table4[[#This Row],[V ID]],Vulnerabilities[#All],3,FALSE())="No","Not in scope",VLOOKUP(Table4[[#This Row],[V ID]],Vulnerabilities[#All],2,FALSE()))</f>
        <v>The password complexity or location vulnerability. Like weak passwords and hardcoded passwords.</v>
      </c>
      <c r="F89" s="87" t="s">
        <v>71</v>
      </c>
      <c r="G89" s="88" t="str">
        <f>VLOOKUP(Table4[[#This Row],[A ID]],Assets[#All],3,FALSE())</f>
        <v>Smart medic app (Stryker Admin Web Application)</v>
      </c>
      <c r="H89" s="19" t="s">
        <v>322</v>
      </c>
      <c r="I89" s="19" t="s">
        <v>465</v>
      </c>
      <c r="J89" s="89" t="s">
        <v>267</v>
      </c>
      <c r="K89" s="89" t="s">
        <v>274</v>
      </c>
      <c r="L89" s="89" t="s">
        <v>267</v>
      </c>
      <c r="M89" s="90" t="s">
        <v>273</v>
      </c>
      <c r="N89" s="90" t="s">
        <v>276</v>
      </c>
      <c r="O89" s="90" t="s">
        <v>276</v>
      </c>
      <c r="P89" s="90" t="s">
        <v>274</v>
      </c>
      <c r="Q89" s="90" t="s">
        <v>270</v>
      </c>
      <c r="R89"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89" s="91">
        <f>(1 - ((1 - VLOOKUP(Table4[[#This Row],[Confidentiality]],'Reference - CVSSv3.0'!$B$16:$C$18,2,FALSE())) * (1 - VLOOKUP(Table4[[#This Row],[Integrity]],'Reference - CVSSv3.0'!$B$16:$C$18,2,FALSE())) *  (1 - VLOOKUP(Table4[[#This Row],[Availability]],'Reference - CVSSv3.0'!$B$16:$C$18,2,FALSE()))))</f>
        <v>0.39159999999999995</v>
      </c>
      <c r="T89" s="91">
        <f>IF(Table4[[#This Row],[Scope]]="Unchanged",6.42*Table4[[#This Row],[ISC Base]],IF(Table4[[#This Row],[Scope]]="Changed",7.52*(Table4[[#This Row],[ISC Base]] - 0.029) - 3.25 * POWER(Table4[[#This Row],[ISC Base]] - 0.02,15),NA()))</f>
        <v>2.5140719999999996</v>
      </c>
      <c r="U89"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89" s="85" t="s">
        <v>277</v>
      </c>
      <c r="W89" s="91">
        <f>VLOOKUP(Table4[[#This Row],[Threat Event Initiation]],NIST_Scale_LOAI[],2,FALSE())</f>
        <v>0.5</v>
      </c>
      <c r="X8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8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9" s="19" t="s">
        <v>316</v>
      </c>
      <c r="AA89" s="19" t="s">
        <v>446</v>
      </c>
      <c r="AB89" s="19" t="s">
        <v>557</v>
      </c>
      <c r="AC89" s="36"/>
      <c r="AD89" s="36"/>
      <c r="AE89" s="36"/>
      <c r="AF89" s="90"/>
      <c r="AG89" s="90"/>
      <c r="AH89" s="90"/>
      <c r="AI89" s="90"/>
      <c r="AJ89" s="90"/>
      <c r="AK89"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9" s="91" t="e">
        <f>(1 - ((1 - VLOOKUP(Table4[[#This Row],[ConfidentialityP]],'Reference - CVSSv3.0'!$B$16:$C$18,2,FALSE())) * (1 - VLOOKUP(Table4[[#This Row],[IntegrityP]],'Reference - CVSSv3.0'!$B$16:$C$18,2,FALSE())) *  (1 - VLOOKUP(Table4[[#This Row],[AvailabilityP]],'Reference - CVSSv3.0'!$B$16:$C$18,2,FALSE()))))</f>
        <v>#N/A</v>
      </c>
      <c r="AM89" s="91" t="e">
        <f>IF(Table4[[#This Row],[ScopeP]]="Unchanged",6.42*Table4[[#This Row],[ISC BaseP]],IF(Table4[[#This Row],[ScopeP]]="Changed",7.52*(Table4[[#This Row],[ISC BaseP]] - 0.029) - 3.25 * POWER(Table4[[#This Row],[ISC BaseP]] - 0.02,15),NA()))</f>
        <v>#N/A</v>
      </c>
      <c r="AN8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9" s="36"/>
    </row>
    <row r="90" spans="1:43" ht="213.75" customHeight="1">
      <c r="A90" s="84">
        <v>86</v>
      </c>
      <c r="B90" s="85" t="s">
        <v>206</v>
      </c>
      <c r="C90" s="86" t="str">
        <f>IF(VLOOKUP(Table4[[#This Row],[T ID]],Table5[#All],5,FALSE())="No","Not in scope",VLOOKUP(Table4[[#This Row],[T ID]],Table5[#All],2,FALSE()))</f>
        <v>Brute-force Attack
(CAPEC-112)</v>
      </c>
      <c r="D90" s="57" t="s">
        <v>100</v>
      </c>
      <c r="E90" s="86" t="str">
        <f>IF(VLOOKUP(Table4[[#This Row],[V ID]],Vulnerabilities[#All],3,FALSE())="No","Not in scope",VLOOKUP(Table4[[#This Row],[V ID]],Vulnerabilities[#All],2,FALSE()))</f>
        <v>The password complexity or location vulnerability. Like weak passwords and hardcoded passwords.</v>
      </c>
      <c r="F90" s="87" t="s">
        <v>74</v>
      </c>
      <c r="G90" s="88" t="str">
        <f>VLOOKUP(Table4[[#This Row],[A ID]],Assets[#All],3,FALSE())</f>
        <v>Smart medic app (Azure Portal Administrator)</v>
      </c>
      <c r="H90" s="19" t="s">
        <v>322</v>
      </c>
      <c r="I90" s="19" t="s">
        <v>465</v>
      </c>
      <c r="J90" s="89" t="s">
        <v>267</v>
      </c>
      <c r="K90" s="89" t="s">
        <v>274</v>
      </c>
      <c r="L90" s="89" t="s">
        <v>267</v>
      </c>
      <c r="M90" s="90" t="s">
        <v>273</v>
      </c>
      <c r="N90" s="90" t="s">
        <v>276</v>
      </c>
      <c r="O90" s="90" t="s">
        <v>276</v>
      </c>
      <c r="P90" s="90" t="s">
        <v>274</v>
      </c>
      <c r="Q90" s="90" t="s">
        <v>270</v>
      </c>
      <c r="R9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90" s="91">
        <f>(1 - ((1 - VLOOKUP(Table4[[#This Row],[Confidentiality]],'Reference - CVSSv3.0'!$B$16:$C$18,2,FALSE())) * (1 - VLOOKUP(Table4[[#This Row],[Integrity]],'Reference - CVSSv3.0'!$B$16:$C$18,2,FALSE())) *  (1 - VLOOKUP(Table4[[#This Row],[Availability]],'Reference - CVSSv3.0'!$B$16:$C$18,2,FALSE()))))</f>
        <v>0.39159999999999995</v>
      </c>
      <c r="T90" s="91">
        <f>IF(Table4[[#This Row],[Scope]]="Unchanged",6.42*Table4[[#This Row],[ISC Base]],IF(Table4[[#This Row],[Scope]]="Changed",7.52*(Table4[[#This Row],[ISC Base]] - 0.029) - 3.25 * POWER(Table4[[#This Row],[ISC Base]] - 0.02,15),NA()))</f>
        <v>2.5140719999999996</v>
      </c>
      <c r="U90"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90" s="85" t="s">
        <v>277</v>
      </c>
      <c r="W90" s="91">
        <f>VLOOKUP(Table4[[#This Row],[Threat Event Initiation]],NIST_Scale_LOAI[],2,FALSE())</f>
        <v>0.5</v>
      </c>
      <c r="X9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9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0" s="19" t="s">
        <v>324</v>
      </c>
      <c r="AA90" s="19" t="s">
        <v>455</v>
      </c>
      <c r="AB90" s="19" t="s">
        <v>558</v>
      </c>
      <c r="AC90" s="36"/>
      <c r="AD90" s="36"/>
      <c r="AE90" s="36"/>
      <c r="AF90" s="90"/>
      <c r="AG90" s="90"/>
      <c r="AH90" s="90"/>
      <c r="AI90" s="90"/>
      <c r="AJ90" s="90"/>
      <c r="AK90"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0" s="91" t="e">
        <f>(1 - ((1 - VLOOKUP(Table4[[#This Row],[ConfidentialityP]],'Reference - CVSSv3.0'!$B$16:$C$18,2,FALSE())) * (1 - VLOOKUP(Table4[[#This Row],[IntegrityP]],'Reference - CVSSv3.0'!$B$16:$C$18,2,FALSE())) *  (1 - VLOOKUP(Table4[[#This Row],[AvailabilityP]],'Reference - CVSSv3.0'!$B$16:$C$18,2,FALSE()))))</f>
        <v>#N/A</v>
      </c>
      <c r="AM90" s="91" t="e">
        <f>IF(Table4[[#This Row],[ScopeP]]="Unchanged",6.42*Table4[[#This Row],[ISC BaseP]],IF(Table4[[#This Row],[ScopeP]]="Changed",7.52*(Table4[[#This Row],[ISC BaseP]] - 0.029) - 3.25 * POWER(Table4[[#This Row],[ISC BaseP]] - 0.02,15),NA()))</f>
        <v>#N/A</v>
      </c>
      <c r="AN9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0" s="36"/>
    </row>
    <row r="91" spans="1:43" ht="370.5" customHeight="1">
      <c r="A91" s="84">
        <v>87</v>
      </c>
      <c r="B91" s="85" t="s">
        <v>206</v>
      </c>
      <c r="C91" s="86" t="str">
        <f>IF(VLOOKUP(Table4[[#This Row],[T ID]],Table5[#All],5,FALSE())="No","Not in scope",VLOOKUP(Table4[[#This Row],[T ID]],Table5[#All],2,FALSE()))</f>
        <v>Brute-force Attack
(CAPEC-112)</v>
      </c>
      <c r="D91" s="57" t="s">
        <v>133</v>
      </c>
      <c r="E91" s="86" t="str">
        <f>IF(VLOOKUP(Table4[[#This Row],[V ID]],Vulnerabilities[#All],3,FALSE())="No","Not in scope",VLOOKUP(Table4[[#This Row],[V ID]],Vulnerabilities[#All],2,FALSE()))</f>
        <v>Weak Encryption Implementaion in data at rest and in transit tactical and design wise</v>
      </c>
      <c r="F91" s="87" t="s">
        <v>65</v>
      </c>
      <c r="G91" s="88" t="str">
        <f>VLOOKUP(Table4[[#This Row],[A ID]],Assets[#All],3,FALSE())</f>
        <v>Data at Rest</v>
      </c>
      <c r="H91" s="19" t="s">
        <v>325</v>
      </c>
      <c r="I91" s="19" t="s">
        <v>465</v>
      </c>
      <c r="J91" s="89" t="s">
        <v>267</v>
      </c>
      <c r="K91" s="89" t="s">
        <v>274</v>
      </c>
      <c r="L91" s="89" t="s">
        <v>267</v>
      </c>
      <c r="M91" s="90" t="s">
        <v>275</v>
      </c>
      <c r="N91" s="89" t="s">
        <v>276</v>
      </c>
      <c r="O91" s="90" t="s">
        <v>276</v>
      </c>
      <c r="P91" s="90" t="s">
        <v>274</v>
      </c>
      <c r="Q91" s="89" t="s">
        <v>270</v>
      </c>
      <c r="R9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0.45653058000000007</v>
      </c>
      <c r="S91" s="91">
        <f>(1 - ((1 - VLOOKUP(Table4[[#This Row],[Confidentiality]],'Reference - CVSSv3.0'!$B$16:$C$18,2,FALSE())) * (1 - VLOOKUP(Table4[[#This Row],[Integrity]],'Reference - CVSSv3.0'!$B$16:$C$18,2,FALSE())) *  (1 - VLOOKUP(Table4[[#This Row],[Availability]],'Reference - CVSSv3.0'!$B$16:$C$18,2,FALSE()))))</f>
        <v>0.39159999999999995</v>
      </c>
      <c r="T91" s="91">
        <f>IF(Table4[[#This Row],[Scope]]="Unchanged",6.42*Table4[[#This Row],[ISC Base]],IF(Table4[[#This Row],[Scope]]="Changed",7.52*(Table4[[#This Row],[ISC Base]] - 0.029) - 3.25 * POWER(Table4[[#This Row],[ISC Base]] - 0.02,15),NA()))</f>
        <v>2.5140719999999996</v>
      </c>
      <c r="U91" s="91">
        <f>IF(Table4[[#This Row],[Impact Sub Score]]&lt;=0,0,IF(Table4[[#This Row],[Scope]]="Unchanged",ROUNDUP(MIN((Table4[[#This Row],[Impact Sub Score]]+Table4[[#This Row],[Exploitability Sub Score]]),10),1),IF(Table4[[#This Row],[Scope]]="Changed",ROUNDUP(MIN((1.08*(Table4[[#This Row],[Impact Sub Score]]+Table4[[#This Row],[Exploitability Sub Score]])),10),1),NA())))</f>
        <v>3</v>
      </c>
      <c r="V91" s="85" t="s">
        <v>277</v>
      </c>
      <c r="W91" s="91">
        <f>VLOOKUP(Table4[[#This Row],[Threat Event Initiation]],NIST_Scale_LOAI[],2,FALSE())</f>
        <v>0.5</v>
      </c>
      <c r="X9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2.8000000000000003</v>
      </c>
      <c r="Y9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1" s="19" t="s">
        <v>326</v>
      </c>
      <c r="AA91" s="19" t="s">
        <v>434</v>
      </c>
      <c r="AB91" s="19" t="s">
        <v>559</v>
      </c>
      <c r="AC91" s="36"/>
      <c r="AD91" s="36"/>
      <c r="AE91" s="36"/>
      <c r="AF91" s="89"/>
      <c r="AG91" s="89"/>
      <c r="AH91" s="89"/>
      <c r="AI91" s="89"/>
      <c r="AJ91" s="89"/>
      <c r="AK91"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1" s="91" t="e">
        <f>(1 - ((1 - VLOOKUP(Table4[[#This Row],[ConfidentialityP]],'Reference - CVSSv3.0'!$B$16:$C$18,2,FALSE())) * (1 - VLOOKUP(Table4[[#This Row],[IntegrityP]],'Reference - CVSSv3.0'!$B$16:$C$18,2,FALSE())) *  (1 - VLOOKUP(Table4[[#This Row],[AvailabilityP]],'Reference - CVSSv3.0'!$B$16:$C$18,2,FALSE()))))</f>
        <v>#N/A</v>
      </c>
      <c r="AM91" s="91" t="e">
        <f>IF(Table4[[#This Row],[ScopeP]]="Unchanged",6.42*Table4[[#This Row],[ISC BaseP]],IF(Table4[[#This Row],[ScopeP]]="Changed",7.52*(Table4[[#This Row],[ISC BaseP]] - 0.029) - 3.25 * POWER(Table4[[#This Row],[ISC BaseP]] - 0.02,15),NA()))</f>
        <v>#N/A</v>
      </c>
      <c r="AN9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1" s="36"/>
    </row>
    <row r="92" spans="1:43" ht="313.5" customHeight="1">
      <c r="A92" s="84">
        <v>88</v>
      </c>
      <c r="B92" s="85" t="s">
        <v>206</v>
      </c>
      <c r="C92" s="86" t="str">
        <f>IF(VLOOKUP(Table4[[#This Row],[T ID]],Table5[#All],5,FALSE())="No","Not in scope",VLOOKUP(Table4[[#This Row],[T ID]],Table5[#All],2,FALSE()))</f>
        <v>Brute-force Attack
(CAPEC-112)</v>
      </c>
      <c r="D92" s="57" t="s">
        <v>133</v>
      </c>
      <c r="E92" s="86" t="str">
        <f>IF(VLOOKUP(Table4[[#This Row],[V ID]],Vulnerabilities[#All],3,FALSE())="No","Not in scope",VLOOKUP(Table4[[#This Row],[V ID]],Vulnerabilities[#All],2,FALSE()))</f>
        <v>Weak Encryption Implementaion in data at rest and in transit tactical and design wise</v>
      </c>
      <c r="F92" s="87" t="s">
        <v>68</v>
      </c>
      <c r="G92" s="88" t="str">
        <f>VLOOKUP(Table4[[#This Row],[A ID]],Assets[#All],3,FALSE())</f>
        <v>Data in Transit</v>
      </c>
      <c r="H92" s="19" t="s">
        <v>325</v>
      </c>
      <c r="I92" s="19" t="s">
        <v>465</v>
      </c>
      <c r="J92" s="89" t="s">
        <v>267</v>
      </c>
      <c r="K92" s="89" t="s">
        <v>274</v>
      </c>
      <c r="L92" s="89" t="s">
        <v>267</v>
      </c>
      <c r="M92" s="90" t="s">
        <v>273</v>
      </c>
      <c r="N92" s="89" t="s">
        <v>276</v>
      </c>
      <c r="O92" s="90" t="s">
        <v>276</v>
      </c>
      <c r="P92" s="90" t="s">
        <v>274</v>
      </c>
      <c r="Q92" s="89" t="s">
        <v>270</v>
      </c>
      <c r="R9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92" s="91">
        <f>(1 - ((1 - VLOOKUP(Table4[[#This Row],[Confidentiality]],'Reference - CVSSv3.0'!$B$16:$C$18,2,FALSE())) * (1 - VLOOKUP(Table4[[#This Row],[Integrity]],'Reference - CVSSv3.0'!$B$16:$C$18,2,FALSE())) *  (1 - VLOOKUP(Table4[[#This Row],[Availability]],'Reference - CVSSv3.0'!$B$16:$C$18,2,FALSE()))))</f>
        <v>0.39159999999999995</v>
      </c>
      <c r="T92" s="91">
        <f>IF(Table4[[#This Row],[Scope]]="Unchanged",6.42*Table4[[#This Row],[ISC Base]],IF(Table4[[#This Row],[Scope]]="Changed",7.52*(Table4[[#This Row],[ISC Base]] - 0.029) - 3.25 * POWER(Table4[[#This Row],[ISC Base]] - 0.02,15),NA()))</f>
        <v>2.5140719999999996</v>
      </c>
      <c r="U92"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92" s="85" t="s">
        <v>277</v>
      </c>
      <c r="W92" s="91">
        <f>VLOOKUP(Table4[[#This Row],[Threat Event Initiation]],NIST_Scale_LOAI[],2,FALSE())</f>
        <v>0.5</v>
      </c>
      <c r="X9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9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2" s="19" t="s">
        <v>303</v>
      </c>
      <c r="AA92" s="19" t="s">
        <v>327</v>
      </c>
      <c r="AB92" s="19" t="s">
        <v>560</v>
      </c>
      <c r="AC92" s="36"/>
      <c r="AD92" s="36"/>
      <c r="AE92" s="36"/>
      <c r="AF92" s="89"/>
      <c r="AG92" s="89"/>
      <c r="AH92" s="89"/>
      <c r="AI92" s="89"/>
      <c r="AJ92" s="89"/>
      <c r="AK92"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2" s="91" t="e">
        <f>(1 - ((1 - VLOOKUP(Table4[[#This Row],[ConfidentialityP]],'Reference - CVSSv3.0'!$B$16:$C$18,2,FALSE())) * (1 - VLOOKUP(Table4[[#This Row],[IntegrityP]],'Reference - CVSSv3.0'!$B$16:$C$18,2,FALSE())) *  (1 - VLOOKUP(Table4[[#This Row],[AvailabilityP]],'Reference - CVSSv3.0'!$B$16:$C$18,2,FALSE()))))</f>
        <v>#N/A</v>
      </c>
      <c r="AM92" s="91" t="e">
        <f>IF(Table4[[#This Row],[ScopeP]]="Unchanged",6.42*Table4[[#This Row],[ISC BaseP]],IF(Table4[[#This Row],[ScopeP]]="Changed",7.52*(Table4[[#This Row],[ISC BaseP]] - 0.029) - 3.25 * POWER(Table4[[#This Row],[ISC BaseP]] - 0.02,15),NA()))</f>
        <v>#N/A</v>
      </c>
      <c r="AN9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2" s="36"/>
    </row>
    <row r="93" spans="1:43" ht="127.5" customHeight="1">
      <c r="A93" s="84">
        <v>89</v>
      </c>
      <c r="B93" s="85" t="s">
        <v>209</v>
      </c>
      <c r="C93" s="86" t="str">
        <f>IF(VLOOKUP(Table4[[#This Row],[T ID]],Table5[#All],5,FALSE())="No","Not in scope",VLOOKUP(Table4[[#This Row],[T ID]],Table5[#All],2,FALSE()))</f>
        <v>Social Engineering
(TTP)</v>
      </c>
      <c r="D93" s="57" t="s">
        <v>142</v>
      </c>
      <c r="E93" s="86" t="str">
        <f>IF(VLOOKUP(Table4[[#This Row],[V ID]],Vulnerabilities[#All],3,FALSE())="No","Not in scope",VLOOKUP(Table4[[#This Row],[V ID]],Vulnerabilities[#All],2,FALSE()))</f>
        <v>Legacy system identification if any</v>
      </c>
      <c r="F93" s="87" t="s">
        <v>71</v>
      </c>
      <c r="G93" s="88" t="str">
        <f>VLOOKUP(Table4[[#This Row],[A ID]],Assets[#All],3,FALSE())</f>
        <v>Smart medic app (Stryker Admin Web Application)</v>
      </c>
      <c r="H93" s="19" t="s">
        <v>328</v>
      </c>
      <c r="I93" s="19" t="s">
        <v>465</v>
      </c>
      <c r="J93" s="89" t="s">
        <v>274</v>
      </c>
      <c r="K93" s="89" t="s">
        <v>267</v>
      </c>
      <c r="L93" s="89" t="s">
        <v>276</v>
      </c>
      <c r="M93" s="90" t="s">
        <v>329</v>
      </c>
      <c r="N93" s="90" t="s">
        <v>276</v>
      </c>
      <c r="O93" s="90" t="s">
        <v>276</v>
      </c>
      <c r="P93" s="90" t="s">
        <v>269</v>
      </c>
      <c r="Q93" s="90" t="s">
        <v>270</v>
      </c>
      <c r="R9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0.37538043840000002</v>
      </c>
      <c r="S93" s="91">
        <f>(1 - ((1 - VLOOKUP(Table4[[#This Row],[Confidentiality]],'Reference - CVSSv3.0'!$B$16:$C$18,2,FALSE())) * (1 - VLOOKUP(Table4[[#This Row],[Integrity]],'Reference - CVSSv3.0'!$B$16:$C$18,2,FALSE())) *  (1 - VLOOKUP(Table4[[#This Row],[Availability]],'Reference - CVSSv3.0'!$B$16:$C$18,2,FALSE()))))</f>
        <v>0.65680000000000005</v>
      </c>
      <c r="T93" s="91">
        <f>IF(Table4[[#This Row],[Scope]]="Unchanged",6.42*Table4[[#This Row],[ISC Base]],IF(Table4[[#This Row],[Scope]]="Changed",7.52*(Table4[[#This Row],[ISC Base]] - 0.029) - 3.25 * POWER(Table4[[#This Row],[ISC Base]] - 0.02,15),NA()))</f>
        <v>4.2166560000000004</v>
      </c>
      <c r="U93" s="91">
        <f>IF(Table4[[#This Row],[Impact Sub Score]]&lt;=0,0,IF(Table4[[#This Row],[Scope]]="Unchanged",ROUNDUP(MIN((Table4[[#This Row],[Impact Sub Score]]+Table4[[#This Row],[Exploitability Sub Score]]),10),1),IF(Table4[[#This Row],[Scope]]="Changed",ROUNDUP(MIN((1.08*(Table4[[#This Row],[Impact Sub Score]]+Table4[[#This Row],[Exploitability Sub Score]])),10),1),NA())))</f>
        <v>4.5999999999999996</v>
      </c>
      <c r="V93" s="85" t="s">
        <v>277</v>
      </c>
      <c r="W93" s="91">
        <f>VLOOKUP(Table4[[#This Row],[Threat Event Initiation]],NIST_Scale_LOAI[],2,FALSE())</f>
        <v>0.5</v>
      </c>
      <c r="X9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9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3" s="19" t="s">
        <v>330</v>
      </c>
      <c r="AA93" s="19" t="s">
        <v>438</v>
      </c>
      <c r="AB93" s="19" t="s">
        <v>561</v>
      </c>
      <c r="AC93" s="36"/>
      <c r="AD93" s="36"/>
      <c r="AE93" s="36"/>
      <c r="AF93" s="90"/>
      <c r="AG93" s="90"/>
      <c r="AH93" s="90"/>
      <c r="AI93" s="90"/>
      <c r="AJ93" s="90"/>
      <c r="AK93"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3" s="91" t="e">
        <f>(1 - ((1 - VLOOKUP(Table4[[#This Row],[ConfidentialityP]],'Reference - CVSSv3.0'!$B$16:$C$18,2,FALSE())) * (1 - VLOOKUP(Table4[[#This Row],[IntegrityP]],'Reference - CVSSv3.0'!$B$16:$C$18,2,FALSE())) *  (1 - VLOOKUP(Table4[[#This Row],[AvailabilityP]],'Reference - CVSSv3.0'!$B$16:$C$18,2,FALSE()))))</f>
        <v>#N/A</v>
      </c>
      <c r="AM93" s="91" t="e">
        <f>IF(Table4[[#This Row],[ScopeP]]="Unchanged",6.42*Table4[[#This Row],[ISC BaseP]],IF(Table4[[#This Row],[ScopeP]]="Changed",7.52*(Table4[[#This Row],[ISC BaseP]] - 0.029) - 3.25 * POWER(Table4[[#This Row],[ISC BaseP]] - 0.02,15),NA()))</f>
        <v>#N/A</v>
      </c>
      <c r="AN9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3" s="36"/>
    </row>
    <row r="94" spans="1:43" ht="156.75">
      <c r="A94" s="84">
        <v>90</v>
      </c>
      <c r="B94" s="85" t="s">
        <v>209</v>
      </c>
      <c r="C94" s="86" t="str">
        <f>IF(VLOOKUP(Table4[[#This Row],[T ID]],Table5[#All],5,FALSE())="No","Not in scope",VLOOKUP(Table4[[#This Row],[T ID]],Table5[#All],2,FALSE()))</f>
        <v>Social Engineering
(TTP)</v>
      </c>
      <c r="D94" s="57" t="s">
        <v>102</v>
      </c>
      <c r="E94" s="86" t="str">
        <f>IF(VLOOKUP(Table4[[#This Row],[V ID]],Vulnerabilities[#All],3,FALSE())="No","Not in scope",VLOOKUP(Table4[[#This Row],[V ID]],Vulnerabilities[#All],2,FALSE()))</f>
        <v>Checking authentication modes for possible hacks and bypasses</v>
      </c>
      <c r="F94" s="87" t="s">
        <v>59</v>
      </c>
      <c r="G94" s="88" t="str">
        <f>VLOOKUP(Table4[[#This Row],[A ID]],Assets[#All],3,FALSE())</f>
        <v>Interface/API Communication</v>
      </c>
      <c r="H94" s="19" t="s">
        <v>331</v>
      </c>
      <c r="I94" s="19" t="s">
        <v>465</v>
      </c>
      <c r="J94" s="89" t="s">
        <v>274</v>
      </c>
      <c r="K94" s="89" t="s">
        <v>267</v>
      </c>
      <c r="L94" s="89" t="s">
        <v>276</v>
      </c>
      <c r="M94" s="90" t="s">
        <v>329</v>
      </c>
      <c r="N94" s="90" t="s">
        <v>276</v>
      </c>
      <c r="O94" s="90" t="s">
        <v>276</v>
      </c>
      <c r="P94" s="90" t="s">
        <v>269</v>
      </c>
      <c r="Q94" s="90" t="s">
        <v>270</v>
      </c>
      <c r="R9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0.37538043840000002</v>
      </c>
      <c r="S94" s="91">
        <f>(1 - ((1 - VLOOKUP(Table4[[#This Row],[Confidentiality]],'Reference - CVSSv3.0'!$B$16:$C$18,2,FALSE())) * (1 - VLOOKUP(Table4[[#This Row],[Integrity]],'Reference - CVSSv3.0'!$B$16:$C$18,2,FALSE())) *  (1 - VLOOKUP(Table4[[#This Row],[Availability]],'Reference - CVSSv3.0'!$B$16:$C$18,2,FALSE()))))</f>
        <v>0.65680000000000005</v>
      </c>
      <c r="T94" s="91">
        <f>IF(Table4[[#This Row],[Scope]]="Unchanged",6.42*Table4[[#This Row],[ISC Base]],IF(Table4[[#This Row],[Scope]]="Changed",7.52*(Table4[[#This Row],[ISC Base]] - 0.029) - 3.25 * POWER(Table4[[#This Row],[ISC Base]] - 0.02,15),NA()))</f>
        <v>4.2166560000000004</v>
      </c>
      <c r="U94" s="91">
        <f>IF(Table4[[#This Row],[Impact Sub Score]]&lt;=0,0,IF(Table4[[#This Row],[Scope]]="Unchanged",ROUNDUP(MIN((Table4[[#This Row],[Impact Sub Score]]+Table4[[#This Row],[Exploitability Sub Score]]),10),1),IF(Table4[[#This Row],[Scope]]="Changed",ROUNDUP(MIN((1.08*(Table4[[#This Row],[Impact Sub Score]]+Table4[[#This Row],[Exploitability Sub Score]])),10),1),NA())))</f>
        <v>4.5999999999999996</v>
      </c>
      <c r="V94" s="85" t="s">
        <v>277</v>
      </c>
      <c r="W94" s="91">
        <f>VLOOKUP(Table4[[#This Row],[Threat Event Initiation]],NIST_Scale_LOAI[],2,FALSE())</f>
        <v>0.5</v>
      </c>
      <c r="X9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9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4" s="19" t="s">
        <v>332</v>
      </c>
      <c r="AA94" s="19" t="s">
        <v>440</v>
      </c>
      <c r="AB94" s="19" t="s">
        <v>562</v>
      </c>
      <c r="AC94" s="36"/>
      <c r="AD94" s="36"/>
      <c r="AE94" s="36"/>
      <c r="AF94" s="90"/>
      <c r="AG94" s="90"/>
      <c r="AH94" s="90"/>
      <c r="AI94" s="90"/>
      <c r="AJ94" s="90"/>
      <c r="AK9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4" s="91" t="e">
        <f>(1 - ((1 - VLOOKUP(Table4[[#This Row],[ConfidentialityP]],'Reference - CVSSv3.0'!$B$16:$C$18,2,FALSE())) * (1 - VLOOKUP(Table4[[#This Row],[IntegrityP]],'Reference - CVSSv3.0'!$B$16:$C$18,2,FALSE())) *  (1 - VLOOKUP(Table4[[#This Row],[AvailabilityP]],'Reference - CVSSv3.0'!$B$16:$C$18,2,FALSE()))))</f>
        <v>#N/A</v>
      </c>
      <c r="AM94" s="91" t="e">
        <f>IF(Table4[[#This Row],[ScopeP]]="Unchanged",6.42*Table4[[#This Row],[ISC BaseP]],IF(Table4[[#This Row],[ScopeP]]="Changed",7.52*(Table4[[#This Row],[ISC BaseP]] - 0.029) - 3.25 * POWER(Table4[[#This Row],[ISC BaseP]] - 0.02,15),NA()))</f>
        <v>#N/A</v>
      </c>
      <c r="AN9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4" s="36"/>
    </row>
    <row r="95" spans="1:43" s="234" customFormat="1" ht="158.44999999999999" customHeight="1">
      <c r="A95" s="227">
        <v>91</v>
      </c>
      <c r="B95" s="85" t="s">
        <v>212</v>
      </c>
      <c r="C95" s="86" t="str">
        <f>IF(VLOOKUP(Table4[[#This Row],[T ID]],Table5[#All],5,FALSE())="No","Not in scope",VLOOKUP(Table4[[#This Row],[T ID]],Table5[#All],2,FALSE()))</f>
        <v>Lack of evidence to conclude any malicious attempt/attack
(ST[R]IDE)</v>
      </c>
      <c r="D95" s="57" t="s">
        <v>160</v>
      </c>
      <c r="E95" s="86" t="str">
        <f>IF(VLOOKUP(Table4[[#This Row],[V ID]],Vulnerabilities[#All],3,FALSE())="No","Not in scope",VLOOKUP(Table4[[#This Row],[V ID]],Vulnerabilities[#All],2,FALSE()))</f>
        <v xml:space="preserve">Insufficient Logging information </v>
      </c>
      <c r="F95" s="87" t="s">
        <v>74</v>
      </c>
      <c r="G95" s="88" t="str">
        <f>VLOOKUP(Table4[[#This Row],[A ID]],Assets[#All],3,FALSE())</f>
        <v>Smart medic app (Azure Portal Administrator)</v>
      </c>
      <c r="H95" s="229" t="s">
        <v>333</v>
      </c>
      <c r="I95" s="19" t="s">
        <v>465</v>
      </c>
      <c r="J95" s="228" t="s">
        <v>267</v>
      </c>
      <c r="K95" s="228" t="s">
        <v>267</v>
      </c>
      <c r="L95" s="228" t="s">
        <v>267</v>
      </c>
      <c r="M95" s="231" t="s">
        <v>275</v>
      </c>
      <c r="N95" s="231" t="s">
        <v>267</v>
      </c>
      <c r="O95" s="231" t="s">
        <v>267</v>
      </c>
      <c r="P95" s="231" t="s">
        <v>274</v>
      </c>
      <c r="Q95" s="231" t="s">
        <v>270</v>
      </c>
      <c r="R95"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95" s="93">
        <f>(1 - ((1 - VLOOKUP(Table4[[#This Row],[Confidentiality]],'Reference - CVSSv3.0'!$B$16:$C$18,2,FALSE())) * (1 - VLOOKUP(Table4[[#This Row],[Integrity]],'Reference - CVSSv3.0'!$B$16:$C$18,2,FALSE())) *  (1 - VLOOKUP(Table4[[#This Row],[Availability]],'Reference - CVSSv3.0'!$B$16:$C$18,2,FALSE()))))</f>
        <v>0.52544799999999992</v>
      </c>
      <c r="T95" s="93">
        <f>IF(Table4[[#This Row],[Scope]]="Unchanged",6.42*Table4[[#This Row],[ISC Base]],IF(Table4[[#This Row],[Scope]]="Changed",7.52*(Table4[[#This Row],[ISC Base]] - 0.029) - 3.25 * POWER(Table4[[#This Row],[ISC Base]] - 0.02,15),NA()))</f>
        <v>3.3733761599999994</v>
      </c>
      <c r="U95" s="93">
        <f>IF(Table4[[#This Row],[Impact Sub Score]]&lt;=0,0,IF(Table4[[#This Row],[Scope]]="Unchanged",ROUNDUP(MIN((Table4[[#This Row],[Impact Sub Score]]+Table4[[#This Row],[Exploitability Sub Score]]),10),1),IF(Table4[[#This Row],[Scope]]="Changed",ROUNDUP(MIN((1.08*(Table4[[#This Row],[Impact Sub Score]]+Table4[[#This Row],[Exploitability Sub Score]])),10),1),NA())))</f>
        <v>5.3</v>
      </c>
      <c r="V95" s="232" t="s">
        <v>267</v>
      </c>
      <c r="W95" s="91">
        <f>VLOOKUP(Table4[[#This Row],[Threat Event Initiation]],NIST_Scale_LOAI[],2,FALSE())</f>
        <v>0.2</v>
      </c>
      <c r="X9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95" s="23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5" s="19" t="s">
        <v>334</v>
      </c>
      <c r="AA95" s="19" t="s">
        <v>455</v>
      </c>
      <c r="AB95" s="19" t="s">
        <v>563</v>
      </c>
      <c r="AC95" s="230"/>
      <c r="AD95" s="230"/>
      <c r="AE95" s="230"/>
      <c r="AF95" s="231"/>
      <c r="AG95" s="231"/>
      <c r="AH95" s="231"/>
      <c r="AI95" s="231"/>
      <c r="AJ95" s="231"/>
      <c r="AK95" s="232"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5" s="232" t="e">
        <f>(1 - ((1 - VLOOKUP(Table4[[#This Row],[ConfidentialityP]],'Reference - CVSSv3.0'!$B$16:$C$18,2,FALSE())) * (1 - VLOOKUP(Table4[[#This Row],[IntegrityP]],'Reference - CVSSv3.0'!$B$16:$C$18,2,FALSE())) *  (1 - VLOOKUP(Table4[[#This Row],[AvailabilityP]],'Reference - CVSSv3.0'!$B$16:$C$18,2,FALSE()))))</f>
        <v>#N/A</v>
      </c>
      <c r="AM95" s="232" t="e">
        <f>IF(Table4[[#This Row],[ScopeP]]="Unchanged",6.42*Table4[[#This Row],[ISC BaseP]],IF(Table4[[#This Row],[ScopeP]]="Changed",7.52*(Table4[[#This Row],[ISC BaseP]] - 0.029) - 3.25 * POWER(Table4[[#This Row],[ISC BaseP]] - 0.02,15),NA()))</f>
        <v>#N/A</v>
      </c>
      <c r="AN9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5" s="230"/>
    </row>
    <row r="96" spans="1:43" s="234" customFormat="1" ht="162" customHeight="1">
      <c r="A96" s="235">
        <v>92</v>
      </c>
      <c r="B96" s="85" t="s">
        <v>212</v>
      </c>
      <c r="C96" s="86" t="str">
        <f>IF(VLOOKUP(Table4[[#This Row],[T ID]],Table5[#All],5,FALSE())="No","Not in scope",VLOOKUP(Table4[[#This Row],[T ID]],Table5[#All],2,FALSE()))</f>
        <v>Lack of evidence to conclude any malicious attempt/attack
(ST[R]IDE)</v>
      </c>
      <c r="D96" s="57" t="s">
        <v>162</v>
      </c>
      <c r="E96" s="86" t="str">
        <f>IF(VLOOKUP(Table4[[#This Row],[V ID]],Vulnerabilities[#All],3,FALSE())="No","Not in scope",VLOOKUP(Table4[[#This Row],[V ID]],Vulnerabilities[#All],2,FALSE()))</f>
        <v>Insufficient Access permissions for accessing and modifying Log files</v>
      </c>
      <c r="F96" s="87" t="s">
        <v>74</v>
      </c>
      <c r="G96" s="88" t="str">
        <f>VLOOKUP(Table4[[#This Row],[A ID]],Assets[#All],3,FALSE())</f>
        <v>Smart medic app (Azure Portal Administrator)</v>
      </c>
      <c r="H96" s="229" t="s">
        <v>333</v>
      </c>
      <c r="I96" s="19" t="s">
        <v>465</v>
      </c>
      <c r="J96" s="222" t="s">
        <v>267</v>
      </c>
      <c r="K96" s="222" t="s">
        <v>267</v>
      </c>
      <c r="L96" s="222" t="s">
        <v>267</v>
      </c>
      <c r="M96" s="224" t="s">
        <v>275</v>
      </c>
      <c r="N96" s="222" t="s">
        <v>267</v>
      </c>
      <c r="O96" s="222" t="s">
        <v>267</v>
      </c>
      <c r="P96" s="224" t="s">
        <v>274</v>
      </c>
      <c r="Q96" s="224" t="s">
        <v>270</v>
      </c>
      <c r="R9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96" s="93">
        <f>(1 - ((1 - VLOOKUP(Table4[[#This Row],[Confidentiality]],'Reference - CVSSv3.0'!$B$16:$C$18,2,FALSE())) * (1 - VLOOKUP(Table4[[#This Row],[Integrity]],'Reference - CVSSv3.0'!$B$16:$C$18,2,FALSE())) *  (1 - VLOOKUP(Table4[[#This Row],[Availability]],'Reference - CVSSv3.0'!$B$16:$C$18,2,FALSE()))))</f>
        <v>0.52544799999999992</v>
      </c>
      <c r="T96" s="93">
        <f>IF(Table4[[#This Row],[Scope]]="Unchanged",6.42*Table4[[#This Row],[ISC Base]],IF(Table4[[#This Row],[Scope]]="Changed",7.52*(Table4[[#This Row],[ISC Base]] - 0.029) - 3.25 * POWER(Table4[[#This Row],[ISC Base]] - 0.02,15),NA()))</f>
        <v>3.3733761599999994</v>
      </c>
      <c r="U96" s="93">
        <f>IF(Table4[[#This Row],[Impact Sub Score]]&lt;=0,0,IF(Table4[[#This Row],[Scope]]="Unchanged",ROUNDUP(MIN((Table4[[#This Row],[Impact Sub Score]]+Table4[[#This Row],[Exploitability Sub Score]]),10),1),IF(Table4[[#This Row],[Scope]]="Changed",ROUNDUP(MIN((1.08*(Table4[[#This Row],[Impact Sub Score]]+Table4[[#This Row],[Exploitability Sub Score]])),10),1),NA())))</f>
        <v>5.3</v>
      </c>
      <c r="V96" s="225" t="s">
        <v>267</v>
      </c>
      <c r="W96" s="91">
        <f>VLOOKUP(Table4[[#This Row],[Threat Event Initiation]],NIST_Scale_LOAI[],2,FALSE())</f>
        <v>0.2</v>
      </c>
      <c r="X9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96" s="23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6" s="19" t="s">
        <v>335</v>
      </c>
      <c r="AA96" s="19" t="s">
        <v>455</v>
      </c>
      <c r="AB96" s="19" t="s">
        <v>564</v>
      </c>
      <c r="AC96" s="223"/>
      <c r="AD96" s="223"/>
      <c r="AE96" s="223"/>
      <c r="AF96" s="224"/>
      <c r="AG96" s="224"/>
      <c r="AH96" s="224"/>
      <c r="AI96" s="224"/>
      <c r="AJ96" s="224"/>
      <c r="AK96" s="225"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6" s="225" t="e">
        <f>(1 - ((1 - VLOOKUP(Table4[[#This Row],[ConfidentialityP]],'Reference - CVSSv3.0'!$B$16:$C$18,2,FALSE())) * (1 - VLOOKUP(Table4[[#This Row],[IntegrityP]],'Reference - CVSSv3.0'!$B$16:$C$18,2,FALSE())) *  (1 - VLOOKUP(Table4[[#This Row],[AvailabilityP]],'Reference - CVSSv3.0'!$B$16:$C$18,2,FALSE()))))</f>
        <v>#N/A</v>
      </c>
      <c r="AM96" s="225" t="e">
        <f>IF(Table4[[#This Row],[ScopeP]]="Unchanged",6.42*Table4[[#This Row],[ISC BaseP]],IF(Table4[[#This Row],[ScopeP]]="Changed",7.52*(Table4[[#This Row],[ISC BaseP]] - 0.029) - 3.25 * POWER(Table4[[#This Row],[ISC BaseP]] - 0.02,15),NA()))</f>
        <v>#N/A</v>
      </c>
      <c r="AN9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6" s="223"/>
    </row>
    <row r="97" spans="1:43" s="234" customFormat="1" ht="114">
      <c r="A97" s="227">
        <v>93</v>
      </c>
      <c r="B97" s="85" t="s">
        <v>182</v>
      </c>
      <c r="C97" s="86" t="str">
        <f>IF(VLOOKUP(Table4[[#This Row],[T ID]],Table5[#All],5,FALSE())="No","Not in scope",VLOOKUP(Table4[[#This Row],[T ID]],Table5[#All],2,FALSE()))</f>
        <v>Gaining Access
([S]TRID[E])</v>
      </c>
      <c r="D97" s="57" t="s">
        <v>151</v>
      </c>
      <c r="E97" s="86" t="str">
        <f>IF(VLOOKUP(Table4[[#This Row],[V ID]],Vulnerabilities[#All],3,FALSE())="No","Not in scope",VLOOKUP(Table4[[#This Row],[V ID]],Vulnerabilities[#All],2,FALSE()))</f>
        <v>Error Info containing sensitive data for Failed Authentication attempts</v>
      </c>
      <c r="F97" s="87" t="s">
        <v>74</v>
      </c>
      <c r="G97" s="88" t="str">
        <f>VLOOKUP(Table4[[#This Row],[A ID]],Assets[#All],3,FALSE())</f>
        <v>Smart medic app (Azure Portal Administrator)</v>
      </c>
      <c r="H97" s="221" t="s">
        <v>322</v>
      </c>
      <c r="I97" s="19" t="s">
        <v>465</v>
      </c>
      <c r="J97" s="228" t="s">
        <v>267</v>
      </c>
      <c r="K97" s="228" t="s">
        <v>267</v>
      </c>
      <c r="L97" s="228" t="s">
        <v>276</v>
      </c>
      <c r="M97" s="231" t="s">
        <v>273</v>
      </c>
      <c r="N97" s="231" t="s">
        <v>276</v>
      </c>
      <c r="O97" s="231" t="s">
        <v>267</v>
      </c>
      <c r="P97" s="231" t="s">
        <v>274</v>
      </c>
      <c r="Q97" s="231" t="s">
        <v>270</v>
      </c>
      <c r="R9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97" s="93">
        <f>(1 - ((1 - VLOOKUP(Table4[[#This Row],[Confidentiality]],'Reference - CVSSv3.0'!$B$16:$C$18,2,FALSE())) * (1 - VLOOKUP(Table4[[#This Row],[Integrity]],'Reference - CVSSv3.0'!$B$16:$C$18,2,FALSE())) *  (1 - VLOOKUP(Table4[[#This Row],[Availability]],'Reference - CVSSv3.0'!$B$16:$C$18,2,FALSE()))))</f>
        <v>0.73230400000000007</v>
      </c>
      <c r="T97" s="93">
        <f>IF(Table4[[#This Row],[Scope]]="Unchanged",6.42*Table4[[#This Row],[ISC Base]],IF(Table4[[#This Row],[Scope]]="Changed",7.52*(Table4[[#This Row],[ISC Base]] - 0.029) - 3.25 * POWER(Table4[[#This Row],[ISC Base]] - 0.02,15),NA()))</f>
        <v>4.7013916800000004</v>
      </c>
      <c r="U97" s="93">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97" s="232" t="s">
        <v>277</v>
      </c>
      <c r="W97" s="91">
        <f>VLOOKUP(Table4[[#This Row],[Threat Event Initiation]],NIST_Scale_LOAI[],2,FALSE())</f>
        <v>0.5</v>
      </c>
      <c r="X9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7" s="23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7" s="19" t="s">
        <v>336</v>
      </c>
      <c r="AA97" s="19" t="s">
        <v>455</v>
      </c>
      <c r="AB97" s="19" t="s">
        <v>565</v>
      </c>
      <c r="AC97" s="230"/>
      <c r="AD97" s="230"/>
      <c r="AE97" s="230"/>
      <c r="AF97" s="231"/>
      <c r="AG97" s="231"/>
      <c r="AH97" s="231"/>
      <c r="AI97" s="231"/>
      <c r="AJ97" s="231"/>
      <c r="AK97" s="232"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7" s="232" t="e">
        <f>(1 - ((1 - VLOOKUP(Table4[[#This Row],[ConfidentialityP]],'Reference - CVSSv3.0'!$B$16:$C$18,2,FALSE())) * (1 - VLOOKUP(Table4[[#This Row],[IntegrityP]],'Reference - CVSSv3.0'!$B$16:$C$18,2,FALSE())) *  (1 - VLOOKUP(Table4[[#This Row],[AvailabilityP]],'Reference - CVSSv3.0'!$B$16:$C$18,2,FALSE()))))</f>
        <v>#N/A</v>
      </c>
      <c r="AM97" s="232" t="e">
        <f>IF(Table4[[#This Row],[ScopeP]]="Unchanged",6.42*Table4[[#This Row],[ISC BaseP]],IF(Table4[[#This Row],[ScopeP]]="Changed",7.52*(Table4[[#This Row],[ISC BaseP]] - 0.029) - 3.25 * POWER(Table4[[#This Row],[ISC BaseP]] - 0.02,15),NA()))</f>
        <v>#N/A</v>
      </c>
      <c r="AN9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7" s="230"/>
    </row>
    <row r="98" spans="1:43" ht="114">
      <c r="A98" s="97">
        <v>94</v>
      </c>
      <c r="B98" s="85" t="s">
        <v>182</v>
      </c>
      <c r="C98" s="86" t="str">
        <f>IF(VLOOKUP(Table4[[#This Row],[T ID]],Table5[#All],5,FALSE())="No","Not in scope",VLOOKUP(Table4[[#This Row],[T ID]],Table5[#All],2,FALSE()))</f>
        <v>Gaining Access
([S]TRID[E])</v>
      </c>
      <c r="D98" s="57" t="s">
        <v>165</v>
      </c>
      <c r="E98" s="86" t="str">
        <f>IF(VLOOKUP(Table4[[#This Row],[V ID]],Vulnerabilities[#All],3,FALSE())="No","Not in scope",VLOOKUP(Table4[[#This Row],[V ID]],Vulnerabilities[#All],2,FALSE()))</f>
        <v>Improper security (for ex.,Storage &amp; Access) for Key tokens and Certificates</v>
      </c>
      <c r="F98" s="87" t="s">
        <v>77</v>
      </c>
      <c r="G98" s="88" t="str">
        <f>VLOOKUP(Table4[[#This Row],[A ID]],Assets[#All],3,FALSE())</f>
        <v>Azure Cloud DataBase</v>
      </c>
      <c r="H98" s="19" t="s">
        <v>322</v>
      </c>
      <c r="I98" s="19" t="s">
        <v>465</v>
      </c>
      <c r="J98" s="96" t="s">
        <v>267</v>
      </c>
      <c r="K98" s="96" t="s">
        <v>267</v>
      </c>
      <c r="L98" s="96" t="s">
        <v>276</v>
      </c>
      <c r="M98" s="98" t="s">
        <v>273</v>
      </c>
      <c r="N98" s="98" t="s">
        <v>276</v>
      </c>
      <c r="O98" s="98" t="s">
        <v>267</v>
      </c>
      <c r="P98" s="98" t="s">
        <v>274</v>
      </c>
      <c r="Q98" s="98" t="s">
        <v>270</v>
      </c>
      <c r="R98" s="99">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98" s="100">
        <f>(1 - ((1 - VLOOKUP(Table4[[#This Row],[Confidentiality]],'Reference - CVSSv3.0'!$B$16:$C$18,2,FALSE())) * (1 - VLOOKUP(Table4[[#This Row],[Integrity]],'Reference - CVSSv3.0'!$B$16:$C$18,2,FALSE())) *  (1 - VLOOKUP(Table4[[#This Row],[Availability]],'Reference - CVSSv3.0'!$B$16:$C$18,2,FALSE()))))</f>
        <v>0.73230400000000007</v>
      </c>
      <c r="T98" s="100">
        <f>IF(Table4[[#This Row],[Scope]]="Unchanged",6.42*Table4[[#This Row],[ISC Base]],IF(Table4[[#This Row],[Scope]]="Changed",7.52*(Table4[[#This Row],[ISC Base]] - 0.029) - 3.25 * POWER(Table4[[#This Row],[ISC Base]] - 0.02,15),NA()))</f>
        <v>4.7013916800000004</v>
      </c>
      <c r="U98" s="100">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98" s="101" t="s">
        <v>277</v>
      </c>
      <c r="W98" s="100">
        <f>VLOOKUP(Table4[[#This Row],[Threat Event Initiation]],NIST_Scale_LOAI[],2,FALSE())</f>
        <v>0.5</v>
      </c>
      <c r="X98" s="10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8"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8" s="19" t="s">
        <v>337</v>
      </c>
      <c r="AA98" s="19" t="s">
        <v>441</v>
      </c>
      <c r="AB98" s="241" t="s">
        <v>469</v>
      </c>
      <c r="AC98" s="38"/>
      <c r="AD98" s="38"/>
      <c r="AE98" s="38"/>
      <c r="AF98" s="98"/>
      <c r="AG98" s="98"/>
      <c r="AH98" s="98"/>
      <c r="AI98" s="98"/>
      <c r="AJ98" s="98"/>
      <c r="AK98" s="100"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8" s="100" t="e">
        <f>(1 - ((1 - VLOOKUP(Table4[[#This Row],[ConfidentialityP]],'Reference - CVSSv3.0'!$B$16:$C$18,2,FALSE())) * (1 - VLOOKUP(Table4[[#This Row],[IntegrityP]],'Reference - CVSSv3.0'!$B$16:$C$18,2,FALSE())) *  (1 - VLOOKUP(Table4[[#This Row],[AvailabilityP]],'Reference - CVSSv3.0'!$B$16:$C$18,2,FALSE()))))</f>
        <v>#N/A</v>
      </c>
      <c r="AM98" s="100" t="e">
        <f>IF(Table4[[#This Row],[ScopeP]]="Unchanged",6.42*Table4[[#This Row],[ISC BaseP]],IF(Table4[[#This Row],[ScopeP]]="Changed",7.52*(Table4[[#This Row],[ISC BaseP]] - 0.029) - 3.25 * POWER(Table4[[#This Row],[ISC BaseP]] - 0.02,15),NA()))</f>
        <v>#N/A</v>
      </c>
      <c r="AN9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8" s="38"/>
    </row>
    <row r="99" spans="1:43" ht="171">
      <c r="A99" s="97">
        <v>95</v>
      </c>
      <c r="B99" s="85" t="s">
        <v>182</v>
      </c>
      <c r="C99" s="86" t="str">
        <f>IF(VLOOKUP(Table4[[#This Row],[T ID]],Table5[#All],5,FALSE())="No","Not in scope",VLOOKUP(Table4[[#This Row],[T ID]],Table5[#All],2,FALSE()))</f>
        <v>Gaining Access
([S]TRID[E])</v>
      </c>
      <c r="D99" s="57" t="s">
        <v>153</v>
      </c>
      <c r="E99" s="86" t="str">
        <f>IF(VLOOKUP(Table4[[#This Row],[V ID]],Vulnerabilities[#All],3,FALSE())="No","Not in scope",VLOOKUP(Table4[[#This Row],[V ID]],Vulnerabilities[#All],2,FALSE()))</f>
        <v>Absence of additional security factor along with user identification</v>
      </c>
      <c r="F99" s="87" t="s">
        <v>74</v>
      </c>
      <c r="G99" s="88" t="str">
        <f>VLOOKUP(Table4[[#This Row],[A ID]],Assets[#All],3,FALSE())</f>
        <v>Smart medic app (Azure Portal Administrator)</v>
      </c>
      <c r="H99" s="19" t="s">
        <v>322</v>
      </c>
      <c r="I99" s="19" t="s">
        <v>465</v>
      </c>
      <c r="J99" s="96" t="s">
        <v>267</v>
      </c>
      <c r="K99" s="96" t="s">
        <v>267</v>
      </c>
      <c r="L99" s="96" t="s">
        <v>276</v>
      </c>
      <c r="M99" s="98" t="s">
        <v>273</v>
      </c>
      <c r="N99" s="98" t="s">
        <v>276</v>
      </c>
      <c r="O99" s="98" t="s">
        <v>267</v>
      </c>
      <c r="P99" s="98" t="s">
        <v>274</v>
      </c>
      <c r="Q99" s="98" t="s">
        <v>270</v>
      </c>
      <c r="R99" s="99">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99" s="100">
        <f>(1 - ((1 - VLOOKUP(Table4[[#This Row],[Confidentiality]],'Reference - CVSSv3.0'!$B$16:$C$18,2,FALSE())) * (1 - VLOOKUP(Table4[[#This Row],[Integrity]],'Reference - CVSSv3.0'!$B$16:$C$18,2,FALSE())) *  (1 - VLOOKUP(Table4[[#This Row],[Availability]],'Reference - CVSSv3.0'!$B$16:$C$18,2,FALSE()))))</f>
        <v>0.73230400000000007</v>
      </c>
      <c r="T99" s="100">
        <f>IF(Table4[[#This Row],[Scope]]="Unchanged",6.42*Table4[[#This Row],[ISC Base]],IF(Table4[[#This Row],[Scope]]="Changed",7.52*(Table4[[#This Row],[ISC Base]] - 0.029) - 3.25 * POWER(Table4[[#This Row],[ISC Base]] - 0.02,15),NA()))</f>
        <v>4.7013916800000004</v>
      </c>
      <c r="U99" s="100">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99" s="101" t="s">
        <v>277</v>
      </c>
      <c r="W99" s="100">
        <f>VLOOKUP(Table4[[#This Row],[Threat Event Initiation]],NIST_Scale_LOAI[],2,FALSE())</f>
        <v>0.5</v>
      </c>
      <c r="X99" s="10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9"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9" s="19" t="s">
        <v>338</v>
      </c>
      <c r="AA99" s="19" t="s">
        <v>455</v>
      </c>
      <c r="AB99" s="19" t="s">
        <v>566</v>
      </c>
      <c r="AC99" s="38"/>
      <c r="AD99" s="38"/>
      <c r="AE99" s="38"/>
      <c r="AF99" s="98"/>
      <c r="AG99" s="98"/>
      <c r="AH99" s="98"/>
      <c r="AI99" s="98"/>
      <c r="AJ99" s="98"/>
      <c r="AK99" s="100"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9" s="100" t="e">
        <f>(1 - ((1 - VLOOKUP(Table4[[#This Row],[ConfidentialityP]],'Reference - CVSSv3.0'!$B$16:$C$18,2,FALSE())) * (1 - VLOOKUP(Table4[[#This Row],[IntegrityP]],'Reference - CVSSv3.0'!$B$16:$C$18,2,FALSE())) *  (1 - VLOOKUP(Table4[[#This Row],[AvailabilityP]],'Reference - CVSSv3.0'!$B$16:$C$18,2,FALSE()))))</f>
        <v>#N/A</v>
      </c>
      <c r="AM99" s="100" t="e">
        <f>IF(Table4[[#This Row],[ScopeP]]="Unchanged",6.42*Table4[[#This Row],[ISC BaseP]],IF(Table4[[#This Row],[ScopeP]]="Changed",7.52*(Table4[[#This Row],[ISC BaseP]] - 0.029) - 3.25 * POWER(Table4[[#This Row],[ISC BaseP]] - 0.02,15),NA()))</f>
        <v>#N/A</v>
      </c>
      <c r="AN9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9" s="38"/>
    </row>
    <row r="100" spans="1:43" ht="132.6" customHeight="1">
      <c r="A100" s="97">
        <v>96</v>
      </c>
      <c r="B100" s="85" t="s">
        <v>182</v>
      </c>
      <c r="C100" s="86" t="str">
        <f>IF(VLOOKUP(Table4[[#This Row],[T ID]],Table5[#All],5,FALSE())="No","Not in scope",VLOOKUP(Table4[[#This Row],[T ID]],Table5[#All],2,FALSE()))</f>
        <v>Gaining Access
([S]TRID[E])</v>
      </c>
      <c r="D100" s="57" t="s">
        <v>153</v>
      </c>
      <c r="E100" s="86" t="str">
        <f>IF(VLOOKUP(Table4[[#This Row],[V ID]],Vulnerabilities[#All],3,FALSE())="No","Not in scope",VLOOKUP(Table4[[#This Row],[V ID]],Vulnerabilities[#All],2,FALSE()))</f>
        <v>Absence of additional security factor along with user identification</v>
      </c>
      <c r="F100" s="87" t="s">
        <v>77</v>
      </c>
      <c r="G100" s="88" t="str">
        <f>VLOOKUP(Table4[[#This Row],[A ID]],Assets[#All],3,FALSE())</f>
        <v>Azure Cloud DataBase</v>
      </c>
      <c r="H100" s="19" t="s">
        <v>322</v>
      </c>
      <c r="I100" s="19" t="s">
        <v>465</v>
      </c>
      <c r="J100" s="96" t="s">
        <v>267</v>
      </c>
      <c r="K100" s="96" t="s">
        <v>267</v>
      </c>
      <c r="L100" s="96" t="s">
        <v>276</v>
      </c>
      <c r="M100" s="98" t="s">
        <v>273</v>
      </c>
      <c r="N100" s="98" t="s">
        <v>276</v>
      </c>
      <c r="O100" s="98" t="s">
        <v>267</v>
      </c>
      <c r="P100" s="98" t="s">
        <v>274</v>
      </c>
      <c r="Q100" s="98" t="s">
        <v>270</v>
      </c>
      <c r="R100" s="99">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100" s="100">
        <f>(1 - ((1 - VLOOKUP(Table4[[#This Row],[Confidentiality]],'Reference - CVSSv3.0'!$B$16:$C$18,2,FALSE())) * (1 - VLOOKUP(Table4[[#This Row],[Integrity]],'Reference - CVSSv3.0'!$B$16:$C$18,2,FALSE())) *  (1 - VLOOKUP(Table4[[#This Row],[Availability]],'Reference - CVSSv3.0'!$B$16:$C$18,2,FALSE()))))</f>
        <v>0.73230400000000007</v>
      </c>
      <c r="T100" s="100">
        <f>IF(Table4[[#This Row],[Scope]]="Unchanged",6.42*Table4[[#This Row],[ISC Base]],IF(Table4[[#This Row],[Scope]]="Changed",7.52*(Table4[[#This Row],[ISC Base]] - 0.029) - 3.25 * POWER(Table4[[#This Row],[ISC Base]] - 0.02,15),NA()))</f>
        <v>4.7013916800000004</v>
      </c>
      <c r="U100" s="100">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00" s="101" t="s">
        <v>277</v>
      </c>
      <c r="W100" s="100">
        <f>VLOOKUP(Table4[[#This Row],[Threat Event Initiation]],NIST_Scale_LOAI[],2,FALSE())</f>
        <v>0.5</v>
      </c>
      <c r="X100" s="10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00"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0" s="19" t="s">
        <v>339</v>
      </c>
      <c r="AA100" s="19" t="s">
        <v>443</v>
      </c>
      <c r="AB100" s="19" t="s">
        <v>567</v>
      </c>
      <c r="AC100" s="38"/>
      <c r="AD100" s="38"/>
      <c r="AE100" s="38"/>
      <c r="AF100" s="98"/>
      <c r="AG100" s="98"/>
      <c r="AH100" s="98"/>
      <c r="AI100" s="98"/>
      <c r="AJ100" s="98"/>
      <c r="AK100" s="100"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00" s="100" t="e">
        <f>(1 - ((1 - VLOOKUP(Table4[[#This Row],[ConfidentialityP]],'Reference - CVSSv3.0'!$B$16:$C$18,2,FALSE())) * (1 - VLOOKUP(Table4[[#This Row],[IntegrityP]],'Reference - CVSSv3.0'!$B$16:$C$18,2,FALSE())) *  (1 - VLOOKUP(Table4[[#This Row],[AvailabilityP]],'Reference - CVSSv3.0'!$B$16:$C$18,2,FALSE()))))</f>
        <v>#N/A</v>
      </c>
      <c r="AM100" s="100" t="e">
        <f>IF(Table4[[#This Row],[ScopeP]]="Unchanged",6.42*Table4[[#This Row],[ISC BaseP]],IF(Table4[[#This Row],[ScopeP]]="Changed",7.52*(Table4[[#This Row],[ISC BaseP]] - 0.029) - 3.25 * POWER(Table4[[#This Row],[ISC BaseP]] - 0.02,15),NA()))</f>
        <v>#N/A</v>
      </c>
      <c r="AN10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0" s="38"/>
    </row>
    <row r="101" spans="1:43" ht="142.5">
      <c r="A101" s="97">
        <v>97</v>
      </c>
      <c r="B101" s="85" t="s">
        <v>206</v>
      </c>
      <c r="C101" s="86" t="str">
        <f>IF(VLOOKUP(Table4[[#This Row],[T ID]],Table5[#All],5,FALSE())="No","Not in scope",VLOOKUP(Table4[[#This Row],[T ID]],Table5[#All],2,FALSE()))</f>
        <v>Brute-force Attack
(CAPEC-112)</v>
      </c>
      <c r="D101" s="57" t="s">
        <v>151</v>
      </c>
      <c r="E101" s="86" t="str">
        <f>IF(VLOOKUP(Table4[[#This Row],[V ID]],Vulnerabilities[#All],3,FALSE())="No","Not in scope",VLOOKUP(Table4[[#This Row],[V ID]],Vulnerabilities[#All],2,FALSE()))</f>
        <v>Error Info containing sensitive data for Failed Authentication attempts</v>
      </c>
      <c r="F101" s="87" t="s">
        <v>77</v>
      </c>
      <c r="G101" s="88" t="str">
        <f>VLOOKUP(Table4[[#This Row],[A ID]],Assets[#All],3,FALSE())</f>
        <v>Azure Cloud DataBase</v>
      </c>
      <c r="H101" s="19" t="s">
        <v>322</v>
      </c>
      <c r="I101" s="19" t="s">
        <v>465</v>
      </c>
      <c r="J101" s="96" t="s">
        <v>267</v>
      </c>
      <c r="K101" s="96" t="s">
        <v>267</v>
      </c>
      <c r="L101" s="96" t="s">
        <v>276</v>
      </c>
      <c r="M101" s="98" t="s">
        <v>273</v>
      </c>
      <c r="N101" s="98" t="s">
        <v>276</v>
      </c>
      <c r="O101" s="98" t="s">
        <v>267</v>
      </c>
      <c r="P101" s="98" t="s">
        <v>274</v>
      </c>
      <c r="Q101" s="98" t="s">
        <v>270</v>
      </c>
      <c r="R101" s="99">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101" s="100">
        <f>(1 - ((1 - VLOOKUP(Table4[[#This Row],[Confidentiality]],'Reference - CVSSv3.0'!$B$16:$C$18,2,FALSE())) * (1 - VLOOKUP(Table4[[#This Row],[Integrity]],'Reference - CVSSv3.0'!$B$16:$C$18,2,FALSE())) *  (1 - VLOOKUP(Table4[[#This Row],[Availability]],'Reference - CVSSv3.0'!$B$16:$C$18,2,FALSE()))))</f>
        <v>0.73230400000000007</v>
      </c>
      <c r="T101" s="100">
        <f>IF(Table4[[#This Row],[Scope]]="Unchanged",6.42*Table4[[#This Row],[ISC Base]],IF(Table4[[#This Row],[Scope]]="Changed",7.52*(Table4[[#This Row],[ISC Base]] - 0.029) - 3.25 * POWER(Table4[[#This Row],[ISC Base]] - 0.02,15),NA()))</f>
        <v>4.7013916800000004</v>
      </c>
      <c r="U101" s="100">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01" s="101" t="s">
        <v>277</v>
      </c>
      <c r="W101" s="100">
        <f>VLOOKUP(Table4[[#This Row],[Threat Event Initiation]],NIST_Scale_LOAI[],2,FALSE())</f>
        <v>0.5</v>
      </c>
      <c r="X101" s="10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01"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1" s="19" t="s">
        <v>336</v>
      </c>
      <c r="AA101" s="19" t="s">
        <v>442</v>
      </c>
      <c r="AB101" s="19" t="s">
        <v>568</v>
      </c>
      <c r="AC101" s="38"/>
      <c r="AD101" s="38"/>
      <c r="AE101" s="38"/>
      <c r="AF101" s="98"/>
      <c r="AG101" s="98"/>
      <c r="AH101" s="98"/>
      <c r="AI101" s="98"/>
      <c r="AJ101" s="98"/>
      <c r="AK101" s="100"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01" s="100" t="e">
        <f>(1 - ((1 - VLOOKUP(Table4[[#This Row],[ConfidentialityP]],'Reference - CVSSv3.0'!$B$16:$C$18,2,FALSE())) * (1 - VLOOKUP(Table4[[#This Row],[IntegrityP]],'Reference - CVSSv3.0'!$B$16:$C$18,2,FALSE())) *  (1 - VLOOKUP(Table4[[#This Row],[AvailabilityP]],'Reference - CVSSv3.0'!$B$16:$C$18,2,FALSE()))))</f>
        <v>#N/A</v>
      </c>
      <c r="AM101" s="100" t="e">
        <f>IF(Table4[[#This Row],[ScopeP]]="Unchanged",6.42*Table4[[#This Row],[ISC BaseP]],IF(Table4[[#This Row],[ScopeP]]="Changed",7.52*(Table4[[#This Row],[ISC BaseP]] - 0.029) - 3.25 * POWER(Table4[[#This Row],[ISC BaseP]] - 0.02,15),NA()))</f>
        <v>#N/A</v>
      </c>
      <c r="AN10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1" s="38"/>
    </row>
    <row r="102" spans="1:43" ht="155.1" customHeight="1">
      <c r="A102" s="97">
        <v>98</v>
      </c>
      <c r="B102" s="85" t="s">
        <v>206</v>
      </c>
      <c r="C102" s="86" t="str">
        <f>IF(VLOOKUP(Table4[[#This Row],[T ID]],Table5[#All],5,FALSE())="No","Not in scope",VLOOKUP(Table4[[#This Row],[T ID]],Table5[#All],2,FALSE()))</f>
        <v>Brute-force Attack
(CAPEC-112)</v>
      </c>
      <c r="D102" s="57" t="s">
        <v>155</v>
      </c>
      <c r="E102" s="86" t="str">
        <f>IF(VLOOKUP(Table4[[#This Row],[V ID]],Vulnerabilities[#All],3,FALSE())="No","Not in scope",VLOOKUP(Table4[[#This Row],[V ID]],Vulnerabilities[#All],2,FALSE()))</f>
        <v>Having no limit on the login attempts</v>
      </c>
      <c r="F102" s="87" t="s">
        <v>74</v>
      </c>
      <c r="G102" s="88" t="str">
        <f>VLOOKUP(Table4[[#This Row],[A ID]],Assets[#All],3,FALSE())</f>
        <v>Smart medic app (Azure Portal Administrator)</v>
      </c>
      <c r="H102" s="19" t="s">
        <v>322</v>
      </c>
      <c r="I102" s="19" t="s">
        <v>465</v>
      </c>
      <c r="J102" s="96" t="s">
        <v>267</v>
      </c>
      <c r="K102" s="96" t="s">
        <v>267</v>
      </c>
      <c r="L102" s="96" t="s">
        <v>276</v>
      </c>
      <c r="M102" s="98" t="s">
        <v>273</v>
      </c>
      <c r="N102" s="98" t="s">
        <v>276</v>
      </c>
      <c r="O102" s="98" t="s">
        <v>267</v>
      </c>
      <c r="P102" s="98" t="s">
        <v>274</v>
      </c>
      <c r="Q102" s="98" t="s">
        <v>270</v>
      </c>
      <c r="R102" s="99">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102" s="100">
        <f>(1 - ((1 - VLOOKUP(Table4[[#This Row],[Confidentiality]],'Reference - CVSSv3.0'!$B$16:$C$18,2,FALSE())) * (1 - VLOOKUP(Table4[[#This Row],[Integrity]],'Reference - CVSSv3.0'!$B$16:$C$18,2,FALSE())) *  (1 - VLOOKUP(Table4[[#This Row],[Availability]],'Reference - CVSSv3.0'!$B$16:$C$18,2,FALSE()))))</f>
        <v>0.73230400000000007</v>
      </c>
      <c r="T102" s="100">
        <f>IF(Table4[[#This Row],[Scope]]="Unchanged",6.42*Table4[[#This Row],[ISC Base]],IF(Table4[[#This Row],[Scope]]="Changed",7.52*(Table4[[#This Row],[ISC Base]] - 0.029) - 3.25 * POWER(Table4[[#This Row],[ISC Base]] - 0.02,15),NA()))</f>
        <v>4.7013916800000004</v>
      </c>
      <c r="U102" s="100">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02" s="101" t="s">
        <v>277</v>
      </c>
      <c r="W102" s="100">
        <f>VLOOKUP(Table4[[#This Row],[Threat Event Initiation]],NIST_Scale_LOAI[],2,FALSE())</f>
        <v>0.5</v>
      </c>
      <c r="X102" s="10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02"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2" s="19" t="s">
        <v>336</v>
      </c>
      <c r="AA102" s="19" t="s">
        <v>456</v>
      </c>
      <c r="AB102" s="19" t="s">
        <v>569</v>
      </c>
      <c r="AC102" s="38"/>
      <c r="AD102" s="38"/>
      <c r="AE102" s="38"/>
      <c r="AF102" s="98"/>
      <c r="AG102" s="98"/>
      <c r="AH102" s="98"/>
      <c r="AI102" s="98"/>
      <c r="AJ102" s="98"/>
      <c r="AK102" s="100"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02" s="100" t="e">
        <f>(1 - ((1 - VLOOKUP(Table4[[#This Row],[ConfidentialityP]],'Reference - CVSSv3.0'!$B$16:$C$18,2,FALSE())) * (1 - VLOOKUP(Table4[[#This Row],[IntegrityP]],'Reference - CVSSv3.0'!$B$16:$C$18,2,FALSE())) *  (1 - VLOOKUP(Table4[[#This Row],[AvailabilityP]],'Reference - CVSSv3.0'!$B$16:$C$18,2,FALSE()))))</f>
        <v>#N/A</v>
      </c>
      <c r="AM102" s="100" t="e">
        <f>IF(Table4[[#This Row],[ScopeP]]="Unchanged",6.42*Table4[[#This Row],[ISC BaseP]],IF(Table4[[#This Row],[ScopeP]]="Changed",7.52*(Table4[[#This Row],[ISC BaseP]] - 0.029) - 3.25 * POWER(Table4[[#This Row],[ISC BaseP]] - 0.02,15),NA()))</f>
        <v>#N/A</v>
      </c>
      <c r="AN10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2" s="38"/>
    </row>
    <row r="103" spans="1:43" ht="171">
      <c r="A103" s="55">
        <v>99</v>
      </c>
      <c r="B103" s="85" t="s">
        <v>215</v>
      </c>
      <c r="C103" s="86" t="str">
        <f>IF(VLOOKUP(Table4[[#This Row],[T ID]],Table5[#All],5,FALSE())="No","Not in scope",VLOOKUP(Table4[[#This Row],[T ID]],Table5[#All],2,FALSE()))</f>
        <v>Unauthorized Alterations
(S[T]RIDE)</v>
      </c>
      <c r="D103" s="57" t="s">
        <v>146</v>
      </c>
      <c r="E103" s="86" t="str">
        <f>IF(VLOOKUP(Table4[[#This Row],[V ID]],Vulnerabilities[#All],3,FALSE())="No","Not in scope",VLOOKUP(Table4[[#This Row],[V ID]],Vulnerabilities[#All],2,FALSE()))</f>
        <v>Improper/insufficient provisioning of IOT hub</v>
      </c>
      <c r="F103" s="87" t="s">
        <v>42</v>
      </c>
      <c r="G103" s="88" t="str">
        <f>VLOOKUP(Table4[[#This Row],[A ID]],Assets[#All],3,FALSE())</f>
        <v>Tablet OS/network details &amp; Tablet Application</v>
      </c>
      <c r="H103" s="21" t="s">
        <v>340</v>
      </c>
      <c r="I103" s="19" t="s">
        <v>465</v>
      </c>
      <c r="J103" s="96" t="s">
        <v>274</v>
      </c>
      <c r="K103" s="96" t="s">
        <v>274</v>
      </c>
      <c r="L103" s="96" t="s">
        <v>276</v>
      </c>
      <c r="M103" s="98" t="s">
        <v>273</v>
      </c>
      <c r="N103" s="98" t="s">
        <v>276</v>
      </c>
      <c r="O103" s="98" t="s">
        <v>276</v>
      </c>
      <c r="P103" s="98" t="s">
        <v>274</v>
      </c>
      <c r="Q103" s="98" t="s">
        <v>270</v>
      </c>
      <c r="R103" s="99">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103" s="100">
        <f>(1 - ((1 - VLOOKUP(Table4[[#This Row],[Confidentiality]],'Reference - CVSSv3.0'!$B$16:$C$18,2,FALSE())) * (1 - VLOOKUP(Table4[[#This Row],[Integrity]],'Reference - CVSSv3.0'!$B$16:$C$18,2,FALSE())) *  (1 - VLOOKUP(Table4[[#This Row],[Availability]],'Reference - CVSSv3.0'!$B$16:$C$18,2,FALSE()))))</f>
        <v>0.56000000000000005</v>
      </c>
      <c r="T103" s="100">
        <f>IF(Table4[[#This Row],[Scope]]="Unchanged",6.42*Table4[[#This Row],[ISC Base]],IF(Table4[[#This Row],[Scope]]="Changed",7.52*(Table4[[#This Row],[ISC Base]] - 0.029) - 3.25 * POWER(Table4[[#This Row],[ISC Base]] - 0.02,15),NA()))</f>
        <v>3.5952000000000002</v>
      </c>
      <c r="U103" s="100">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103" s="101" t="s">
        <v>267</v>
      </c>
      <c r="W103" s="100">
        <f>VLOOKUP(Table4[[#This Row],[Threat Event Initiation]],NIST_Scale_LOAI[],2,FALSE())</f>
        <v>0.2</v>
      </c>
      <c r="X103" s="10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03"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3" s="19" t="s">
        <v>341</v>
      </c>
      <c r="AA103" s="19" t="s">
        <v>447</v>
      </c>
      <c r="AB103" s="241" t="s">
        <v>470</v>
      </c>
      <c r="AC103" s="38"/>
      <c r="AD103" s="38"/>
      <c r="AE103" s="38"/>
      <c r="AF103" s="98"/>
      <c r="AG103" s="98"/>
      <c r="AH103" s="98"/>
      <c r="AI103" s="98"/>
      <c r="AJ103" s="98"/>
      <c r="AK103" s="100"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03" s="100" t="e">
        <f>(1 - ((1 - VLOOKUP(Table4[[#This Row],[ConfidentialityP]],'Reference - CVSSv3.0'!$B$16:$C$18,2,FALSE())) * (1 - VLOOKUP(Table4[[#This Row],[IntegrityP]],'Reference - CVSSv3.0'!$B$16:$C$18,2,FALSE())) *  (1 - VLOOKUP(Table4[[#This Row],[AvailabilityP]],'Reference - CVSSv3.0'!$B$16:$C$18,2,FALSE()))))</f>
        <v>#N/A</v>
      </c>
      <c r="AM103" s="100" t="e">
        <f>IF(Table4[[#This Row],[ScopeP]]="Unchanged",6.42*Table4[[#This Row],[ISC BaseP]],IF(Table4[[#This Row],[ScopeP]]="Changed",7.52*(Table4[[#This Row],[ISC BaseP]] - 0.029) - 3.25 * POWER(Table4[[#This Row],[ISC BaseP]] - 0.02,15),NA()))</f>
        <v>#N/A</v>
      </c>
      <c r="AN10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3" s="38"/>
    </row>
    <row r="104" spans="1:43" ht="185.25">
      <c r="A104" s="49">
        <v>100</v>
      </c>
      <c r="B104" s="85" t="s">
        <v>215</v>
      </c>
      <c r="C104" s="86" t="str">
        <f>IF(VLOOKUP(Table4[[#This Row],[T ID]],Table5[#All],5,FALSE())="No","Not in scope",VLOOKUP(Table4[[#This Row],[T ID]],Table5[#All],2,FALSE()))</f>
        <v>Unauthorized Alterations
(S[T]RIDE)</v>
      </c>
      <c r="D104" s="57" t="s">
        <v>148</v>
      </c>
      <c r="E104" s="86" t="str">
        <f>IF(VLOOKUP(Table4[[#This Row],[V ID]],Vulnerabilities[#All],3,FALSE())="No","Not in scope",VLOOKUP(Table4[[#This Row],[V ID]],Vulnerabilities[#All],2,FALSE()))</f>
        <v>Unsecured communication with unauthenticated 3rd party devices</v>
      </c>
      <c r="F104" s="87" t="s">
        <v>42</v>
      </c>
      <c r="G104" s="88" t="str">
        <f>VLOOKUP(Table4[[#This Row],[A ID]],Assets[#All],3,FALSE())</f>
        <v>Tablet OS/network details &amp; Tablet Application</v>
      </c>
      <c r="H104" s="19" t="s">
        <v>342</v>
      </c>
      <c r="I104" s="19" t="s">
        <v>465</v>
      </c>
      <c r="J104" s="87" t="s">
        <v>274</v>
      </c>
      <c r="K104" s="87" t="s">
        <v>274</v>
      </c>
      <c r="L104" s="87" t="s">
        <v>276</v>
      </c>
      <c r="M104" s="90" t="s">
        <v>273</v>
      </c>
      <c r="N104" s="90" t="s">
        <v>276</v>
      </c>
      <c r="O104" s="90" t="s">
        <v>276</v>
      </c>
      <c r="P104" s="90" t="s">
        <v>274</v>
      </c>
      <c r="Q104" s="90" t="s">
        <v>270</v>
      </c>
      <c r="R10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104" s="91">
        <f>(1 - ((1 - VLOOKUP(Table4[[#This Row],[Confidentiality]],'Reference - CVSSv3.0'!$B$16:$C$18,2,FALSE())) * (1 - VLOOKUP(Table4[[#This Row],[Integrity]],'Reference - CVSSv3.0'!$B$16:$C$18,2,FALSE())) *  (1 - VLOOKUP(Table4[[#This Row],[Availability]],'Reference - CVSSv3.0'!$B$16:$C$18,2,FALSE()))))</f>
        <v>0.56000000000000005</v>
      </c>
      <c r="T104" s="91">
        <f>IF(Table4[[#This Row],[Scope]]="Unchanged",6.42*Table4[[#This Row],[ISC Base]],IF(Table4[[#This Row],[Scope]]="Changed",7.52*(Table4[[#This Row],[ISC Base]] - 0.029) - 3.25 * POWER(Table4[[#This Row],[ISC Base]] - 0.02,15),NA()))</f>
        <v>3.5952000000000002</v>
      </c>
      <c r="U104" s="91">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104" s="102" t="s">
        <v>267</v>
      </c>
      <c r="W104" s="91">
        <f>VLOOKUP(Table4[[#This Row],[Threat Event Initiation]],NIST_Scale_LOAI[],2,FALSE())</f>
        <v>0.2</v>
      </c>
      <c r="X10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0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4" s="19" t="s">
        <v>343</v>
      </c>
      <c r="AA104" s="19" t="s">
        <v>448</v>
      </c>
      <c r="AB104" s="241" t="s">
        <v>471</v>
      </c>
      <c r="AC104" s="36"/>
      <c r="AD104" s="36"/>
      <c r="AE104" s="36"/>
      <c r="AF104" s="90"/>
      <c r="AG104" s="90"/>
      <c r="AH104" s="90"/>
      <c r="AI104" s="90"/>
      <c r="AJ104" s="90"/>
      <c r="AK10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04" s="91" t="e">
        <f>(1 - ((1 - VLOOKUP(Table4[[#This Row],[ConfidentialityP]],'Reference - CVSSv3.0'!$B$16:$C$18,2,FALSE())) * (1 - VLOOKUP(Table4[[#This Row],[IntegrityP]],'Reference - CVSSv3.0'!$B$16:$C$18,2,FALSE())) *  (1 - VLOOKUP(Table4[[#This Row],[AvailabilityP]],'Reference - CVSSv3.0'!$B$16:$C$18,2,FALSE()))))</f>
        <v>#N/A</v>
      </c>
      <c r="AM104" s="91" t="e">
        <f>IF(Table4[[#This Row],[ScopeP]]="Unchanged",6.42*Table4[[#This Row],[ISC BaseP]],IF(Table4[[#This Row],[ScopeP]]="Changed",7.52*(Table4[[#This Row],[ISC BaseP]] - 0.029) - 3.25 * POWER(Table4[[#This Row],[ISC BaseP]] - 0.02,15),NA()))</f>
        <v>#N/A</v>
      </c>
      <c r="AN10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4" s="36"/>
    </row>
  </sheetData>
  <mergeCells count="4">
    <mergeCell ref="F3:I3"/>
    <mergeCell ref="J3:Y3"/>
    <mergeCell ref="Z3:AB3"/>
    <mergeCell ref="AC3:AQ3"/>
  </mergeCells>
  <conditionalFormatting sqref="Y5:Y104 AP5:AP104">
    <cfRule type="cellIs" dxfId="21" priority="2" operator="equal">
      <formula>"Critical"</formula>
    </cfRule>
    <cfRule type="cellIs" dxfId="20" priority="3" operator="equal">
      <formula>"HIGH"</formula>
    </cfRule>
    <cfRule type="cellIs" dxfId="19" priority="4" operator="equal">
      <formula>"Medium"</formula>
    </cfRule>
    <cfRule type="cellIs" dxfId="18" priority="5" operator="equal">
      <formula>"None"</formula>
    </cfRule>
    <cfRule type="cellIs" dxfId="17" priority="6" operator="equal">
      <formula>"Low"</formula>
    </cfRule>
  </conditionalFormatting>
  <dataValidations count="9">
    <dataValidation allowBlank="1" showInputMessage="1" showErrorMessage="1" prompt="This metric measures the impact to the availability of the impacted component resulting from a successfully exploited vulnerability. " sqref="L4 AE4" xr:uid="{00000000-0002-0000-0400-000000000000}">
      <formula1>0</formula1>
      <formula2>0</formula2>
    </dataValidation>
    <dataValidation allowBlank="1" showInputMessage="1" showErrorMessage="1" prompt="This metric measures the impact to integrity of a successfully exploited vulnerability. Integrity refers to the trustworthiness and veracity of information." sqref="K4 AD4" xr:uid="{00000000-0002-0000-0400-000001000000}">
      <formula1>0</formula1>
      <formula2>0</formula2>
    </dataValidation>
    <dataValidation allowBlank="1" showInputMessage="1" showErrorMessage="1" prompt="This metric measures the impact to the confidentiality of the information resources managed by a software component due to a successfully exploited vulnerability. " sqref="J4 AC4" xr:uid="{00000000-0002-0000-0400-000002000000}">
      <formula1>0</formula1>
      <formula2>0</formula2>
    </dataValidation>
    <dataValidation allowBlank="1" showInputMessage="1" showErrorMessage="1" prompt="This metric reflects the context by which vulnerability exploitation is possible. This metric will be larger the more remote (logically, and physically) an attacker can be, in order to exploit the vulnerable component." sqref="M4 AF4" xr:uid="{00000000-0002-0000-0400-000003000000}">
      <formula1>0</formula1>
      <formula2>0</formula2>
    </dataValidation>
    <dataValidation allowBlank="1" showInputMessage="1" showErrorMessage="1" prompt="This metric describes the conditions beyond the attacker's control that must exist in order to exploit the vulnerability. The metric is largest for the least complex attacks." sqref="N4 AG4" xr:uid="{00000000-0002-0000-0400-000004000000}">
      <formula1>0</formula1>
      <formula2>0</formula2>
    </dataValidation>
    <dataValidation allowBlank="1" showInputMessage="1" showErrorMessage="1" prompt="This metric describes the level of privileges an attacker must possess before successfully exploiting the vulnerability. This metric is largest if no privileges are required." sqref="O4 AH4" xr:uid="{00000000-0002-0000-0400-000005000000}">
      <formula1>0</formula1>
      <formula2>0</formula2>
    </dataValidation>
    <dataValidation allowBlank="1" showInputMessage="1" showErrorMessage="1" prompt="This metric determines wether the vulnerability can be exploited solely at the will of the attacker, or wether a separate user (or user initiated process) must participate in some manner. The metric is largest when no user interaction is required." sqref="P4 AI4" xr:uid="{00000000-0002-0000-0400-000006000000}">
      <formula1>0</formula1>
      <formula2>0</formula2>
    </dataValidation>
    <dataValidation allowBlank="1" showInputMessage="1" showErrorMessage="1" prompt="A scope change is the ability for a vulnerability in one software component to impact resources beyond its means, or privilege." sqref="Q4 AJ4" xr:uid="{00000000-0002-0000-0400-000007000000}">
      <formula1>0</formula1>
      <formula2>0</formula2>
    </dataValidation>
    <dataValidation allowBlank="1" showInputMessage="1" showErrorMessage="1" prompt="Threat event initiation is assessed by taking into consideration the characteristics of the threat sources of concern including capability, intent, and targeting." sqref="V4" xr:uid="{00000000-0002-0000-0400-000008000000}">
      <formula1>0</formula1>
      <formula2>0</formula2>
    </dataValidation>
  </dataValidations>
  <pageMargins left="0.25" right="0.25" top="0.75" bottom="0.75" header="0.3" footer="0.3"/>
  <pageSetup paperSize="8" scale="26" firstPageNumber="0" fitToHeight="0" orientation="landscape" r:id="rId1"/>
  <headerFooter>
    <oddFooter>&amp;L&amp;"Cambria,Regular"&amp;8Stryker Confidential&amp;R&amp;"Cambria,Regular"&amp;8Page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400-000009000000}">
          <x14:formula1>
            <xm:f>'Reference - CVSSv3.0'!$B$16:$B$19</xm:f>
          </x14:formula1>
          <x14:formula2>
            <xm:f>0</xm:f>
          </x14:formula2>
          <xm:sqref>J5:L104 AC5:AE104 N96:O96</xm:sqref>
        </x14:dataValidation>
        <x14:dataValidation type="list" allowBlank="1" showInputMessage="1" showErrorMessage="1" xr:uid="{00000000-0002-0000-0400-00000A000000}">
          <x14:formula1>
            <xm:f>'Reference - CVSSv3.0'!$E$7:$E$9</xm:f>
          </x14:formula1>
          <x14:formula2>
            <xm:f>0</xm:f>
          </x14:formula2>
          <xm:sqref>N5:O95 AG5:AG104 N97:O104</xm:sqref>
        </x14:dataValidation>
        <x14:dataValidation type="list" allowBlank="1" showInputMessage="1" showErrorMessage="1" xr:uid="{00000000-0002-0000-0400-00000B000000}">
          <x14:formula1>
            <xm:f>'Reference - CVSSv3.0'!$B$22:$B$24</xm:f>
          </x14:formula1>
          <x14:formula2>
            <xm:f>0</xm:f>
          </x14:formula2>
          <xm:sqref>Q5:Q104 AJ5:AJ104</xm:sqref>
        </x14:dataValidation>
        <x14:dataValidation type="list" allowBlank="1" showInputMessage="1" showErrorMessage="1" xr:uid="{00000000-0002-0000-0400-00000C000000}">
          <x14:formula1>
            <xm:f>'Reference - CVSSv3.0'!$B$7:$B$11</xm:f>
          </x14:formula1>
          <x14:formula2>
            <xm:f>0</xm:f>
          </x14:formula2>
          <xm:sqref>M5:M104 AF5:AF104</xm:sqref>
        </x14:dataValidation>
        <x14:dataValidation type="list" allowBlank="1" showInputMessage="1" showErrorMessage="1" xr:uid="{00000000-0002-0000-0400-00000D000000}">
          <x14:formula1>
            <xm:f>'Reference - CVSSv3.0'!$H$7:$H$10</xm:f>
          </x14:formula1>
          <x14:formula2>
            <xm:f>0</xm:f>
          </x14:formula2>
          <xm:sqref>AH5:AH104</xm:sqref>
        </x14:dataValidation>
        <x14:dataValidation type="list" allowBlank="1" showInputMessage="1" showErrorMessage="1" xr:uid="{00000000-0002-0000-0400-00000E000000}">
          <x14:formula1>
            <xm:f>'Reference - CVSSv3.0'!$L$7:$L$9</xm:f>
          </x14:formula1>
          <x14:formula2>
            <xm:f>0</xm:f>
          </x14:formula2>
          <xm:sqref>P5:P104 AI5:AI104</xm:sqref>
        </x14:dataValidation>
        <x14:dataValidation type="list" allowBlank="1" showInputMessage="1" showErrorMessage="1" xr:uid="{00000000-0002-0000-0400-00000F000000}">
          <x14:formula1>
            <xm:f>'Reference - CVSSv3.0'!$Q$6:$Q$11</xm:f>
          </x14:formula1>
          <x14:formula2>
            <xm:f>0</xm:f>
          </x14:formula2>
          <xm:sqref>V5:V104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5:AMJ96"/>
  <sheetViews>
    <sheetView view="pageBreakPreview" zoomScale="60" zoomScaleNormal="77" workbookViewId="0">
      <selection activeCell="K12" sqref="K12"/>
    </sheetView>
  </sheetViews>
  <sheetFormatPr defaultColWidth="9.140625" defaultRowHeight="15"/>
  <cols>
    <col min="1" max="1" width="9.140625" style="24"/>
    <col min="2" max="2" width="4.85546875" style="24" customWidth="1"/>
    <col min="3" max="3" width="25.42578125" style="44" customWidth="1"/>
    <col min="4" max="4" width="5" style="24" customWidth="1"/>
    <col min="5" max="5" width="22" style="25" customWidth="1"/>
    <col min="6" max="6" width="6.140625" style="24" customWidth="1"/>
    <col min="7" max="7" width="28.85546875" style="24" customWidth="1"/>
    <col min="8" max="8" width="38" style="24" customWidth="1"/>
    <col min="9" max="9" width="25.42578125" style="24" customWidth="1"/>
    <col min="10" max="10" width="15" style="24" customWidth="1"/>
    <col min="11" max="11" width="35.85546875" style="24" customWidth="1"/>
    <col min="12" max="12" width="15" style="24" customWidth="1"/>
    <col min="13" max="13" width="36.85546875" style="24" customWidth="1"/>
    <col min="14" max="1024" width="9.140625" style="24"/>
  </cols>
  <sheetData>
    <row r="5" spans="1:14" s="26" customFormat="1" ht="14.25">
      <c r="A5" s="2" t="s">
        <v>344</v>
      </c>
      <c r="B5" s="60"/>
      <c r="C5" s="60"/>
      <c r="D5" s="60"/>
      <c r="E5" s="61"/>
      <c r="F5" s="60"/>
      <c r="G5" s="60"/>
      <c r="H5" s="60"/>
      <c r="I5" s="60"/>
      <c r="J5" s="60"/>
      <c r="K5" s="60"/>
      <c r="L5" s="60"/>
      <c r="M5" s="60"/>
    </row>
    <row r="6" spans="1:14" s="26" customFormat="1" ht="14.25">
      <c r="A6" s="2"/>
      <c r="B6" s="60"/>
      <c r="C6" s="60"/>
      <c r="D6" s="60"/>
      <c r="E6" s="61"/>
      <c r="F6" s="60"/>
      <c r="G6" s="60"/>
      <c r="H6" s="60"/>
      <c r="I6" s="60"/>
      <c r="J6" s="60"/>
      <c r="K6" s="60"/>
      <c r="L6" s="60"/>
      <c r="M6" s="60"/>
    </row>
    <row r="7" spans="1:14" s="26" customFormat="1" ht="14.25">
      <c r="A7" s="2"/>
      <c r="B7" s="60"/>
      <c r="C7" s="60"/>
      <c r="D7" s="60"/>
      <c r="E7" s="61"/>
      <c r="F7" s="60"/>
      <c r="G7" s="60"/>
      <c r="H7" s="60"/>
      <c r="I7" s="60"/>
      <c r="J7" s="60"/>
      <c r="K7" s="60"/>
      <c r="L7" s="60"/>
      <c r="M7" s="60"/>
    </row>
    <row r="8" spans="1:14" s="26" customFormat="1" ht="28.5">
      <c r="A8" s="103" t="s">
        <v>224</v>
      </c>
      <c r="B8" s="104" t="s">
        <v>225</v>
      </c>
      <c r="C8" s="105" t="s">
        <v>226</v>
      </c>
      <c r="D8" s="106" t="s">
        <v>227</v>
      </c>
      <c r="E8" s="107" t="s">
        <v>228</v>
      </c>
      <c r="F8" s="108" t="s">
        <v>229</v>
      </c>
      <c r="G8" s="109" t="s">
        <v>345</v>
      </c>
      <c r="H8" s="109" t="s">
        <v>230</v>
      </c>
      <c r="I8" s="110" t="s">
        <v>231</v>
      </c>
      <c r="J8" s="111" t="s">
        <v>346</v>
      </c>
      <c r="K8" s="112" t="s">
        <v>248</v>
      </c>
      <c r="L8" s="113" t="s">
        <v>347</v>
      </c>
      <c r="M8" s="114" t="s">
        <v>265</v>
      </c>
      <c r="N8"/>
    </row>
    <row r="9" spans="1:14" s="26" customFormat="1" ht="156.75">
      <c r="A9" s="49">
        <f>Table4[[#This Row],[
ID '#]]</f>
        <v>5</v>
      </c>
      <c r="B9" s="115" t="str">
        <f>IF(Table4[[#This Row],[T ID]]&gt;0,Table4[[#This Row],[T ID]],"")</f>
        <v>T01</v>
      </c>
      <c r="C9" s="19" t="str">
        <f>Table4[[#This Row],[Threat Event(s)]]</f>
        <v>Deliver undirected malware
(CAPEC-185)</v>
      </c>
      <c r="D9" s="36" t="str">
        <f>IF(Table4[[#This Row],[V ID]]&gt;0,Table4[[#This Row],[V ID]],"")</f>
        <v>V22</v>
      </c>
      <c r="E9" s="19" t="str">
        <f>Table4[[#This Row],[Vulnerabilities]]</f>
        <v>Legacy system identification if any</v>
      </c>
      <c r="F9" s="36" t="str">
        <f>IF(Table4[[#This Row],[A ID]]&gt;0,Table4[[#This Row],[A ID]],"")</f>
        <v>A03</v>
      </c>
      <c r="G9" s="19" t="str">
        <f>Table4[[#This Row],[Asset]]</f>
        <v>Smart medic (Stryker device) System Component</v>
      </c>
      <c r="H9" s="19" t="str">
        <f>IF(Table4[[#This Row],[Impact Description]]&gt;0,Table4[[#This Row],[Impact Description]],"")</f>
        <v xml:space="preserve">1) Malicious utilization of  computer resources 
2) computing power  
3) denial of service attacks, 
4) ransomware attack 
5) Bitcoin mining, etc </v>
      </c>
      <c r="I9" s="36" t="str">
        <f>IF(Table4[[#This Row],[Safety Impact 
(Risk ID'# or N/A)]]&gt;0,Table4[[#This Row],[Safety Impact 
(Risk ID'# or N/A)]],"")</f>
        <v>NA</v>
      </c>
      <c r="J9" s="89" t="str">
        <f>Table4[[#This Row],[Security 
Risk 
Level]]</f>
        <v>LOW</v>
      </c>
      <c r="K9"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9" s="89" t="str">
        <f>Table4[[#This Row],[Security Risk LevelP]]</f>
        <v/>
      </c>
      <c r="M9" s="36" t="str">
        <f>IF(Table4[[#This Row],[Residual Security Risk Acceptability Justification]]&gt;0,Table4[[#This Row],[Residual Security Risk Acceptability Justification]],"")</f>
        <v/>
      </c>
    </row>
    <row r="10" spans="1:14" s="26" customFormat="1" ht="156.75">
      <c r="A10" s="49">
        <f>Table4[[#This Row],[
ID '#]]</f>
        <v>6</v>
      </c>
      <c r="B10" s="115" t="str">
        <f>IF(Table4[[#This Row],[T ID]]&gt;0,Table4[[#This Row],[T ID]],"")</f>
        <v>T01</v>
      </c>
      <c r="C10" s="88" t="str">
        <f>Table4[[#This Row],[Threat Event(s)]]</f>
        <v>Deliver undirected malware
(CAPEC-185)</v>
      </c>
      <c r="D10" s="36" t="str">
        <f>IF(Table4[[#This Row],[V ID]]&gt;0,Table4[[#This Row],[V ID]],"")</f>
        <v>V22</v>
      </c>
      <c r="E10" s="88" t="str">
        <f>Table4[[#This Row],[Vulnerabilities]]</f>
        <v>Legacy system identification if any</v>
      </c>
      <c r="F10" s="116" t="str">
        <f>IF(Table4[[#This Row],[A ID]]&gt;0,Table4[[#This Row],[A ID]],"")</f>
        <v>A01</v>
      </c>
      <c r="G10" s="88" t="str">
        <f>Table4[[#This Row],[Asset]]</f>
        <v>Tablet Resources - web cam, microphone, OTG devices, Removable USB, Tablet Application, Network interfaces (Bluetooth, Wifi)</v>
      </c>
      <c r="H10" s="19" t="str">
        <f>IF(Table4[[#This Row],[Impact Description]]&gt;0,Table4[[#This Row],[Impact Description]],"")</f>
        <v xml:space="preserve">1) Malicious utilization of  computer resources 
2) computing power  
3) denial of service attacks, 
4) ransomware attack 
5) Bitcoin mining, etc </v>
      </c>
      <c r="I10" s="36" t="str">
        <f>IF(Table4[[#This Row],[Safety Impact 
(Risk ID'# or N/A)]]&gt;0,Table4[[#This Row],[Safety Impact 
(Risk ID'# or N/A)]],"")</f>
        <v>NA</v>
      </c>
      <c r="J10" s="18" t="str">
        <f>Table4[[#This Row],[Security 
Risk 
Level]]</f>
        <v>LOW</v>
      </c>
      <c r="K10"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0" s="94" t="str">
        <f>Table4[[#This Row],[Security Risk LevelP]]</f>
        <v/>
      </c>
      <c r="M10" s="36" t="str">
        <f>IF(Table4[[#This Row],[Residual Security Risk Acceptability Justification]]&gt;0,Table4[[#This Row],[Residual Security Risk Acceptability Justification]],"")</f>
        <v/>
      </c>
    </row>
    <row r="11" spans="1:14" s="26" customFormat="1" ht="156.75">
      <c r="A11" s="49">
        <f>Table4[[#This Row],[
ID '#]]</f>
        <v>7</v>
      </c>
      <c r="B11" s="115" t="str">
        <f>IF(Table4[[#This Row],[T ID]]&gt;0,Table4[[#This Row],[T ID]],"")</f>
        <v>T01</v>
      </c>
      <c r="C11" s="19" t="str">
        <f>Table4[[#This Row],[Threat Event(s)]]</f>
        <v>Deliver undirected malware
(CAPEC-185)</v>
      </c>
      <c r="D11" s="36" t="str">
        <f>IF(Table4[[#This Row],[V ID]]&gt;0,Table4[[#This Row],[V ID]],"")</f>
        <v>V08</v>
      </c>
      <c r="E11" s="19" t="str">
        <f>Table4[[#This Row],[Vulnerabilities]]</f>
        <v>Ineffective patch management of firware, OS and applications thoughout the information system plan</v>
      </c>
      <c r="F11" s="36" t="str">
        <f>IF(Table4[[#This Row],[A ID]]&gt;0,Table4[[#This Row],[A ID]],"")</f>
        <v>A05</v>
      </c>
      <c r="G11" s="19" t="str">
        <f>Table4[[#This Row],[Asset]]</f>
        <v>Device Maintainence tool (Hardware/Software)</v>
      </c>
      <c r="H11" s="19" t="str">
        <f>IF(Table4[[#This Row],[Impact Description]]&gt;0,Table4[[#This Row],[Impact Description]],"")</f>
        <v xml:space="preserve">1) Malicious utilization of  computer resources 
2) computing power  
3) denial of service attacks, 
4) ransomware attack 
5) Bitcoin mining, etc </v>
      </c>
      <c r="I11" s="36" t="str">
        <f>IF(Table4[[#This Row],[Safety Impact 
(Risk ID'# or N/A)]]&gt;0,Table4[[#This Row],[Safety Impact 
(Risk ID'# or N/A)]],"")</f>
        <v>NA</v>
      </c>
      <c r="J11" s="89" t="str">
        <f>Table4[[#This Row],[Security 
Risk 
Level]]</f>
        <v>LOW</v>
      </c>
      <c r="K11"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1" s="89" t="str">
        <f>Table4[[#This Row],[Security Risk LevelP]]</f>
        <v/>
      </c>
      <c r="M11" s="36" t="str">
        <f>IF(Table4[[#This Row],[Residual Security Risk Acceptability Justification]]&gt;0,Table4[[#This Row],[Residual Security Risk Acceptability Justification]],"")</f>
        <v/>
      </c>
    </row>
    <row r="12" spans="1:14" s="26" customFormat="1" ht="156.75">
      <c r="A12" s="49">
        <f>Table4[[#This Row],[
ID '#]]</f>
        <v>8</v>
      </c>
      <c r="B12" s="115" t="str">
        <f>IF(Table4[[#This Row],[T ID]]&gt;0,Table4[[#This Row],[T ID]],"")</f>
        <v>T01</v>
      </c>
      <c r="C12" s="88" t="str">
        <f>Table4[[#This Row],[Threat Event(s)]]</f>
        <v>Deliver undirected malware
(CAPEC-185)</v>
      </c>
      <c r="D12" s="36" t="str">
        <f>IF(Table4[[#This Row],[V ID]]&gt;0,Table4[[#This Row],[V ID]],"")</f>
        <v>V08</v>
      </c>
      <c r="E12" s="88" t="str">
        <f>Table4[[#This Row],[Vulnerabilities]]</f>
        <v>Ineffective patch management of firware, OS and applications thoughout the information system plan</v>
      </c>
      <c r="F12" s="116" t="str">
        <f>IF(Table4[[#This Row],[A ID]]&gt;0,Table4[[#This Row],[A ID]],"")</f>
        <v>A01</v>
      </c>
      <c r="G12" s="88" t="str">
        <f>Table4[[#This Row],[Asset]]</f>
        <v>Tablet Resources - web cam, microphone, OTG devices, Removable USB, Tablet Application, Network interfaces (Bluetooth, Wifi)</v>
      </c>
      <c r="H12" s="19" t="str">
        <f>IF(Table4[[#This Row],[Impact Description]]&gt;0,Table4[[#This Row],[Impact Description]],"")</f>
        <v xml:space="preserve">1) Malicious utilization of  computer resources 
2) computing power  
3) denial of service attacks, 
4) ransomware attack 
5) Bitcoin mining, etc </v>
      </c>
      <c r="I12" s="36" t="str">
        <f>IF(Table4[[#This Row],[Safety Impact 
(Risk ID'# or N/A)]]&gt;0,Table4[[#This Row],[Safety Impact 
(Risk ID'# or N/A)]],"")</f>
        <v>NA</v>
      </c>
      <c r="J12" s="18" t="str">
        <f>Table4[[#This Row],[Security 
Risk 
Level]]</f>
        <v>LOW</v>
      </c>
      <c r="K12"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2" s="94" t="str">
        <f>Table4[[#This Row],[Security Risk LevelP]]</f>
        <v/>
      </c>
      <c r="M12" s="36" t="str">
        <f>IF(Table4[[#This Row],[Residual Security Risk Acceptability Justification]]&gt;0,Table4[[#This Row],[Residual Security Risk Acceptability Justification]],"")</f>
        <v/>
      </c>
    </row>
    <row r="13" spans="1:14" s="26" customFormat="1" ht="156.75">
      <c r="A13" s="49">
        <f>Table4[[#This Row],[
ID '#]]</f>
        <v>9</v>
      </c>
      <c r="B13" s="115" t="str">
        <f>IF(Table4[[#This Row],[T ID]]&gt;0,Table4[[#This Row],[T ID]],"")</f>
        <v>T01</v>
      </c>
      <c r="C13" s="88" t="str">
        <f>Table4[[#This Row],[Threat Event(s)]]</f>
        <v>Deliver undirected malware
(CAPEC-185)</v>
      </c>
      <c r="D13" s="36" t="str">
        <f>IF(Table4[[#This Row],[V ID]]&gt;0,Table4[[#This Row],[V ID]],"")</f>
        <v>V08</v>
      </c>
      <c r="E13" s="88" t="str">
        <f>Table4[[#This Row],[Vulnerabilities]]</f>
        <v>Ineffective patch management of firware, OS and applications thoughout the information system plan</v>
      </c>
      <c r="F13" s="116" t="str">
        <f>IF(Table4[[#This Row],[A ID]]&gt;0,Table4[[#This Row],[A ID]],"")</f>
        <v>A03</v>
      </c>
      <c r="G13" s="88" t="str">
        <f>Table4[[#This Row],[Asset]]</f>
        <v>Smart medic (Stryker device) System Component</v>
      </c>
      <c r="H13" s="19" t="str">
        <f>IF(Table4[[#This Row],[Impact Description]]&gt;0,Table4[[#This Row],[Impact Description]],"")</f>
        <v xml:space="preserve">1) Malicious utilization of  computer resources 
2) computing power  
3) denial of service attacks, 
4) ransomware attack 
5) Bitcoin mining, etc </v>
      </c>
      <c r="I13" s="36" t="str">
        <f>IF(Table4[[#This Row],[Safety Impact 
(Risk ID'# or N/A)]]&gt;0,Table4[[#This Row],[Safety Impact 
(Risk ID'# or N/A)]],"")</f>
        <v>NA</v>
      </c>
      <c r="J13" s="18" t="str">
        <f>Table4[[#This Row],[Security 
Risk 
Level]]</f>
        <v>LOW</v>
      </c>
      <c r="K13"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3" s="94" t="str">
        <f>Table4[[#This Row],[Security Risk LevelP]]</f>
        <v/>
      </c>
      <c r="M13" s="36" t="str">
        <f>IF(Table4[[#This Row],[Residual Security Risk Acceptability Justification]]&gt;0,Table4[[#This Row],[Residual Security Risk Acceptability Justification]],"")</f>
        <v/>
      </c>
    </row>
    <row r="14" spans="1:14" s="26" customFormat="1" ht="156.75">
      <c r="A14" s="49">
        <f>Table4[[#This Row],[
ID '#]]</f>
        <v>10</v>
      </c>
      <c r="B14" s="115" t="str">
        <f>IF(Table4[[#This Row],[T ID]]&gt;0,Table4[[#This Row],[T ID]],"")</f>
        <v>T01</v>
      </c>
      <c r="C14" s="88" t="str">
        <f>Table4[[#This Row],[Threat Event(s)]]</f>
        <v>Deliver undirected malware
(CAPEC-185)</v>
      </c>
      <c r="D14" s="36" t="str">
        <f>IF(Table4[[#This Row],[V ID]]&gt;0,Table4[[#This Row],[V ID]],"")</f>
        <v>V09</v>
      </c>
      <c r="E14" s="88" t="str">
        <f>Table4[[#This Row],[Vulnerabilities]]</f>
        <v xml:space="preserve">Lack of plan for periodic Software Vulnerability Management </v>
      </c>
      <c r="F14" s="116" t="str">
        <f>IF(Table4[[#This Row],[A ID]]&gt;0,Table4[[#This Row],[A ID]],"")</f>
        <v>A05</v>
      </c>
      <c r="G14" s="88" t="str">
        <f>Table4[[#This Row],[Asset]]</f>
        <v>Device Maintainence tool (Hardware/Software)</v>
      </c>
      <c r="H14" s="19" t="str">
        <f>IF(Table4[[#This Row],[Impact Description]]&gt;0,Table4[[#This Row],[Impact Description]],"")</f>
        <v xml:space="preserve">1) Malicious utilization of  computer resources 
2) computing power  
3) denial of service attacks, 
4) ransomware attack 
5) Bitcoin mining, etc </v>
      </c>
      <c r="I14" s="36" t="str">
        <f>IF(Table4[[#This Row],[Safety Impact 
(Risk ID'# or N/A)]]&gt;0,Table4[[#This Row],[Safety Impact 
(Risk ID'# or N/A)]],"")</f>
        <v>NA</v>
      </c>
      <c r="J14" s="18" t="str">
        <f>Table4[[#This Row],[Security 
Risk 
Level]]</f>
        <v>LOW</v>
      </c>
      <c r="K14"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4" s="94" t="str">
        <f>Table4[[#This Row],[Security Risk LevelP]]</f>
        <v/>
      </c>
      <c r="M14" s="36" t="str">
        <f>IF(Table4[[#This Row],[Residual Security Risk Acceptability Justification]]&gt;0,Table4[[#This Row],[Residual Security Risk Acceptability Justification]],"")</f>
        <v/>
      </c>
    </row>
    <row r="15" spans="1:14" s="26" customFormat="1" ht="156.75">
      <c r="A15" s="49">
        <f>Table4[[#This Row],[
ID '#]]</f>
        <v>11</v>
      </c>
      <c r="B15" s="115" t="str">
        <f>IF(Table4[[#This Row],[T ID]]&gt;0,Table4[[#This Row],[T ID]],"")</f>
        <v>T01</v>
      </c>
      <c r="C15" s="88" t="str">
        <f>Table4[[#This Row],[Threat Event(s)]]</f>
        <v>Deliver undirected malware
(CAPEC-185)</v>
      </c>
      <c r="D15" s="36" t="str">
        <f>IF(Table4[[#This Row],[V ID]]&gt;0,Table4[[#This Row],[V ID]],"")</f>
        <v>V09</v>
      </c>
      <c r="E15" s="88" t="str">
        <f>Table4[[#This Row],[Vulnerabilities]]</f>
        <v xml:space="preserve">Lack of plan for periodic Software Vulnerability Management </v>
      </c>
      <c r="F15" s="116" t="str">
        <f>IF(Table4[[#This Row],[A ID]]&gt;0,Table4[[#This Row],[A ID]],"")</f>
        <v>A01</v>
      </c>
      <c r="G15" s="88" t="str">
        <f>Table4[[#This Row],[Asset]]</f>
        <v>Tablet Resources - web cam, microphone, OTG devices, Removable USB, Tablet Application, Network interfaces (Bluetooth, Wifi)</v>
      </c>
      <c r="H15" s="19" t="str">
        <f>IF(Table4[[#This Row],[Impact Description]]&gt;0,Table4[[#This Row],[Impact Description]],"")</f>
        <v xml:space="preserve">1) Malicious utilization of  computer resources 
2) computing power  
3) denial of service attacks, 
4) ransomware attack 
5) Bitcoin mining, etc </v>
      </c>
      <c r="I15" s="36" t="str">
        <f>IF(Table4[[#This Row],[Safety Impact 
(Risk ID'# or N/A)]]&gt;0,Table4[[#This Row],[Safety Impact 
(Risk ID'# or N/A)]],"")</f>
        <v>NA</v>
      </c>
      <c r="J15" s="18" t="str">
        <f>Table4[[#This Row],[Security 
Risk 
Level]]</f>
        <v>LOW</v>
      </c>
      <c r="K15"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5" s="94" t="str">
        <f>Table4[[#This Row],[Security Risk LevelP]]</f>
        <v/>
      </c>
      <c r="M15" s="36" t="str">
        <f>IF(Table4[[#This Row],[Residual Security Risk Acceptability Justification]]&gt;0,Table4[[#This Row],[Residual Security Risk Acceptability Justification]],"")</f>
        <v/>
      </c>
    </row>
    <row r="16" spans="1:14" s="26" customFormat="1" ht="156.75">
      <c r="A16" s="49">
        <f>Table4[[#This Row],[
ID '#]]</f>
        <v>12</v>
      </c>
      <c r="B16" s="115" t="str">
        <f>IF(Table4[[#This Row],[T ID]]&gt;0,Table4[[#This Row],[T ID]],"")</f>
        <v>T01</v>
      </c>
      <c r="C16" s="88" t="str">
        <f>Table4[[#This Row],[Threat Event(s)]]</f>
        <v>Deliver undirected malware
(CAPEC-185)</v>
      </c>
      <c r="D16" s="36" t="str">
        <f>IF(Table4[[#This Row],[V ID]]&gt;0,Table4[[#This Row],[V ID]],"")</f>
        <v>V09</v>
      </c>
      <c r="E16" s="88" t="str">
        <f>Table4[[#This Row],[Vulnerabilities]]</f>
        <v xml:space="preserve">Lack of plan for periodic Software Vulnerability Management </v>
      </c>
      <c r="F16" s="116" t="str">
        <f>IF(Table4[[#This Row],[A ID]]&gt;0,Table4[[#This Row],[A ID]],"")</f>
        <v>A03</v>
      </c>
      <c r="G16" s="88" t="str">
        <f>Table4[[#This Row],[Asset]]</f>
        <v>Smart medic (Stryker device) System Component</v>
      </c>
      <c r="H16" s="19" t="str">
        <f>IF(Table4[[#This Row],[Impact Description]]&gt;0,Table4[[#This Row],[Impact Description]],"")</f>
        <v xml:space="preserve">1) Malicious utilization of  computer resources 2) computing power  
3) denial of service attacks, 
4) ransomware attack 
5) Bitcoin mining, etc </v>
      </c>
      <c r="I16" s="36" t="str">
        <f>IF(Table4[[#This Row],[Safety Impact 
(Risk ID'# or N/A)]]&gt;0,Table4[[#This Row],[Safety Impact 
(Risk ID'# or N/A)]],"")</f>
        <v>NA</v>
      </c>
      <c r="J16" s="18" t="str">
        <f>Table4[[#This Row],[Security 
Risk 
Level]]</f>
        <v>LOW</v>
      </c>
      <c r="K16"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6" s="94" t="str">
        <f>Table4[[#This Row],[Security Risk LevelP]]</f>
        <v/>
      </c>
      <c r="M16" s="36" t="str">
        <f>IF(Table4[[#This Row],[Residual Security Risk Acceptability Justification]]&gt;0,Table4[[#This Row],[Residual Security Risk Acceptability Justification]],"")</f>
        <v/>
      </c>
    </row>
    <row r="17" spans="1:13" s="26" customFormat="1" ht="156.75">
      <c r="A17" s="49">
        <f>Table4[[#This Row],[
ID '#]]</f>
        <v>13</v>
      </c>
      <c r="B17" s="115" t="str">
        <f>IF(Table4[[#This Row],[T ID]]&gt;0,Table4[[#This Row],[T ID]],"")</f>
        <v>T01</v>
      </c>
      <c r="C17" s="88" t="str">
        <f>Table4[[#This Row],[Threat Event(s)]]</f>
        <v>Deliver undirected malware
(CAPEC-185)</v>
      </c>
      <c r="D17" s="36" t="str">
        <f>IF(Table4[[#This Row],[V ID]]&gt;0,Table4[[#This Row],[V ID]],"")</f>
        <v>V12</v>
      </c>
      <c r="E17" s="88" t="str">
        <f>Table4[[#This Row],[Vulnerabilities]]</f>
        <v>Unprotected network port(s) on network devices and connection points</v>
      </c>
      <c r="F17" s="116" t="str">
        <f>IF(Table4[[#This Row],[A ID]]&gt;0,Table4[[#This Row],[A ID]],"")</f>
        <v>A01</v>
      </c>
      <c r="G17" s="88" t="str">
        <f>Table4[[#This Row],[Asset]]</f>
        <v>Tablet Resources - web cam, microphone, OTG devices, Removable USB, Tablet Application, Network interfaces (Bluetooth, Wifi)</v>
      </c>
      <c r="H17" s="19" t="str">
        <f>IF(Table4[[#This Row],[Impact Description]]&gt;0,Table4[[#This Row],[Impact Description]],"")</f>
        <v xml:space="preserve">1) Malicious utilization of  computer resources 
2) computing power  
3) denial of service attacks, 
4) ransomware attack 
5) Bitcoin mining, etc </v>
      </c>
      <c r="I17" s="36" t="str">
        <f>IF(Table4[[#This Row],[Safety Impact 
(Risk ID'# or N/A)]]&gt;0,Table4[[#This Row],[Safety Impact 
(Risk ID'# or N/A)]],"")</f>
        <v>NA</v>
      </c>
      <c r="J17" s="18" t="str">
        <f>Table4[[#This Row],[Security 
Risk 
Level]]</f>
        <v>LOW</v>
      </c>
      <c r="K17"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7" s="94" t="str">
        <f>Table4[[#This Row],[Security Risk LevelP]]</f>
        <v/>
      </c>
      <c r="M17" s="36" t="str">
        <f>IF(Table4[[#This Row],[Residual Security Risk Acceptability Justification]]&gt;0,Table4[[#This Row],[Residual Security Risk Acceptability Justification]],"")</f>
        <v/>
      </c>
    </row>
    <row r="18" spans="1:13" s="26" customFormat="1" ht="156.75">
      <c r="A18" s="49">
        <f>Table4[[#This Row],[
ID '#]]</f>
        <v>14</v>
      </c>
      <c r="B18" s="115" t="str">
        <f>IF(Table4[[#This Row],[T ID]]&gt;0,Table4[[#This Row],[T ID]],"")</f>
        <v>T01</v>
      </c>
      <c r="C18" s="88" t="str">
        <f>Table4[[#This Row],[Threat Event(s)]]</f>
        <v>Deliver undirected malware
(CAPEC-185)</v>
      </c>
      <c r="D18" s="36" t="str">
        <f>IF(Table4[[#This Row],[V ID]]&gt;0,Table4[[#This Row],[V ID]],"")</f>
        <v>V12</v>
      </c>
      <c r="E18" s="88" t="str">
        <f>Table4[[#This Row],[Vulnerabilities]]</f>
        <v>Unprotected network port(s) on network devices and connection points</v>
      </c>
      <c r="F18" s="116" t="str">
        <f>IF(Table4[[#This Row],[A ID]]&gt;0,Table4[[#This Row],[A ID]],"")</f>
        <v>A03</v>
      </c>
      <c r="G18" s="88" t="str">
        <f>Table4[[#This Row],[Asset]]</f>
        <v>Smart medic (Stryker device) System Component</v>
      </c>
      <c r="H18" s="19" t="str">
        <f>IF(Table4[[#This Row],[Impact Description]]&gt;0,Table4[[#This Row],[Impact Description]],"")</f>
        <v xml:space="preserve">1) Malicious utilization of  computer resources 
2) computing power  
3) denial of service attacks, 
4) ransomware attack 
5) Bitcoin mining, etc </v>
      </c>
      <c r="I18" s="36" t="str">
        <f>IF(Table4[[#This Row],[Safety Impact 
(Risk ID'# or N/A)]]&gt;0,Table4[[#This Row],[Safety Impact 
(Risk ID'# or N/A)]],"")</f>
        <v>NA</v>
      </c>
      <c r="J18" s="18" t="str">
        <f>Table4[[#This Row],[Security 
Risk 
Level]]</f>
        <v>LOW</v>
      </c>
      <c r="K18"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8" s="94" t="str">
        <f>Table4[[#This Row],[Security Risk LevelP]]</f>
        <v/>
      </c>
      <c r="M18" s="36" t="str">
        <f>IF(Table4[[#This Row],[Residual Security Risk Acceptability Justification]]&gt;0,Table4[[#This Row],[Residual Security Risk Acceptability Justification]],"")</f>
        <v/>
      </c>
    </row>
    <row r="19" spans="1:13" s="26" customFormat="1" ht="156.75">
      <c r="A19" s="49">
        <f>Table4[[#This Row],[
ID '#]]</f>
        <v>15</v>
      </c>
      <c r="B19" s="115" t="str">
        <f>IF(Table4[[#This Row],[T ID]]&gt;0,Table4[[#This Row],[T ID]],"")</f>
        <v>T01</v>
      </c>
      <c r="C19" s="88" t="str">
        <f>Table4[[#This Row],[Threat Event(s)]]</f>
        <v>Deliver undirected malware
(CAPEC-185)</v>
      </c>
      <c r="D19" s="36" t="str">
        <f>IF(Table4[[#This Row],[V ID]]&gt;0,Table4[[#This Row],[V ID]],"")</f>
        <v>V16</v>
      </c>
      <c r="E19" s="88" t="str">
        <f>Table4[[#This Row],[Vulnerabilities]]</f>
        <v>Unencrypted data at rest in all possible locations</v>
      </c>
      <c r="F19" s="116" t="str">
        <f>IF(Table4[[#This Row],[A ID]]&gt;0,Table4[[#This Row],[A ID]],"")</f>
        <v>A01</v>
      </c>
      <c r="G19" s="88" t="str">
        <f>Table4[[#This Row],[Asset]]</f>
        <v>Tablet Resources - web cam, microphone, OTG devices, Removable USB, Tablet Application, Network interfaces (Bluetooth, Wifi)</v>
      </c>
      <c r="H19" s="19" t="str">
        <f>IF(Table4[[#This Row],[Impact Description]]&gt;0,Table4[[#This Row],[Impact Description]],"")</f>
        <v xml:space="preserve">1) Malicious utilization of  computer resources 
2) computing power  
3) denial of service attacks, 
4) ransomware attack 
5) Bitcoin mining, etc </v>
      </c>
      <c r="I19" s="36" t="str">
        <f>IF(Table4[[#This Row],[Safety Impact 
(Risk ID'# or N/A)]]&gt;0,Table4[[#This Row],[Safety Impact 
(Risk ID'# or N/A)]],"")</f>
        <v>NA</v>
      </c>
      <c r="J19" s="18" t="str">
        <f>Table4[[#This Row],[Security 
Risk 
Level]]</f>
        <v>LOW</v>
      </c>
      <c r="K19"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9" s="94" t="str">
        <f>Table4[[#This Row],[Security Risk LevelP]]</f>
        <v/>
      </c>
      <c r="M19" s="36" t="str">
        <f>IF(Table4[[#This Row],[Residual Security Risk Acceptability Justification]]&gt;0,Table4[[#This Row],[Residual Security Risk Acceptability Justification]],"")</f>
        <v/>
      </c>
    </row>
    <row r="20" spans="1:13" s="26" customFormat="1" ht="156.75">
      <c r="A20" s="49">
        <f>Table4[[#This Row],[
ID '#]]</f>
        <v>16</v>
      </c>
      <c r="B20" s="115" t="str">
        <f>IF(Table4[[#This Row],[T ID]]&gt;0,Table4[[#This Row],[T ID]],"")</f>
        <v>T01</v>
      </c>
      <c r="C20" s="88" t="str">
        <f>Table4[[#This Row],[Threat Event(s)]]</f>
        <v>Deliver undirected malware
(CAPEC-185)</v>
      </c>
      <c r="D20" s="36" t="str">
        <f>IF(Table4[[#This Row],[V ID]]&gt;0,Table4[[#This Row],[V ID]],"")</f>
        <v>V17</v>
      </c>
      <c r="E20" s="88" t="str">
        <f>Table4[[#This Row],[Vulnerabilities]]</f>
        <v>Unencrypted data in transit in all flowchannels</v>
      </c>
      <c r="F20" s="116" t="str">
        <f>IF(Table4[[#This Row],[A ID]]&gt;0,Table4[[#This Row],[A ID]],"")</f>
        <v>A03</v>
      </c>
      <c r="G20" s="88" t="str">
        <f>Table4[[#This Row],[Asset]]</f>
        <v>Smart medic (Stryker device) System Component</v>
      </c>
      <c r="H20" s="19" t="str">
        <f>IF(Table4[[#This Row],[Impact Description]]&gt;0,Table4[[#This Row],[Impact Description]],"")</f>
        <v xml:space="preserve">1) Malicious utilization of  computer resources 
2) computing power  
3) denial of service attacks, 
4) ransomware attack 
5) Bitcoin mining, etc </v>
      </c>
      <c r="I20" s="36" t="str">
        <f>IF(Table4[[#This Row],[Safety Impact 
(Risk ID'# or N/A)]]&gt;0,Table4[[#This Row],[Safety Impact 
(Risk ID'# or N/A)]],"")</f>
        <v>NA</v>
      </c>
      <c r="J20" s="18" t="str">
        <f>Table4[[#This Row],[Security 
Risk 
Level]]</f>
        <v>LOW</v>
      </c>
      <c r="K20"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0" s="94" t="str">
        <f>Table4[[#This Row],[Security Risk LevelP]]</f>
        <v/>
      </c>
      <c r="M20" s="36" t="str">
        <f>IF(Table4[[#This Row],[Residual Security Risk Acceptability Justification]]&gt;0,Table4[[#This Row],[Residual Security Risk Acceptability Justification]],"")</f>
        <v/>
      </c>
    </row>
    <row r="21" spans="1:13" s="26" customFormat="1" ht="156.75">
      <c r="A21" s="49">
        <f>Table4[[#This Row],[
ID '#]]</f>
        <v>17</v>
      </c>
      <c r="B21" s="115" t="str">
        <f>IF(Table4[[#This Row],[T ID]]&gt;0,Table4[[#This Row],[T ID]],"")</f>
        <v>T01</v>
      </c>
      <c r="C21" s="88" t="str">
        <f>Table4[[#This Row],[Threat Event(s)]]</f>
        <v>Deliver undirected malware
(CAPEC-185)</v>
      </c>
      <c r="D21" s="36" t="str">
        <f>IF(Table4[[#This Row],[V ID]]&gt;0,Table4[[#This Row],[V ID]],"")</f>
        <v>V17</v>
      </c>
      <c r="E21" s="88" t="str">
        <f>Table4[[#This Row],[Vulnerabilities]]</f>
        <v>Unencrypted data in transit in all flowchannels</v>
      </c>
      <c r="F21" s="116" t="str">
        <f>IF(Table4[[#This Row],[A ID]]&gt;0,Table4[[#This Row],[A ID]],"")</f>
        <v>A01</v>
      </c>
      <c r="G21" s="88" t="str">
        <f>Table4[[#This Row],[Asset]]</f>
        <v>Tablet Resources - web cam, microphone, OTG devices, Removable USB, Tablet Application, Network interfaces (Bluetooth, Wifi)</v>
      </c>
      <c r="H21" s="19" t="str">
        <f>IF(Table4[[#This Row],[Impact Description]]&gt;0,Table4[[#This Row],[Impact Description]],"")</f>
        <v xml:space="preserve">1) Malicious utilization of  computer resources 
2) computing power  
3) denial of service attacks, 
4) ransomware attack 
5) Bitcoin mining, etc </v>
      </c>
      <c r="I21" s="36" t="str">
        <f>IF(Table4[[#This Row],[Safety Impact 
(Risk ID'# or N/A)]]&gt;0,Table4[[#This Row],[Safety Impact 
(Risk ID'# or N/A)]],"")</f>
        <v>NA</v>
      </c>
      <c r="J21" s="18" t="str">
        <f>Table4[[#This Row],[Security 
Risk 
Level]]</f>
        <v>LOW</v>
      </c>
      <c r="K21"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1" s="94" t="str">
        <f>Table4[[#This Row],[Security Risk LevelP]]</f>
        <v/>
      </c>
      <c r="M21" s="36" t="str">
        <f>IF(Table4[[#This Row],[Residual Security Risk Acceptability Justification]]&gt;0,Table4[[#This Row],[Residual Security Risk Acceptability Justification]],"")</f>
        <v/>
      </c>
    </row>
    <row r="22" spans="1:13" s="26" customFormat="1" ht="156.75">
      <c r="A22" s="49">
        <f>Table4[[#This Row],[
ID '#]]</f>
        <v>18</v>
      </c>
      <c r="B22" s="115" t="str">
        <f>IF(Table4[[#This Row],[T ID]]&gt;0,Table4[[#This Row],[T ID]],"")</f>
        <v>T01</v>
      </c>
      <c r="C22" s="88" t="str">
        <f>Table4[[#This Row],[Threat Event(s)]]</f>
        <v>Deliver undirected malware
(CAPEC-185)</v>
      </c>
      <c r="D22" s="36" t="str">
        <f>IF(Table4[[#This Row],[V ID]]&gt;0,Table4[[#This Row],[V ID]],"")</f>
        <v>V23</v>
      </c>
      <c r="E22" s="88" t="str">
        <f>Table4[[#This Row],[Vulnerabilities]]</f>
        <v>Outdated  - Software/Hardware</v>
      </c>
      <c r="F22" s="116" t="str">
        <f>IF(Table4[[#This Row],[A ID]]&gt;0,Table4[[#This Row],[A ID]],"")</f>
        <v>A05</v>
      </c>
      <c r="G22" s="88" t="str">
        <f>Table4[[#This Row],[Asset]]</f>
        <v>Device Maintainence tool (Hardware/Software)</v>
      </c>
      <c r="H22" s="19" t="str">
        <f>IF(Table4[[#This Row],[Impact Description]]&gt;0,Table4[[#This Row],[Impact Description]],"")</f>
        <v xml:space="preserve">1) Malicious utilization of  computer resources 
2) computing power  
3) denial of service attacks, 
4) ransomware attack 
5) Bitcoin mining, etc </v>
      </c>
      <c r="I22" s="36" t="str">
        <f>IF(Table4[[#This Row],[Safety Impact 
(Risk ID'# or N/A)]]&gt;0,Table4[[#This Row],[Safety Impact 
(Risk ID'# or N/A)]],"")</f>
        <v>NA</v>
      </c>
      <c r="J22" s="18" t="str">
        <f>Table4[[#This Row],[Security 
Risk 
Level]]</f>
        <v>LOW</v>
      </c>
      <c r="K22"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2" s="94" t="str">
        <f>Table4[[#This Row],[Security Risk LevelP]]</f>
        <v/>
      </c>
      <c r="M22" s="36" t="str">
        <f>IF(Table4[[#This Row],[Residual Security Risk Acceptability Justification]]&gt;0,Table4[[#This Row],[Residual Security Risk Acceptability Justification]],"")</f>
        <v/>
      </c>
    </row>
    <row r="23" spans="1:13" s="26" customFormat="1" ht="156.75">
      <c r="A23" s="49">
        <f>Table4[[#This Row],[
ID '#]]</f>
        <v>19</v>
      </c>
      <c r="B23" s="115" t="str">
        <f>IF(Table4[[#This Row],[T ID]]&gt;0,Table4[[#This Row],[T ID]],"")</f>
        <v>T01</v>
      </c>
      <c r="C23" s="88" t="str">
        <f>Table4[[#This Row],[Threat Event(s)]]</f>
        <v>Deliver undirected malware
(CAPEC-185)</v>
      </c>
      <c r="D23" s="36" t="str">
        <f>IF(Table4[[#This Row],[V ID]]&gt;0,Table4[[#This Row],[V ID]],"")</f>
        <v>V23</v>
      </c>
      <c r="E23" s="88" t="str">
        <f>Table4[[#This Row],[Vulnerabilities]]</f>
        <v>Outdated  - Software/Hardware</v>
      </c>
      <c r="F23" s="116" t="str">
        <f>IF(Table4[[#This Row],[A ID]]&gt;0,Table4[[#This Row],[A ID]],"")</f>
        <v>A03</v>
      </c>
      <c r="G23" s="88" t="str">
        <f>Table4[[#This Row],[Asset]]</f>
        <v>Smart medic (Stryker device) System Component</v>
      </c>
      <c r="H23" s="19" t="str">
        <f>IF(Table4[[#This Row],[Impact Description]]&gt;0,Table4[[#This Row],[Impact Description]],"")</f>
        <v xml:space="preserve">1) Malicious utilization of  computer resources 
2) computing power  
3) denial of service attacks, 
4) ransomware attack 
5) Bitcoin mining, etc </v>
      </c>
      <c r="I23" s="36" t="str">
        <f>IF(Table4[[#This Row],[Safety Impact 
(Risk ID'# or N/A)]]&gt;0,Table4[[#This Row],[Safety Impact 
(Risk ID'# or N/A)]],"")</f>
        <v>NA</v>
      </c>
      <c r="J23" s="18" t="str">
        <f>Table4[[#This Row],[Security 
Risk 
Level]]</f>
        <v>LOW</v>
      </c>
      <c r="K23"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3" s="94" t="str">
        <f>Table4[[#This Row],[Security Risk LevelP]]</f>
        <v/>
      </c>
      <c r="M23" s="36" t="str">
        <f>IF(Table4[[#This Row],[Residual Security Risk Acceptability Justification]]&gt;0,Table4[[#This Row],[Residual Security Risk Acceptability Justification]],"")</f>
        <v/>
      </c>
    </row>
    <row r="24" spans="1:13" s="26" customFormat="1" ht="156.75">
      <c r="A24" s="49">
        <f>Table4[[#This Row],[
ID '#]]</f>
        <v>20</v>
      </c>
      <c r="B24" s="115" t="str">
        <f>IF(Table4[[#This Row],[T ID]]&gt;0,Table4[[#This Row],[T ID]],"")</f>
        <v>T01</v>
      </c>
      <c r="C24" s="88" t="str">
        <f>Table4[[#This Row],[Threat Event(s)]]</f>
        <v>Deliver undirected malware
(CAPEC-185)</v>
      </c>
      <c r="D24" s="36" t="str">
        <f>IF(Table4[[#This Row],[V ID]]&gt;0,Table4[[#This Row],[V ID]],"")</f>
        <v>V23</v>
      </c>
      <c r="E24" s="88" t="str">
        <f>Table4[[#This Row],[Vulnerabilities]]</f>
        <v>Outdated  - Software/Hardware</v>
      </c>
      <c r="F24" s="116" t="str">
        <f>IF(Table4[[#This Row],[A ID]]&gt;0,Table4[[#This Row],[A ID]],"")</f>
        <v>A01</v>
      </c>
      <c r="G24" s="88" t="str">
        <f>Table4[[#This Row],[Asset]]</f>
        <v>Tablet Resources - web cam, microphone, OTG devices, Removable USB, Tablet Application, Network interfaces (Bluetooth, Wifi)</v>
      </c>
      <c r="H24" s="19" t="str">
        <f>IF(Table4[[#This Row],[Impact Description]]&gt;0,Table4[[#This Row],[Impact Description]],"")</f>
        <v xml:space="preserve">1) Malicious utilization of  computer resources 
2) computing power  
3) denial of service attacks, 
4) ransomware attack 
5) Bitcoin mining, etc </v>
      </c>
      <c r="I24" s="36" t="str">
        <f>IF(Table4[[#This Row],[Safety Impact 
(Risk ID'# or N/A)]]&gt;0,Table4[[#This Row],[Safety Impact 
(Risk ID'# or N/A)]],"")</f>
        <v>NA</v>
      </c>
      <c r="J24" s="18" t="str">
        <f>Table4[[#This Row],[Security 
Risk 
Level]]</f>
        <v>LOW</v>
      </c>
      <c r="K24"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4" s="94" t="str">
        <f>Table4[[#This Row],[Security Risk LevelP]]</f>
        <v/>
      </c>
      <c r="M24" s="36" t="str">
        <f>IF(Table4[[#This Row],[Residual Security Risk Acceptability Justification]]&gt;0,Table4[[#This Row],[Residual Security Risk Acceptability Justification]],"")</f>
        <v/>
      </c>
    </row>
    <row r="25" spans="1:13" s="26" customFormat="1" ht="156.75">
      <c r="A25" s="49">
        <f>Table4[[#This Row],[
ID '#]]</f>
        <v>21</v>
      </c>
      <c r="B25" s="115" t="str">
        <f>IF(Table4[[#This Row],[T ID]]&gt;0,Table4[[#This Row],[T ID]],"")</f>
        <v>T02</v>
      </c>
      <c r="C25" s="88" t="str">
        <f>Table4[[#This Row],[Threat Event(s)]]</f>
        <v>Deliver directed malware
(CAPEC-185)</v>
      </c>
      <c r="D25" s="36" t="str">
        <f>IF(Table4[[#This Row],[V ID]]&gt;0,Table4[[#This Row],[V ID]],"")</f>
        <v>V21</v>
      </c>
      <c r="E25" s="88" t="str">
        <f>Table4[[#This Row],[Vulnerabilities]]</f>
        <v>InSecure Configuration for Software/OS on Mobile Devices, Laptops, Workstations, and Servers</v>
      </c>
      <c r="F25" s="116" t="str">
        <f>IF(Table4[[#This Row],[A ID]]&gt;0,Table4[[#This Row],[A ID]],"")</f>
        <v>A05</v>
      </c>
      <c r="G25" s="88" t="str">
        <f>Table4[[#This Row],[Asset]]</f>
        <v>Device Maintainence tool (Hardware/Software)</v>
      </c>
      <c r="H25" s="19" t="str">
        <f>IF(Table4[[#This Row],[Impact Description]]&gt;0,Table4[[#This Row],[Impact Description]],"")</f>
        <v xml:space="preserve">1) Malicious utilization of  computer resources 
2) computing power  
3) denial of service attacks, 
4) ransomware attack 
5) Bitcoin mining, etc </v>
      </c>
      <c r="I25" s="36" t="str">
        <f>IF(Table4[[#This Row],[Safety Impact 
(Risk ID'# or N/A)]]&gt;0,Table4[[#This Row],[Safety Impact 
(Risk ID'# or N/A)]],"")</f>
        <v>NA</v>
      </c>
      <c r="J25" s="18" t="str">
        <f>Table4[[#This Row],[Security 
Risk 
Level]]</f>
        <v>LOW</v>
      </c>
      <c r="K25"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5" s="94" t="str">
        <f>Table4[[#This Row],[Security Risk LevelP]]</f>
        <v/>
      </c>
      <c r="M25" s="36" t="str">
        <f>IF(Table4[[#This Row],[Residual Security Risk Acceptability Justification]]&gt;0,Table4[[#This Row],[Residual Security Risk Acceptability Justification]],"")</f>
        <v/>
      </c>
    </row>
    <row r="26" spans="1:13" s="26" customFormat="1" ht="156.75">
      <c r="A26" s="49">
        <f>Table4[[#This Row],[
ID '#]]</f>
        <v>22</v>
      </c>
      <c r="B26" s="115" t="str">
        <f>IF(Table4[[#This Row],[T ID]]&gt;0,Table4[[#This Row],[T ID]],"")</f>
        <v>T02</v>
      </c>
      <c r="C26" s="88" t="str">
        <f>Table4[[#This Row],[Threat Event(s)]]</f>
        <v>Deliver directed malware
(CAPEC-185)</v>
      </c>
      <c r="D26" s="36" t="str">
        <f>IF(Table4[[#This Row],[V ID]]&gt;0,Table4[[#This Row],[V ID]],"")</f>
        <v>V21</v>
      </c>
      <c r="E26" s="88" t="str">
        <f>Table4[[#This Row],[Vulnerabilities]]</f>
        <v>InSecure Configuration for Software/OS on Mobile Devices, Laptops, Workstations, and Servers</v>
      </c>
      <c r="F26" s="116" t="str">
        <f>IF(Table4[[#This Row],[A ID]]&gt;0,Table4[[#This Row],[A ID]],"")</f>
        <v>A03</v>
      </c>
      <c r="G26" s="88" t="str">
        <f>Table4[[#This Row],[Asset]]</f>
        <v>Smart medic (Stryker device) System Component</v>
      </c>
      <c r="H26" s="19" t="str">
        <f>IF(Table4[[#This Row],[Impact Description]]&gt;0,Table4[[#This Row],[Impact Description]],"")</f>
        <v xml:space="preserve">1) Malicious utilization of  computer resources 
2) computing power  
3) denial of service attacks, 
4) ransomware attack 
5) Bitcoin mining, etc </v>
      </c>
      <c r="I26" s="36" t="str">
        <f>IF(Table4[[#This Row],[Safety Impact 
(Risk ID'# or N/A)]]&gt;0,Table4[[#This Row],[Safety Impact 
(Risk ID'# or N/A)]],"")</f>
        <v>NA</v>
      </c>
      <c r="J26" s="18" t="str">
        <f>Table4[[#This Row],[Security 
Risk 
Level]]</f>
        <v>LOW</v>
      </c>
      <c r="K26"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6" s="94" t="str">
        <f>Table4[[#This Row],[Security Risk LevelP]]</f>
        <v/>
      </c>
      <c r="M26" s="36" t="str">
        <f>IF(Table4[[#This Row],[Residual Security Risk Acceptability Justification]]&gt;0,Table4[[#This Row],[Residual Security Risk Acceptability Justification]],"")</f>
        <v/>
      </c>
    </row>
    <row r="27" spans="1:13" s="26" customFormat="1" ht="156.75">
      <c r="A27" s="49">
        <f>Table4[[#This Row],[
ID '#]]</f>
        <v>23</v>
      </c>
      <c r="B27" s="115" t="str">
        <f>IF(Table4[[#This Row],[T ID]]&gt;0,Table4[[#This Row],[T ID]],"")</f>
        <v>T02</v>
      </c>
      <c r="C27" s="88" t="str">
        <f>Table4[[#This Row],[Threat Event(s)]]</f>
        <v>Deliver directed malware
(CAPEC-185)</v>
      </c>
      <c r="D27" s="36" t="str">
        <f>IF(Table4[[#This Row],[V ID]]&gt;0,Table4[[#This Row],[V ID]],"")</f>
        <v>V21</v>
      </c>
      <c r="E27" s="88" t="str">
        <f>Table4[[#This Row],[Vulnerabilities]]</f>
        <v>InSecure Configuration for Software/OS on Mobile Devices, Laptops, Workstations, and Servers</v>
      </c>
      <c r="F27" s="116" t="str">
        <f>IF(Table4[[#This Row],[A ID]]&gt;0,Table4[[#This Row],[A ID]],"")</f>
        <v>A01</v>
      </c>
      <c r="G27" s="88" t="str">
        <f>Table4[[#This Row],[Asset]]</f>
        <v>Tablet Resources - web cam, microphone, OTG devices, Removable USB, Tablet Application, Network interfaces (Bluetooth, Wifi)</v>
      </c>
      <c r="H27" s="19" t="str">
        <f>IF(Table4[[#This Row],[Impact Description]]&gt;0,Table4[[#This Row],[Impact Description]],"")</f>
        <v xml:space="preserve">1) Malicious utilization of  computer resources 
2) computing power  
3) denial of service attacks, 
4) ransomware attack 
5) Bitcoin mining, etc </v>
      </c>
      <c r="I27" s="36" t="str">
        <f>IF(Table4[[#This Row],[Safety Impact 
(Risk ID'# or N/A)]]&gt;0,Table4[[#This Row],[Safety Impact 
(Risk ID'# or N/A)]],"")</f>
        <v>NA</v>
      </c>
      <c r="J27" s="18" t="str">
        <f>Table4[[#This Row],[Security 
Risk 
Level]]</f>
        <v>LOW</v>
      </c>
      <c r="K27"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7" s="94" t="str">
        <f>Table4[[#This Row],[Security Risk LevelP]]</f>
        <v/>
      </c>
      <c r="M27" s="36" t="str">
        <f>IF(Table4[[#This Row],[Residual Security Risk Acceptability Justification]]&gt;0,Table4[[#This Row],[Residual Security Risk Acceptability Justification]],"")</f>
        <v/>
      </c>
    </row>
    <row r="28" spans="1:13" s="26" customFormat="1" ht="85.5">
      <c r="A28" s="49">
        <f>Table4[[#This Row],[
ID '#]]</f>
        <v>24</v>
      </c>
      <c r="B28" s="115" t="str">
        <f>IF(Table4[[#This Row],[T ID]]&gt;0,Table4[[#This Row],[T ID]],"")</f>
        <v>T02</v>
      </c>
      <c r="C28" s="88" t="str">
        <f>Table4[[#This Row],[Threat Event(s)]]</f>
        <v>Deliver directed malware
(CAPEC-185)</v>
      </c>
      <c r="D28" s="36" t="str">
        <f>IF(Table4[[#This Row],[V ID]]&gt;0,Table4[[#This Row],[V ID]],"")</f>
        <v>V13</v>
      </c>
      <c r="E28" s="88" t="str">
        <f>Table4[[#This Row],[Vulnerabilities]]</f>
        <v>Unprotected external USB Port on the tablet/devices.</v>
      </c>
      <c r="F28" s="116" t="str">
        <f>IF(Table4[[#This Row],[A ID]]&gt;0,Table4[[#This Row],[A ID]],"")</f>
        <v>A08</v>
      </c>
      <c r="G28" s="88" t="str">
        <f>Table4[[#This Row],[Asset]]</f>
        <v>Wireless Network device (Scope of HDO)</v>
      </c>
      <c r="H28" s="19" t="str">
        <f>IF(Table4[[#This Row],[Impact Description]]&gt;0,Table4[[#This Row],[Impact Description]],"")</f>
        <v xml:space="preserve">1) Malicious utilization of  computer resources 
2) computing power  
3) denial of service attacks, 
4) ransomware attack 
5) Bitcoin mining, etc </v>
      </c>
      <c r="I28" s="36" t="str">
        <f>IF(Table4[[#This Row],[Safety Impact 
(Risk ID'# or N/A)]]&gt;0,Table4[[#This Row],[Safety Impact 
(Risk ID'# or N/A)]],"")</f>
        <v>NA</v>
      </c>
      <c r="J28" s="18" t="str">
        <f>Table4[[#This Row],[Security 
Risk 
Level]]</f>
        <v>LOW</v>
      </c>
      <c r="K28" s="19" t="str">
        <f>IF(Table4[[#This Row],[Security Risk Control Measures]]&gt;0,Table4[[#This Row],[Security Risk Control Measures]],"")</f>
        <v>SOM responsibility
1. Statefull Firewall
2. Maintain access control (read/modify) permission list for any sensitive &amp; unencrypted data if present.</v>
      </c>
      <c r="L28" s="94" t="str">
        <f>Table4[[#This Row],[Security Risk LevelP]]</f>
        <v/>
      </c>
      <c r="M28" s="36" t="str">
        <f>IF(Table4[[#This Row],[Residual Security Risk Acceptability Justification]]&gt;0,Table4[[#This Row],[Residual Security Risk Acceptability Justification]],"")</f>
        <v/>
      </c>
    </row>
    <row r="29" spans="1:13" s="26" customFormat="1" ht="156.75">
      <c r="A29" s="49">
        <f>Table4[[#This Row],[
ID '#]]</f>
        <v>25</v>
      </c>
      <c r="B29" s="115" t="str">
        <f>IF(Table4[[#This Row],[T ID]]&gt;0,Table4[[#This Row],[T ID]],"")</f>
        <v>T02</v>
      </c>
      <c r="C29" s="88" t="str">
        <f>Table4[[#This Row],[Threat Event(s)]]</f>
        <v>Deliver directed malware
(CAPEC-185)</v>
      </c>
      <c r="D29" s="36" t="str">
        <f>IF(Table4[[#This Row],[V ID]]&gt;0,Table4[[#This Row],[V ID]],"")</f>
        <v>V13</v>
      </c>
      <c r="E29" s="88" t="str">
        <f>Table4[[#This Row],[Vulnerabilities]]</f>
        <v>Unprotected external USB Port on the tablet/devices.</v>
      </c>
      <c r="F29" s="116" t="str">
        <f>IF(Table4[[#This Row],[A ID]]&gt;0,Table4[[#This Row],[A ID]],"")</f>
        <v>A01</v>
      </c>
      <c r="G29" s="88" t="str">
        <f>Table4[[#This Row],[Asset]]</f>
        <v>Tablet Resources - web cam, microphone, OTG devices, Removable USB, Tablet Application, Network interfaces (Bluetooth, Wifi)</v>
      </c>
      <c r="H29" s="19" t="str">
        <f>IF(Table4[[#This Row],[Impact Description]]&gt;0,Table4[[#This Row],[Impact Description]],"")</f>
        <v xml:space="preserve">1) Malicious utilization of  computer resources 
2) computing power  
3) denial of service attacks, 
4) ransomware attack 
5) Bitcoin mining, etc </v>
      </c>
      <c r="I29" s="36" t="str">
        <f>IF(Table4[[#This Row],[Safety Impact 
(Risk ID'# or N/A)]]&gt;0,Table4[[#This Row],[Safety Impact 
(Risk ID'# or N/A)]],"")</f>
        <v>NA</v>
      </c>
      <c r="J29" s="18" t="str">
        <f>Table4[[#This Row],[Security 
Risk 
Level]]</f>
        <v>LOW</v>
      </c>
      <c r="K29"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9" s="94" t="str">
        <f>Table4[[#This Row],[Security Risk LevelP]]</f>
        <v/>
      </c>
      <c r="M29" s="36" t="str">
        <f>IF(Table4[[#This Row],[Residual Security Risk Acceptability Justification]]&gt;0,Table4[[#This Row],[Residual Security Risk Acceptability Justification]],"")</f>
        <v/>
      </c>
    </row>
    <row r="30" spans="1:13" s="26" customFormat="1" ht="156.75">
      <c r="A30" s="49">
        <f>Table4[[#This Row],[
ID '#]]</f>
        <v>26</v>
      </c>
      <c r="B30" s="115" t="str">
        <f>IF(Table4[[#This Row],[T ID]]&gt;0,Table4[[#This Row],[T ID]],"")</f>
        <v>T02</v>
      </c>
      <c r="C30" s="88" t="str">
        <f>Table4[[#This Row],[Threat Event(s)]]</f>
        <v>Deliver directed malware
(CAPEC-185)</v>
      </c>
      <c r="D30" s="36" t="str">
        <f>IF(Table4[[#This Row],[V ID]]&gt;0,Table4[[#This Row],[V ID]],"")</f>
        <v>V13</v>
      </c>
      <c r="E30" s="88" t="str">
        <f>Table4[[#This Row],[Vulnerabilities]]</f>
        <v>Unprotected external USB Port on the tablet/devices.</v>
      </c>
      <c r="F30" s="116" t="str">
        <f>IF(Table4[[#This Row],[A ID]]&gt;0,Table4[[#This Row],[A ID]],"")</f>
        <v>A11</v>
      </c>
      <c r="G30" s="88" t="str">
        <f>Table4[[#This Row],[Asset]]</f>
        <v>Smart medic app (Stryker Admin Web Application)</v>
      </c>
      <c r="H30" s="19" t="str">
        <f>IF(Table4[[#This Row],[Impact Description]]&gt;0,Table4[[#This Row],[Impact Description]],"")</f>
        <v xml:space="preserve">1) Malicious utilization of  computer resources 
2) computing power  
3) denial of service attacks, 
4) ransomware attack 
5) Bitcoin mining, etc </v>
      </c>
      <c r="I30" s="36" t="str">
        <f>IF(Table4[[#This Row],[Safety Impact 
(Risk ID'# or N/A)]]&gt;0,Table4[[#This Row],[Safety Impact 
(Risk ID'# or N/A)]],"")</f>
        <v>NA</v>
      </c>
      <c r="J30" s="18" t="str">
        <f>Table4[[#This Row],[Security 
Risk 
Level]]</f>
        <v>LOW</v>
      </c>
      <c r="K30"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0" s="94" t="str">
        <f>Table4[[#This Row],[Security Risk LevelP]]</f>
        <v/>
      </c>
      <c r="M30" s="36" t="str">
        <f>IF(Table4[[#This Row],[Residual Security Risk Acceptability Justification]]&gt;0,Table4[[#This Row],[Residual Security Risk Acceptability Justification]],"")</f>
        <v/>
      </c>
    </row>
    <row r="31" spans="1:13" s="26" customFormat="1" ht="114">
      <c r="A31" s="49">
        <f>Table4[[#This Row],[
ID '#]]</f>
        <v>27</v>
      </c>
      <c r="B31" s="115" t="str">
        <f>IF(Table4[[#This Row],[T ID]]&gt;0,Table4[[#This Row],[T ID]],"")</f>
        <v>T02</v>
      </c>
      <c r="C31" s="88" t="str">
        <f>Table4[[#This Row],[Threat Event(s)]]</f>
        <v>Deliver directed malware
(CAPEC-185)</v>
      </c>
      <c r="D31" s="36" t="str">
        <f>IF(Table4[[#This Row],[V ID]]&gt;0,Table4[[#This Row],[V ID]],"")</f>
        <v>V02</v>
      </c>
      <c r="E31" s="88" t="str">
        <f>Table4[[#This Row],[Vulnerabilities]]</f>
        <v>External communications and exposure for communciation channels from and to application and devices like tablet and smartmedic device.</v>
      </c>
      <c r="F31" s="116" t="str">
        <f>IF(Table4[[#This Row],[A ID]]&gt;0,Table4[[#This Row],[A ID]],"")</f>
        <v>A01</v>
      </c>
      <c r="G31" s="88" t="str">
        <f>Table4[[#This Row],[Asset]]</f>
        <v>Tablet Resources - web cam, microphone, OTG devices, Removable USB, Tablet Application, Network interfaces (Bluetooth, Wifi)</v>
      </c>
      <c r="H31" s="19" t="str">
        <f>IF(Table4[[#This Row],[Impact Description]]&gt;0,Table4[[#This Row],[Impact Description]],"")</f>
        <v xml:space="preserve">1) Malicious utilization of  computer resources
2) computing power  
3) denial of service attacks, 
4) ransomware attack 
5) Bitcoin mining, etc </v>
      </c>
      <c r="I31" s="36" t="str">
        <f>IF(Table4[[#This Row],[Safety Impact 
(Risk ID'# or N/A)]]&gt;0,Table4[[#This Row],[Safety Impact 
(Risk ID'# or N/A)]],"")</f>
        <v>NA</v>
      </c>
      <c r="J31" s="18" t="str">
        <f>Table4[[#This Row],[Security 
Risk 
Level]]</f>
        <v>MEDIUM</v>
      </c>
      <c r="K31" s="19" t="str">
        <f>IF(Table4[[#This Row],[Security Risk Control Measures]]&gt;0,Table4[[#This Row],[Security Risk Control Measures]],"")</f>
        <v xml:space="preserve">1. Only stryker made/authenticated devices should communicate with smart medic device &amp; tablet
2. Asset should be behind stateful firewall
3.  Use secure tunnel communications channel </v>
      </c>
      <c r="L31" s="94" t="str">
        <f>Table4[[#This Row],[Security Risk LevelP]]</f>
        <v/>
      </c>
      <c r="M31" s="36" t="str">
        <f>IF(Table4[[#This Row],[Residual Security Risk Acceptability Justification]]&gt;0,Table4[[#This Row],[Residual Security Risk Acceptability Justification]],"")</f>
        <v/>
      </c>
    </row>
    <row r="32" spans="1:13" s="26" customFormat="1" ht="156.75">
      <c r="A32" s="49">
        <f>Table4[[#This Row],[
ID '#]]</f>
        <v>28</v>
      </c>
      <c r="B32" s="115" t="str">
        <f>IF(Table4[[#This Row],[T ID]]&gt;0,Table4[[#This Row],[T ID]],"")</f>
        <v>T02</v>
      </c>
      <c r="C32" s="88" t="str">
        <f>Table4[[#This Row],[Threat Event(s)]]</f>
        <v>Deliver directed malware
(CAPEC-185)</v>
      </c>
      <c r="D32" s="36" t="str">
        <f>IF(Table4[[#This Row],[V ID]]&gt;0,Table4[[#This Row],[V ID]],"")</f>
        <v>V08</v>
      </c>
      <c r="E32" s="88" t="str">
        <f>Table4[[#This Row],[Vulnerabilities]]</f>
        <v>Ineffective patch management of firware, OS and applications thoughout the information system plan</v>
      </c>
      <c r="F32" s="116" t="str">
        <f>IF(Table4[[#This Row],[A ID]]&gt;0,Table4[[#This Row],[A ID]],"")</f>
        <v>A05</v>
      </c>
      <c r="G32" s="88" t="str">
        <f>Table4[[#This Row],[Asset]]</f>
        <v>Device Maintainence tool (Hardware/Software)</v>
      </c>
      <c r="H32" s="19" t="str">
        <f>IF(Table4[[#This Row],[Impact Description]]&gt;0,Table4[[#This Row],[Impact Description]],"")</f>
        <v xml:space="preserve">1) Malicious utilization of  computer resources 
2) computing power  
3) denial of service attacks, 
4) ransomware attack 
5) Bitcoin mining, etc </v>
      </c>
      <c r="I32" s="36" t="str">
        <f>IF(Table4[[#This Row],[Safety Impact 
(Risk ID'# or N/A)]]&gt;0,Table4[[#This Row],[Safety Impact 
(Risk ID'# or N/A)]],"")</f>
        <v>NA</v>
      </c>
      <c r="J32" s="18" t="str">
        <f>Table4[[#This Row],[Security 
Risk 
Level]]</f>
        <v>LOW</v>
      </c>
      <c r="K32"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2" s="94" t="str">
        <f>Table4[[#This Row],[Security Risk LevelP]]</f>
        <v/>
      </c>
      <c r="M32" s="36" t="str">
        <f>IF(Table4[[#This Row],[Residual Security Risk Acceptability Justification]]&gt;0,Table4[[#This Row],[Residual Security Risk Acceptability Justification]],"")</f>
        <v/>
      </c>
    </row>
    <row r="33" spans="1:13" s="26" customFormat="1" ht="156.75">
      <c r="A33" s="49">
        <f>Table4[[#This Row],[
ID '#]]</f>
        <v>29</v>
      </c>
      <c r="B33" s="115" t="str">
        <f>IF(Table4[[#This Row],[T ID]]&gt;0,Table4[[#This Row],[T ID]],"")</f>
        <v>T02</v>
      </c>
      <c r="C33" s="88" t="str">
        <f>Table4[[#This Row],[Threat Event(s)]]</f>
        <v>Deliver directed malware
(CAPEC-185)</v>
      </c>
      <c r="D33" s="36" t="str">
        <f>IF(Table4[[#This Row],[V ID]]&gt;0,Table4[[#This Row],[V ID]],"")</f>
        <v>V08</v>
      </c>
      <c r="E33" s="88" t="str">
        <f>Table4[[#This Row],[Vulnerabilities]]</f>
        <v>Ineffective patch management of firware, OS and applications thoughout the information system plan</v>
      </c>
      <c r="F33" s="116" t="str">
        <f>IF(Table4[[#This Row],[A ID]]&gt;0,Table4[[#This Row],[A ID]],"")</f>
        <v>A03</v>
      </c>
      <c r="G33" s="88" t="str">
        <f>Table4[[#This Row],[Asset]]</f>
        <v>Smart medic (Stryker device) System Component</v>
      </c>
      <c r="H33" s="19" t="str">
        <f>IF(Table4[[#This Row],[Impact Description]]&gt;0,Table4[[#This Row],[Impact Description]],"")</f>
        <v xml:space="preserve">1) Malicious utilization of  computer resources 
2) computing power  
3) denial of service attacks, 
4) ransomware attack 
5) Bitcoin mining, etc </v>
      </c>
      <c r="I33" s="36" t="str">
        <f>IF(Table4[[#This Row],[Safety Impact 
(Risk ID'# or N/A)]]&gt;0,Table4[[#This Row],[Safety Impact 
(Risk ID'# or N/A)]],"")</f>
        <v>NA</v>
      </c>
      <c r="J33" s="18" t="str">
        <f>Table4[[#This Row],[Security 
Risk 
Level]]</f>
        <v>LOW</v>
      </c>
      <c r="K33"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3" s="94" t="str">
        <f>Table4[[#This Row],[Security Risk LevelP]]</f>
        <v/>
      </c>
      <c r="M33" s="36" t="str">
        <f>IF(Table4[[#This Row],[Residual Security Risk Acceptability Justification]]&gt;0,Table4[[#This Row],[Residual Security Risk Acceptability Justification]],"")</f>
        <v/>
      </c>
    </row>
    <row r="34" spans="1:13" s="26" customFormat="1" ht="156.75">
      <c r="A34" s="49">
        <f>Table4[[#This Row],[
ID '#]]</f>
        <v>30</v>
      </c>
      <c r="B34" s="115" t="str">
        <f>IF(Table4[[#This Row],[T ID]]&gt;0,Table4[[#This Row],[T ID]],"")</f>
        <v>T02</v>
      </c>
      <c r="C34" s="88" t="str">
        <f>Table4[[#This Row],[Threat Event(s)]]</f>
        <v>Deliver directed malware
(CAPEC-185)</v>
      </c>
      <c r="D34" s="36" t="str">
        <f>IF(Table4[[#This Row],[V ID]]&gt;0,Table4[[#This Row],[V ID]],"")</f>
        <v>V08</v>
      </c>
      <c r="E34" s="88" t="str">
        <f>Table4[[#This Row],[Vulnerabilities]]</f>
        <v>Ineffective patch management of firware, OS and applications thoughout the information system plan</v>
      </c>
      <c r="F34" s="116" t="str">
        <f>IF(Table4[[#This Row],[A ID]]&gt;0,Table4[[#This Row],[A ID]],"")</f>
        <v>A01</v>
      </c>
      <c r="G34" s="88" t="str">
        <f>Table4[[#This Row],[Asset]]</f>
        <v>Tablet Resources - web cam, microphone, OTG devices, Removable USB, Tablet Application, Network interfaces (Bluetooth, Wifi)</v>
      </c>
      <c r="H34" s="19" t="str">
        <f>IF(Table4[[#This Row],[Impact Description]]&gt;0,Table4[[#This Row],[Impact Description]],"")</f>
        <v xml:space="preserve">1) Malicious utilization of  computer resources 
2) computing power  
3) denial of service attacks, 
4) ransomware attack 
5) Bitcoin mining, etc </v>
      </c>
      <c r="I34" s="36" t="str">
        <f>IF(Table4[[#This Row],[Safety Impact 
(Risk ID'# or N/A)]]&gt;0,Table4[[#This Row],[Safety Impact 
(Risk ID'# or N/A)]],"")</f>
        <v>NA</v>
      </c>
      <c r="J34" s="18" t="str">
        <f>Table4[[#This Row],[Security 
Risk 
Level]]</f>
        <v>LOW</v>
      </c>
      <c r="K34"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4" s="94" t="str">
        <f>Table4[[#This Row],[Security Risk LevelP]]</f>
        <v/>
      </c>
      <c r="M34" s="36" t="str">
        <f>IF(Table4[[#This Row],[Residual Security Risk Acceptability Justification]]&gt;0,Table4[[#This Row],[Residual Security Risk Acceptability Justification]],"")</f>
        <v/>
      </c>
    </row>
    <row r="35" spans="1:13" s="26" customFormat="1" ht="99.75">
      <c r="A35" s="49">
        <f>Table4[[#This Row],[
ID '#]]</f>
        <v>31</v>
      </c>
      <c r="B35" s="115" t="str">
        <f>IF(Table4[[#This Row],[T ID]]&gt;0,Table4[[#This Row],[T ID]],"")</f>
        <v>T02</v>
      </c>
      <c r="C35" s="88" t="str">
        <f>Table4[[#This Row],[Threat Event(s)]]</f>
        <v>Deliver directed malware
(CAPEC-185)</v>
      </c>
      <c r="D35" s="36" t="str">
        <f>IF(Table4[[#This Row],[V ID]]&gt;0,Table4[[#This Row],[V ID]],"")</f>
        <v>V12</v>
      </c>
      <c r="E35" s="88" t="str">
        <f>Table4[[#This Row],[Vulnerabilities]]</f>
        <v>Unprotected network port(s) on network devices and connection points</v>
      </c>
      <c r="F35" s="116" t="str">
        <f>IF(Table4[[#This Row],[A ID]]&gt;0,Table4[[#This Row],[A ID]],"")</f>
        <v>A03</v>
      </c>
      <c r="G35" s="88" t="str">
        <f>Table4[[#This Row],[Asset]]</f>
        <v>Smart medic (Stryker device) System Component</v>
      </c>
      <c r="H35" s="19" t="str">
        <f>IF(Table4[[#This Row],[Impact Description]]&gt;0,Table4[[#This Row],[Impact Description]],"")</f>
        <v xml:space="preserve">1) Malicious utilization of  computer resources 
2) computing power  
3) denial of service attacks, 
4) ransomware attack 
5) Bitcoin mining, etc </v>
      </c>
      <c r="I35" s="36" t="str">
        <f>IF(Table4[[#This Row],[Safety Impact 
(Risk ID'# or N/A)]]&gt;0,Table4[[#This Row],[Safety Impact 
(Risk ID'# or N/A)]],"")</f>
        <v>NA</v>
      </c>
      <c r="J35" s="18" t="str">
        <f>Table4[[#This Row],[Security 
Risk 
Level]]</f>
        <v>MEDIUM</v>
      </c>
      <c r="K35" s="19" t="str">
        <f>IF(Table4[[#This Row],[Security Risk Control Measures]]&gt;0,Table4[[#This Row],[Security Risk Control Measures]],"")</f>
        <v xml:space="preserve">1. Only Stryker/HDO authenticated devices should communicate with smart medic device &amp; tablet
2. Asset should be behind stateful firewall
3. Use secure tunnel communications channel </v>
      </c>
      <c r="L35" s="94" t="str">
        <f>Table4[[#This Row],[Security Risk LevelP]]</f>
        <v/>
      </c>
      <c r="M35" s="36" t="str">
        <f>IF(Table4[[#This Row],[Residual Security Risk Acceptability Justification]]&gt;0,Table4[[#This Row],[Residual Security Risk Acceptability Justification]],"")</f>
        <v/>
      </c>
    </row>
    <row r="36" spans="1:13" s="26" customFormat="1" ht="156.75">
      <c r="A36" s="49">
        <f>Table4[[#This Row],[
ID '#]]</f>
        <v>32</v>
      </c>
      <c r="B36" s="115" t="str">
        <f>IF(Table4[[#This Row],[T ID]]&gt;0,Table4[[#This Row],[T ID]],"")</f>
        <v>T02</v>
      </c>
      <c r="C36" s="88" t="str">
        <f>Table4[[#This Row],[Threat Event(s)]]</f>
        <v>Deliver directed malware
(CAPEC-185)</v>
      </c>
      <c r="D36" s="36" t="str">
        <f>IF(Table4[[#This Row],[V ID]]&gt;0,Table4[[#This Row],[V ID]],"")</f>
        <v>V12</v>
      </c>
      <c r="E36" s="88" t="str">
        <f>Table4[[#This Row],[Vulnerabilities]]</f>
        <v>Unprotected network port(s) on network devices and connection points</v>
      </c>
      <c r="F36" s="116" t="str">
        <f>IF(Table4[[#This Row],[A ID]]&gt;0,Table4[[#This Row],[A ID]],"")</f>
        <v>A01</v>
      </c>
      <c r="G36" s="88" t="str">
        <f>Table4[[#This Row],[Asset]]</f>
        <v>Tablet Resources - web cam, microphone, OTG devices, Removable USB, Tablet Application, Network interfaces (Bluetooth, Wifi)</v>
      </c>
      <c r="H36" s="19" t="str">
        <f>IF(Table4[[#This Row],[Impact Description]]&gt;0,Table4[[#This Row],[Impact Description]],"")</f>
        <v xml:space="preserve">1) Malicious utilization of  computer resources 
2) computing power  
3) denial of service attacks, 
4) ransomware attack 
5) Bitcoin mining, etc </v>
      </c>
      <c r="I36" s="36" t="str">
        <f>IF(Table4[[#This Row],[Safety Impact 
(Risk ID'# or N/A)]]&gt;0,Table4[[#This Row],[Safety Impact 
(Risk ID'# or N/A)]],"")</f>
        <v>NA</v>
      </c>
      <c r="J36" s="18" t="str">
        <f>Table4[[#This Row],[Security 
Risk 
Level]]</f>
        <v>LOW</v>
      </c>
      <c r="K36"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6" s="94" t="str">
        <f>Table4[[#This Row],[Security Risk LevelP]]</f>
        <v/>
      </c>
      <c r="M36" s="36" t="str">
        <f>IF(Table4[[#This Row],[Residual Security Risk Acceptability Justification]]&gt;0,Table4[[#This Row],[Residual Security Risk Acceptability Justification]],"")</f>
        <v/>
      </c>
    </row>
    <row r="37" spans="1:13" s="26" customFormat="1" ht="199.5">
      <c r="A37" s="49">
        <f>Table4[[#This Row],[
ID '#]]</f>
        <v>33</v>
      </c>
      <c r="B37" s="115" t="str">
        <f>IF(Table4[[#This Row],[T ID]]&gt;0,Table4[[#This Row],[T ID]],"")</f>
        <v>T02</v>
      </c>
      <c r="C37" s="88" t="str">
        <f>Table4[[#This Row],[Threat Event(s)]]</f>
        <v>Deliver directed malware
(CAPEC-185)</v>
      </c>
      <c r="D37" s="36" t="str">
        <f>IF(Table4[[#This Row],[V ID]]&gt;0,Table4[[#This Row],[V ID]],"")</f>
        <v>V21</v>
      </c>
      <c r="E37" s="88" t="str">
        <f>Table4[[#This Row],[Vulnerabilities]]</f>
        <v>InSecure Configuration for Software/OS on Mobile Devices, Laptops, Workstations, and Servers</v>
      </c>
      <c r="F37" s="116" t="str">
        <f>IF(Table4[[#This Row],[A ID]]&gt;0,Table4[[#This Row],[A ID]],"")</f>
        <v>A11</v>
      </c>
      <c r="G37" s="88" t="str">
        <f>Table4[[#This Row],[Asset]]</f>
        <v>Smart medic app (Stryker Admin Web Application)</v>
      </c>
      <c r="H37" s="19" t="str">
        <f>IF(Table4[[#This Row],[Impact Description]]&gt;0,Table4[[#This Row],[Impact Description]],"")</f>
        <v xml:space="preserve">1) Malicious utilization of  computer resources 
2) computing power  
3) denial of service attacks, 
4) ransomware attack 
5) Bitcoin mining, etc </v>
      </c>
      <c r="I37" s="36" t="str">
        <f>IF(Table4[[#This Row],[Safety Impact 
(Risk ID'# or N/A)]]&gt;0,Table4[[#This Row],[Safety Impact 
(Risk ID'# or N/A)]],"")</f>
        <v>NA</v>
      </c>
      <c r="J37" s="18" t="str">
        <f>Table4[[#This Row],[Security 
Risk 
Level]]</f>
        <v>LOW</v>
      </c>
      <c r="K37" s="19" t="str">
        <f>IF(Table4[[#This Row],[Security Risk Control Measures]]&gt;0,Table4[[#This Row],[Security Risk Control Measures]],"")</f>
        <v>1. Deployed (V&amp;V) secure system configuration model needs to be mentioned in the installation manual.
2. Establish internal and external
information sources for threat
intelligence and vulnerability
data, monitoring them regularly
and taking appropriate action for
high-priority items
3. Use upgraded software, firmware
4. Never create/use credentials with personal details such as date of birth, spouse, or child’s or pet’s name
5. Stateful Firewall</v>
      </c>
      <c r="L37" s="94" t="str">
        <f>Table4[[#This Row],[Security Risk LevelP]]</f>
        <v/>
      </c>
      <c r="M37" s="36" t="str">
        <f>IF(Table4[[#This Row],[Residual Security Risk Acceptability Justification]]&gt;0,Table4[[#This Row],[Residual Security Risk Acceptability Justification]],"")</f>
        <v/>
      </c>
    </row>
    <row r="38" spans="1:13" s="26" customFormat="1" ht="156.75">
      <c r="A38" s="49">
        <f>Table4[[#This Row],[
ID '#]]</f>
        <v>34</v>
      </c>
      <c r="B38" s="115" t="str">
        <f>IF(Table4[[#This Row],[T ID]]&gt;0,Table4[[#This Row],[T ID]],"")</f>
        <v>T02</v>
      </c>
      <c r="C38" s="88" t="str">
        <f>Table4[[#This Row],[Threat Event(s)]]</f>
        <v>Deliver directed malware
(CAPEC-185)</v>
      </c>
      <c r="D38" s="36" t="str">
        <f>IF(Table4[[#This Row],[V ID]]&gt;0,Table4[[#This Row],[V ID]],"")</f>
        <v>V21</v>
      </c>
      <c r="E38" s="88" t="str">
        <f>Table4[[#This Row],[Vulnerabilities]]</f>
        <v>InSecure Configuration for Software/OS on Mobile Devices, Laptops, Workstations, and Servers</v>
      </c>
      <c r="F38" s="116" t="str">
        <f>IF(Table4[[#This Row],[A ID]]&gt;0,Table4[[#This Row],[A ID]],"")</f>
        <v>A01</v>
      </c>
      <c r="G38" s="88" t="str">
        <f>Table4[[#This Row],[Asset]]</f>
        <v>Tablet Resources - web cam, microphone, OTG devices, Removable USB, Tablet Application, Network interfaces (Bluetooth, Wifi)</v>
      </c>
      <c r="H38" s="19" t="str">
        <f>IF(Table4[[#This Row],[Impact Description]]&gt;0,Table4[[#This Row],[Impact Description]],"")</f>
        <v xml:space="preserve">1) Malicious utilization of  computer resources 
2) computing power  
3) denial of service attacks, 
4) ransomware attack 
5) Bitcoin mining, etc </v>
      </c>
      <c r="I38" s="36" t="str">
        <f>IF(Table4[[#This Row],[Safety Impact 
(Risk ID'# or N/A)]]&gt;0,Table4[[#This Row],[Safety Impact 
(Risk ID'# or N/A)]],"")</f>
        <v>NA</v>
      </c>
      <c r="J38" s="18" t="str">
        <f>Table4[[#This Row],[Security 
Risk 
Level]]</f>
        <v>LOW</v>
      </c>
      <c r="K38"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8" s="94" t="str">
        <f>Table4[[#This Row],[Security Risk LevelP]]</f>
        <v/>
      </c>
      <c r="M38" s="36" t="str">
        <f>IF(Table4[[#This Row],[Residual Security Risk Acceptability Justification]]&gt;0,Table4[[#This Row],[Residual Security Risk Acceptability Justification]],"")</f>
        <v/>
      </c>
    </row>
    <row r="39" spans="1:13" s="26" customFormat="1" ht="156.75">
      <c r="A39" s="49">
        <f>Table4[[#This Row],[
ID '#]]</f>
        <v>35</v>
      </c>
      <c r="B39" s="115" t="str">
        <f>IF(Table4[[#This Row],[T ID]]&gt;0,Table4[[#This Row],[T ID]],"")</f>
        <v>T02</v>
      </c>
      <c r="C39" s="88" t="str">
        <f>Table4[[#This Row],[Threat Event(s)]]</f>
        <v>Deliver directed malware
(CAPEC-185)</v>
      </c>
      <c r="D39" s="36" t="str">
        <f>IF(Table4[[#This Row],[V ID]]&gt;0,Table4[[#This Row],[V ID]],"")</f>
        <v>V16</v>
      </c>
      <c r="E39" s="88" t="str">
        <f>Table4[[#This Row],[Vulnerabilities]]</f>
        <v>Unencrypted data at rest in all possible locations</v>
      </c>
      <c r="F39" s="116" t="str">
        <f>IF(Table4[[#This Row],[A ID]]&gt;0,Table4[[#This Row],[A ID]],"")</f>
        <v>A01</v>
      </c>
      <c r="G39" s="88" t="str">
        <f>Table4[[#This Row],[Asset]]</f>
        <v>Tablet Resources - web cam, microphone, OTG devices, Removable USB, Tablet Application, Network interfaces (Bluetooth, Wifi)</v>
      </c>
      <c r="H39" s="19" t="str">
        <f>IF(Table4[[#This Row],[Impact Description]]&gt;0,Table4[[#This Row],[Impact Description]],"")</f>
        <v xml:space="preserve">1) Malicious utilization of  computer resources 
2) computing power  
3) denial of service attacks, 
4) ransomware attack 
5) Bitcoin mining, etc </v>
      </c>
      <c r="I39" s="36" t="str">
        <f>IF(Table4[[#This Row],[Safety Impact 
(Risk ID'# or N/A)]]&gt;0,Table4[[#This Row],[Safety Impact 
(Risk ID'# or N/A)]],"")</f>
        <v>NA</v>
      </c>
      <c r="J39" s="18" t="str">
        <f>Table4[[#This Row],[Security 
Risk 
Level]]</f>
        <v>LOW</v>
      </c>
      <c r="K39"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9" s="94" t="str">
        <f>Table4[[#This Row],[Security Risk LevelP]]</f>
        <v/>
      </c>
      <c r="M39" s="36" t="str">
        <f>IF(Table4[[#This Row],[Residual Security Risk Acceptability Justification]]&gt;0,Table4[[#This Row],[Residual Security Risk Acceptability Justification]],"")</f>
        <v/>
      </c>
    </row>
    <row r="40" spans="1:13" s="26" customFormat="1" ht="156.75">
      <c r="A40" s="49">
        <f>Table4[[#This Row],[
ID '#]]</f>
        <v>36</v>
      </c>
      <c r="B40" s="115" t="str">
        <f>IF(Table4[[#This Row],[T ID]]&gt;0,Table4[[#This Row],[T ID]],"")</f>
        <v>T02</v>
      </c>
      <c r="C40" s="88" t="str">
        <f>Table4[[#This Row],[Threat Event(s)]]</f>
        <v>Deliver directed malware
(CAPEC-185)</v>
      </c>
      <c r="D40" s="36" t="str">
        <f>IF(Table4[[#This Row],[V ID]]&gt;0,Table4[[#This Row],[V ID]],"")</f>
        <v>V16</v>
      </c>
      <c r="E40" s="88" t="str">
        <f>Table4[[#This Row],[Vulnerabilities]]</f>
        <v>Unencrypted data at rest in all possible locations</v>
      </c>
      <c r="F40" s="116" t="str">
        <f>IF(Table4[[#This Row],[A ID]]&gt;0,Table4[[#This Row],[A ID]],"")</f>
        <v>A02</v>
      </c>
      <c r="G40" s="88" t="str">
        <f>Table4[[#This Row],[Asset]]</f>
        <v>Tablet OS/network details &amp; Tablet Application</v>
      </c>
      <c r="H40" s="19" t="str">
        <f>IF(Table4[[#This Row],[Impact Description]]&gt;0,Table4[[#This Row],[Impact Description]],"")</f>
        <v xml:space="preserve">1) Malicious utilization of  computer resources 
2) computing power  
3) denial of service attacks, 
4) ransomware attack 
5) Bitcoin mining, etc </v>
      </c>
      <c r="I40" s="36" t="str">
        <f>IF(Table4[[#This Row],[Safety Impact 
(Risk ID'# or N/A)]]&gt;0,Table4[[#This Row],[Safety Impact 
(Risk ID'# or N/A)]],"")</f>
        <v>NA</v>
      </c>
      <c r="J40" s="18" t="str">
        <f>Table4[[#This Row],[Security 
Risk 
Level]]</f>
        <v>LOW</v>
      </c>
      <c r="K40"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40" s="94" t="str">
        <f>Table4[[#This Row],[Security Risk LevelP]]</f>
        <v/>
      </c>
      <c r="M40" s="36" t="str">
        <f>IF(Table4[[#This Row],[Residual Security Risk Acceptability Justification]]&gt;0,Table4[[#This Row],[Residual Security Risk Acceptability Justification]],"")</f>
        <v/>
      </c>
    </row>
    <row r="41" spans="1:13" s="26" customFormat="1" ht="156.75">
      <c r="A41" s="49">
        <f>Table4[[#This Row],[
ID '#]]</f>
        <v>37</v>
      </c>
      <c r="B41" s="115" t="str">
        <f>IF(Table4[[#This Row],[T ID]]&gt;0,Table4[[#This Row],[T ID]],"")</f>
        <v>T02</v>
      </c>
      <c r="C41" s="88" t="str">
        <f>Table4[[#This Row],[Threat Event(s)]]</f>
        <v>Deliver directed malware
(CAPEC-185)</v>
      </c>
      <c r="D41" s="36" t="str">
        <f>IF(Table4[[#This Row],[V ID]]&gt;0,Table4[[#This Row],[V ID]],"")</f>
        <v>V16</v>
      </c>
      <c r="E41" s="88" t="str">
        <f>Table4[[#This Row],[Vulnerabilities]]</f>
        <v>Unencrypted data at rest in all possible locations</v>
      </c>
      <c r="F41" s="116" t="str">
        <f>IF(Table4[[#This Row],[A ID]]&gt;0,Table4[[#This Row],[A ID]],"")</f>
        <v>A11</v>
      </c>
      <c r="G41" s="88" t="str">
        <f>Table4[[#This Row],[Asset]]</f>
        <v>Smart medic app (Stryker Admin Web Application)</v>
      </c>
      <c r="H41" s="19" t="str">
        <f>IF(Table4[[#This Row],[Impact Description]]&gt;0,Table4[[#This Row],[Impact Description]],"")</f>
        <v xml:space="preserve">1) Malicious utilization of  computer resources 
2) computing power  
3) denial of service attacks, 
4) ransomware attack 
5) Bitcoin mining, etc </v>
      </c>
      <c r="I41" s="36" t="str">
        <f>IF(Table4[[#This Row],[Safety Impact 
(Risk ID'# or N/A)]]&gt;0,Table4[[#This Row],[Safety Impact 
(Risk ID'# or N/A)]],"")</f>
        <v>NA</v>
      </c>
      <c r="J41" s="18" t="str">
        <f>Table4[[#This Row],[Security 
Risk 
Level]]</f>
        <v>LOW</v>
      </c>
      <c r="K41" s="19" t="str">
        <f>IF(Table4[[#This Row],[Security Risk Control Measures]]&gt;0,Table4[[#This Row],[Security Risk Control Measures]],"")</f>
        <v xml:space="preserve">1.  Identification of the sensitive data in storage and encryption of storage subsystem
2. Stateful firewall
3. Hardening of the host system containing sensitive data at rest
4. Maintain access control (read/modify) permission list for any sensitive &amp; unencrypted data if present.
5. Use strong encryption algorithm </v>
      </c>
      <c r="L41" s="94" t="str">
        <f>Table4[[#This Row],[Security Risk LevelP]]</f>
        <v/>
      </c>
      <c r="M41" s="36" t="str">
        <f>IF(Table4[[#This Row],[Residual Security Risk Acceptability Justification]]&gt;0,Table4[[#This Row],[Residual Security Risk Acceptability Justification]],"")</f>
        <v/>
      </c>
    </row>
    <row r="42" spans="1:13" s="26" customFormat="1" ht="156.75">
      <c r="A42" s="49">
        <f>Table4[[#This Row],[
ID '#]]</f>
        <v>38</v>
      </c>
      <c r="B42" s="115" t="str">
        <f>IF(Table4[[#This Row],[T ID]]&gt;0,Table4[[#This Row],[T ID]],"")</f>
        <v>T03</v>
      </c>
      <c r="C42" s="88" t="str">
        <f>Table4[[#This Row],[Threat Event(s)]]</f>
        <v>Gaining Access
([S]TRID[E])</v>
      </c>
      <c r="D42" s="36" t="str">
        <f>IF(Table4[[#This Row],[V ID]]&gt;0,Table4[[#This Row],[V ID]],"")</f>
        <v>V12</v>
      </c>
      <c r="E42" s="88" t="str">
        <f>Table4[[#This Row],[Vulnerabilities]]</f>
        <v>Unprotected network port(s) on network devices and connection points</v>
      </c>
      <c r="F42" s="116" t="str">
        <f>IF(Table4[[#This Row],[A ID]]&gt;0,Table4[[#This Row],[A ID]],"")</f>
        <v>A02</v>
      </c>
      <c r="G42" s="88" t="str">
        <f>Table4[[#This Row],[Asset]]</f>
        <v>Tablet OS/network details &amp; Tablet Application</v>
      </c>
      <c r="H42" s="19" t="str">
        <f>IF(Table4[[#This Row],[Impact Description]]&gt;0,Table4[[#This Row],[Impact Description]],"")</f>
        <v>1)  Obtain knowledge about system internals
2)  Attempt to find attack vectors 
3)  Possibilities for exploitation of publicly known Vulnerabilities.</v>
      </c>
      <c r="I42" s="36" t="str">
        <f>IF(Table4[[#This Row],[Safety Impact 
(Risk ID'# or N/A)]]&gt;0,Table4[[#This Row],[Safety Impact 
(Risk ID'# or N/A)]],"")</f>
        <v>NA</v>
      </c>
      <c r="J42" s="18" t="str">
        <f>Table4[[#This Row],[Security 
Risk 
Level]]</f>
        <v>LOW</v>
      </c>
      <c r="K42"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42" s="94" t="str">
        <f>Table4[[#This Row],[Security Risk LevelP]]</f>
        <v/>
      </c>
      <c r="M42" s="36" t="str">
        <f>IF(Table4[[#This Row],[Residual Security Risk Acceptability Justification]]&gt;0,Table4[[#This Row],[Residual Security Risk Acceptability Justification]],"")</f>
        <v/>
      </c>
    </row>
    <row r="43" spans="1:13" s="26" customFormat="1" ht="228">
      <c r="A43" s="49">
        <f>Table4[[#This Row],[
ID '#]]</f>
        <v>39</v>
      </c>
      <c r="B43" s="115" t="str">
        <f>IF(Table4[[#This Row],[T ID]]&gt;0,Table4[[#This Row],[T ID]],"")</f>
        <v>T03</v>
      </c>
      <c r="C43" s="88" t="str">
        <f>Table4[[#This Row],[Threat Event(s)]]</f>
        <v>Gaining Access
([S]TRID[E])</v>
      </c>
      <c r="D43" s="36" t="str">
        <f>IF(Table4[[#This Row],[V ID]]&gt;0,Table4[[#This Row],[V ID]],"")</f>
        <v>V12</v>
      </c>
      <c r="E43" s="88" t="str">
        <f>Table4[[#This Row],[Vulnerabilities]]</f>
        <v>Unprotected network port(s) on network devices and connection points</v>
      </c>
      <c r="F43" s="116" t="str">
        <f>IF(Table4[[#This Row],[A ID]]&gt;0,Table4[[#This Row],[A ID]],"")</f>
        <v>A11</v>
      </c>
      <c r="G43" s="88" t="str">
        <f>Table4[[#This Row],[Asset]]</f>
        <v>Smart medic app (Stryker Admin Web Application)</v>
      </c>
      <c r="H43" s="19" t="str">
        <f>IF(Table4[[#This Row],[Impact Description]]&gt;0,Table4[[#This Row],[Impact Description]],"")</f>
        <v>1)  Obtain knowledge about system internals
2)  Attempt to find attack vectors 
3)  Possibilities for exploitation of publicly known Vulnerabilities.</v>
      </c>
      <c r="I43" s="36" t="str">
        <f>IF(Table4[[#This Row],[Safety Impact 
(Risk ID'# or N/A)]]&gt;0,Table4[[#This Row],[Safety Impact 
(Risk ID'# or N/A)]],"")</f>
        <v>NA</v>
      </c>
      <c r="J43" s="18" t="str">
        <f>Table4[[#This Row],[Security 
Risk 
Level]]</f>
        <v>MEDIUM</v>
      </c>
      <c r="K43" s="19" t="str">
        <f>IF(Table4[[#This Row],[Security Risk Control Measures]]&gt;0,Table4[[#This Row],[Security Risk Control Measures]],"")</f>
        <v>1. Admin application can be accessed by login credentials &amp; MFA. Hence, strong password policies &amp; management are required
2. Data transfer between the admin application and the smart medic components needs to be encrypted &amp; secured.
3. Any vulnerable network ports and connection points should be identified and hardened.
4. Maintain access control (read/modify) permission list for any sensitive &amp; unencrypted data if present.
5. Stateful firewall</v>
      </c>
      <c r="L43" s="94" t="str">
        <f>Table4[[#This Row],[Security Risk LevelP]]</f>
        <v/>
      </c>
      <c r="M43" s="36" t="str">
        <f>IF(Table4[[#This Row],[Residual Security Risk Acceptability Justification]]&gt;0,Table4[[#This Row],[Residual Security Risk Acceptability Justification]],"")</f>
        <v/>
      </c>
    </row>
    <row r="44" spans="1:13" s="26" customFormat="1" ht="156.75">
      <c r="A44" s="49">
        <f>Table4[[#This Row],[
ID '#]]</f>
        <v>40</v>
      </c>
      <c r="B44" s="115" t="str">
        <f>IF(Table4[[#This Row],[T ID]]&gt;0,Table4[[#This Row],[T ID]],"")</f>
        <v>T03</v>
      </c>
      <c r="C44" s="88" t="str">
        <f>Table4[[#This Row],[Threat Event(s)]]</f>
        <v>Gaining Access
([S]TRID[E])</v>
      </c>
      <c r="D44" s="36" t="str">
        <f>IF(Table4[[#This Row],[V ID]]&gt;0,Table4[[#This Row],[V ID]],"")</f>
        <v>V12</v>
      </c>
      <c r="E44" s="88" t="str">
        <f>Table4[[#This Row],[Vulnerabilities]]</f>
        <v>Unprotected network port(s) on network devices and connection points</v>
      </c>
      <c r="F44" s="116" t="str">
        <f>IF(Table4[[#This Row],[A ID]]&gt;0,Table4[[#This Row],[A ID]],"")</f>
        <v>A01</v>
      </c>
      <c r="G44" s="88" t="str">
        <f>Table4[[#This Row],[Asset]]</f>
        <v>Tablet Resources - web cam, microphone, OTG devices, Removable USB, Tablet Application, Network interfaces (Bluetooth, Wifi)</v>
      </c>
      <c r="H44" s="19" t="str">
        <f>IF(Table4[[#This Row],[Impact Description]]&gt;0,Table4[[#This Row],[Impact Description]],"")</f>
        <v>1)  Obtain knowledge about system internals
2)  Attempt to find attack vectors 
3)  Possibilities for exploitation of publicly known Vulnerabilities.</v>
      </c>
      <c r="I44" s="36" t="str">
        <f>IF(Table4[[#This Row],[Safety Impact 
(Risk ID'# or N/A)]]&gt;0,Table4[[#This Row],[Safety Impact 
(Risk ID'# or N/A)]],"")</f>
        <v>NA</v>
      </c>
      <c r="J44" s="18" t="str">
        <f>Table4[[#This Row],[Security 
Risk 
Level]]</f>
        <v>LOW</v>
      </c>
      <c r="K44"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44" s="94" t="str">
        <f>Table4[[#This Row],[Security Risk LevelP]]</f>
        <v/>
      </c>
      <c r="M44" s="36" t="str">
        <f>IF(Table4[[#This Row],[Residual Security Risk Acceptability Justification]]&gt;0,Table4[[#This Row],[Residual Security Risk Acceptability Justification]],"")</f>
        <v/>
      </c>
    </row>
    <row r="45" spans="1:13" s="26" customFormat="1" ht="156.75">
      <c r="A45" s="49">
        <f>Table4[[#This Row],[
ID '#]]</f>
        <v>41</v>
      </c>
      <c r="B45" s="115" t="str">
        <f>IF(Table4[[#This Row],[T ID]]&gt;0,Table4[[#This Row],[T ID]],"")</f>
        <v>T03</v>
      </c>
      <c r="C45" s="88" t="str">
        <f>Table4[[#This Row],[Threat Event(s)]]</f>
        <v>Gaining Access
([S]TRID[E])</v>
      </c>
      <c r="D45" s="36" t="str">
        <f>IF(Table4[[#This Row],[V ID]]&gt;0,Table4[[#This Row],[V ID]],"")</f>
        <v>V01</v>
      </c>
      <c r="E45" s="88" t="str">
        <f>Table4[[#This Row],[Vulnerabilities]]</f>
        <v>Devices with default passwords needs to be checked for bruteforce attacks</v>
      </c>
      <c r="F45" s="116" t="str">
        <f>IF(Table4[[#This Row],[A ID]]&gt;0,Table4[[#This Row],[A ID]],"")</f>
        <v>A04</v>
      </c>
      <c r="G45" s="88" t="str">
        <f>Table4[[#This Row],[Asset]]</f>
        <v>Authentication/Authorisation method of all device(s)/app</v>
      </c>
      <c r="H45" s="19" t="str">
        <f>IF(Table4[[#This Row],[Impact Description]]&gt;0,Table4[[#This Row],[Impact Description]],"")</f>
        <v>1)  Obtain knowledge about system internals
2)  Attempt to find attack vectors 
3)  Possibilities for exploitation of publicly known Vulnerabilities.</v>
      </c>
      <c r="I45" s="36" t="str">
        <f>IF(Table4[[#This Row],[Safety Impact 
(Risk ID'# or N/A)]]&gt;0,Table4[[#This Row],[Safety Impact 
(Risk ID'# or N/A)]],"")</f>
        <v>NA</v>
      </c>
      <c r="J45" s="18" t="str">
        <f>Table4[[#This Row],[Security 
Risk 
Level]]</f>
        <v>MEDIUM</v>
      </c>
      <c r="K45" s="19" t="str">
        <f>IF(Table4[[#This Row],[Security Risk Control Measures]]&gt;0,Table4[[#This Row],[Security Risk Control Measures]],"")</f>
        <v xml:space="preserve">1.During the access providing, if default password is provided then immediately changing the password is needed. 
Also ensure:
2. Require multi-factor authentication
3. Limit authentication attempts (rate Limiting)
4. Maintain Access Logs
</v>
      </c>
      <c r="L45" s="94" t="str">
        <f>Table4[[#This Row],[Security Risk LevelP]]</f>
        <v/>
      </c>
      <c r="M45" s="36" t="str">
        <f>IF(Table4[[#This Row],[Residual Security Risk Acceptability Justification]]&gt;0,Table4[[#This Row],[Residual Security Risk Acceptability Justification]],"")</f>
        <v/>
      </c>
    </row>
    <row r="46" spans="1:13" s="26" customFormat="1" ht="242.25">
      <c r="A46" s="49">
        <f>Table4[[#This Row],[
ID '#]]</f>
        <v>42</v>
      </c>
      <c r="B46" s="115" t="str">
        <f>IF(Table4[[#This Row],[T ID]]&gt;0,Table4[[#This Row],[T ID]],"")</f>
        <v>T03</v>
      </c>
      <c r="C46" s="88" t="str">
        <f>Table4[[#This Row],[Threat Event(s)]]</f>
        <v>Gaining Access
([S]TRID[E])</v>
      </c>
      <c r="D46" s="36" t="str">
        <f>IF(Table4[[#This Row],[V ID]]&gt;0,Table4[[#This Row],[V ID]],"")</f>
        <v>V01</v>
      </c>
      <c r="E46" s="88" t="str">
        <f>Table4[[#This Row],[Vulnerabilities]]</f>
        <v>Devices with default passwords needs to be checked for bruteforce attacks</v>
      </c>
      <c r="F46" s="116" t="str">
        <f>IF(Table4[[#This Row],[A ID]]&gt;0,Table4[[#This Row],[A ID]],"")</f>
        <v>A07</v>
      </c>
      <c r="G46" s="88" t="str">
        <f>Table4[[#This Row],[Asset]]</f>
        <v>Interface/API Communication</v>
      </c>
      <c r="H46" s="19" t="str">
        <f>IF(Table4[[#This Row],[Impact Description]]&gt;0,Table4[[#This Row],[Impact Description]],"")</f>
        <v>1)  Obtain knowledge about system internals
2)  Attempt to find attack vectors 
3)  Possibilities for exploitation of publicly known Vulnerabilities.</v>
      </c>
      <c r="I46" s="36" t="str">
        <f>IF(Table4[[#This Row],[Safety Impact 
(Risk ID'# or N/A)]]&gt;0,Table4[[#This Row],[Safety Impact 
(Risk ID'# or N/A)]],"")</f>
        <v>NA</v>
      </c>
      <c r="J46" s="18" t="str">
        <f>Table4[[#This Row],[Security 
Risk 
Level]]</f>
        <v>LOW</v>
      </c>
      <c r="K46" s="19" t="str">
        <f>IF(Table4[[#This Row],[Security Risk Control Measures]]&gt;0,Table4[[#This Row],[Security Risk Control Measures]],"")</f>
        <v>1. During the access providing, if default password is provided then immediately changing the password is needed. 
Also ensure: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v>
      </c>
      <c r="L46" s="94" t="str">
        <f>Table4[[#This Row],[Security Risk LevelP]]</f>
        <v/>
      </c>
      <c r="M46" s="36" t="str">
        <f>IF(Table4[[#This Row],[Residual Security Risk Acceptability Justification]]&gt;0,Table4[[#This Row],[Residual Security Risk Acceptability Justification]],"")</f>
        <v/>
      </c>
    </row>
    <row r="47" spans="1:13" s="26" customFormat="1" ht="228">
      <c r="A47" s="49">
        <f>Table4[[#This Row],[
ID '#]]</f>
        <v>43</v>
      </c>
      <c r="B47" s="115" t="str">
        <f>IF(Table4[[#This Row],[T ID]]&gt;0,Table4[[#This Row],[T ID]],"")</f>
        <v>T03</v>
      </c>
      <c r="C47" s="88" t="str">
        <f>Table4[[#This Row],[Threat Event(s)]]</f>
        <v>Gaining Access
([S]TRID[E])</v>
      </c>
      <c r="D47" s="36" t="str">
        <f>IF(Table4[[#This Row],[V ID]]&gt;0,Table4[[#This Row],[V ID]],"")</f>
        <v>V03</v>
      </c>
      <c r="E47" s="88" t="str">
        <f>Table4[[#This Row],[Vulnerabilities]]</f>
        <v>The password complexity or location vulnerability. Like weak passwords and hardcoded passwords.</v>
      </c>
      <c r="F47" s="116" t="str">
        <f>IF(Table4[[#This Row],[A ID]]&gt;0,Table4[[#This Row],[A ID]],"")</f>
        <v>A04</v>
      </c>
      <c r="G47" s="88" t="str">
        <f>Table4[[#This Row],[Asset]]</f>
        <v>Authentication/Authorisation method of all device(s)/app</v>
      </c>
      <c r="H47" s="19" t="str">
        <f>IF(Table4[[#This Row],[Impact Description]]&gt;0,Table4[[#This Row],[Impact Description]],"")</f>
        <v>1)  Obtain knowledge about system internals
2)  Attempt to find attack vectors 
3)  Possibilities for exploitation of publicly known Vulnerabilities.</v>
      </c>
      <c r="I47" s="36" t="str">
        <f>IF(Table4[[#This Row],[Safety Impact 
(Risk ID'# or N/A)]]&gt;0,Table4[[#This Row],[Safety Impact 
(Risk ID'# or N/A)]],"")</f>
        <v>NA</v>
      </c>
      <c r="J47" s="18" t="str">
        <f>Table4[[#This Row],[Security 
Risk 
Level]]</f>
        <v>MEDIUM</v>
      </c>
      <c r="K47" s="19" t="str">
        <f>IF(Table4[[#This Row],[Security Risk Control Measures]]&gt;0,Table4[[#This Row],[Security Risk Control Measures]],"")</f>
        <v>1. If devices/apps being accessed by login credentials &amp; MFA. Then, strong password policies &amp; management are required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v>
      </c>
      <c r="L47" s="94" t="str">
        <f>Table4[[#This Row],[Security Risk LevelP]]</f>
        <v/>
      </c>
      <c r="M47" s="36" t="str">
        <f>IF(Table4[[#This Row],[Residual Security Risk Acceptability Justification]]&gt;0,Table4[[#This Row],[Residual Security Risk Acceptability Justification]],"")</f>
        <v/>
      </c>
    </row>
    <row r="48" spans="1:13" s="26" customFormat="1" ht="213.75">
      <c r="A48" s="49">
        <f>Table4[[#This Row],[
ID '#]]</f>
        <v>44</v>
      </c>
      <c r="B48" s="115" t="str">
        <f>IF(Table4[[#This Row],[T ID]]&gt;0,Table4[[#This Row],[T ID]],"")</f>
        <v>T03</v>
      </c>
      <c r="C48" s="88" t="str">
        <f>Table4[[#This Row],[Threat Event(s)]]</f>
        <v>Gaining Access
([S]TRID[E])</v>
      </c>
      <c r="D48" s="36" t="str">
        <f>IF(Table4[[#This Row],[V ID]]&gt;0,Table4[[#This Row],[V ID]],"")</f>
        <v>V04</v>
      </c>
      <c r="E48" s="88" t="str">
        <f>Table4[[#This Row],[Vulnerabilities]]</f>
        <v>Checking authentication modes for possible hacks and bypasses</v>
      </c>
      <c r="F48" s="116" t="str">
        <f>IF(Table4[[#This Row],[A ID]]&gt;0,Table4[[#This Row],[A ID]],"")</f>
        <v>A04</v>
      </c>
      <c r="G48" s="88" t="str">
        <f>Table4[[#This Row],[Asset]]</f>
        <v>Authentication/Authorisation method of all device(s)/app</v>
      </c>
      <c r="H48" s="19" t="str">
        <f>IF(Table4[[#This Row],[Impact Description]]&gt;0,Table4[[#This Row],[Impact Description]],"")</f>
        <v>1)  Obtain knowledge about system internals
2)  Attempt to find attack vectors 
3)  Possibilities for exploitation of publicly known Vulnerabilities.</v>
      </c>
      <c r="I48" s="36" t="str">
        <f>IF(Table4[[#This Row],[Safety Impact 
(Risk ID'# or N/A)]]&gt;0,Table4[[#This Row],[Safety Impact 
(Risk ID'# or N/A)]],"")</f>
        <v>NA</v>
      </c>
      <c r="J48" s="18" t="str">
        <f>Table4[[#This Row],[Security 
Risk 
Level]]</f>
        <v>LOW</v>
      </c>
      <c r="K48" s="19" t="str">
        <f>IF(Table4[[#This Row],[Security Risk Control Measures]]&gt;0,Table4[[#This Row],[Security Risk Control Measures]],"")</f>
        <v>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v>
      </c>
      <c r="L48" s="94" t="str">
        <f>Table4[[#This Row],[Security Risk LevelP]]</f>
        <v/>
      </c>
      <c r="M48" s="36" t="str">
        <f>IF(Table4[[#This Row],[Residual Security Risk Acceptability Justification]]&gt;0,Table4[[#This Row],[Residual Security Risk Acceptability Justification]],"")</f>
        <v/>
      </c>
    </row>
    <row r="49" spans="1:13" s="26" customFormat="1" ht="213.75">
      <c r="A49" s="49">
        <f>Table4[[#This Row],[
ID '#]]</f>
        <v>45</v>
      </c>
      <c r="B49" s="115" t="str">
        <f>IF(Table4[[#This Row],[T ID]]&gt;0,Table4[[#This Row],[T ID]],"")</f>
        <v>T03</v>
      </c>
      <c r="C49" s="88" t="str">
        <f>Table4[[#This Row],[Threat Event(s)]]</f>
        <v>Gaining Access
([S]TRID[E])</v>
      </c>
      <c r="D49" s="36" t="str">
        <f>IF(Table4[[#This Row],[V ID]]&gt;0,Table4[[#This Row],[V ID]],"")</f>
        <v>V04</v>
      </c>
      <c r="E49" s="88" t="str">
        <f>Table4[[#This Row],[Vulnerabilities]]</f>
        <v>Checking authentication modes for possible hacks and bypasses</v>
      </c>
      <c r="F49" s="116" t="str">
        <f>IF(Table4[[#This Row],[A ID]]&gt;0,Table4[[#This Row],[A ID]],"")</f>
        <v>A11</v>
      </c>
      <c r="G49" s="88" t="str">
        <f>Table4[[#This Row],[Asset]]</f>
        <v>Smart medic app (Stryker Admin Web Application)</v>
      </c>
      <c r="H49" s="19" t="str">
        <f>IF(Table4[[#This Row],[Impact Description]]&gt;0,Table4[[#This Row],[Impact Description]],"")</f>
        <v>1)  Obtain knowledge about system internals
2)  Attempt to find attack vectors 
3)  Possibilities for exploitation of publicly known Vulnerabilities.</v>
      </c>
      <c r="I49" s="36" t="str">
        <f>IF(Table4[[#This Row],[Safety Impact 
(Risk ID'# or N/A)]]&gt;0,Table4[[#This Row],[Safety Impact 
(Risk ID'# or N/A)]],"")</f>
        <v>NA</v>
      </c>
      <c r="J49" s="18" t="str">
        <f>Table4[[#This Row],[Security 
Risk 
Level]]</f>
        <v>LOW</v>
      </c>
      <c r="K49" s="19" t="str">
        <f>IF(Table4[[#This Row],[Security Risk Control Measures]]&gt;0,Table4[[#This Row],[Security Risk Control Measures]],"")</f>
        <v xml:space="preserve"> 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v>
      </c>
      <c r="L49" s="94" t="str">
        <f>Table4[[#This Row],[Security Risk LevelP]]</f>
        <v/>
      </c>
      <c r="M49" s="36" t="str">
        <f>IF(Table4[[#This Row],[Residual Security Risk Acceptability Justification]]&gt;0,Table4[[#This Row],[Residual Security Risk Acceptability Justification]],"")</f>
        <v/>
      </c>
    </row>
    <row r="50" spans="1:13" s="26" customFormat="1" ht="213.75">
      <c r="A50" s="49">
        <f>Table4[[#This Row],[
ID '#]]</f>
        <v>46</v>
      </c>
      <c r="B50" s="115" t="str">
        <f>IF(Table4[[#This Row],[T ID]]&gt;0,Table4[[#This Row],[T ID]],"")</f>
        <v>T03</v>
      </c>
      <c r="C50" s="88" t="str">
        <f>Table4[[#This Row],[Threat Event(s)]]</f>
        <v>Gaining Access
([S]TRID[E])</v>
      </c>
      <c r="D50" s="36" t="str">
        <f>IF(Table4[[#This Row],[V ID]]&gt;0,Table4[[#This Row],[V ID]],"")</f>
        <v>V04</v>
      </c>
      <c r="E50" s="88" t="str">
        <f>Table4[[#This Row],[Vulnerabilities]]</f>
        <v>Checking authentication modes for possible hacks and bypasses</v>
      </c>
      <c r="F50" s="116" t="str">
        <f>IF(Table4[[#This Row],[A ID]]&gt;0,Table4[[#This Row],[A ID]],"")</f>
        <v>A12</v>
      </c>
      <c r="G50" s="88" t="str">
        <f>Table4[[#This Row],[Asset]]</f>
        <v>Smart medic app (Azure Portal Administrator)</v>
      </c>
      <c r="H50" s="19" t="str">
        <f>IF(Table4[[#This Row],[Impact Description]]&gt;0,Table4[[#This Row],[Impact Description]],"")</f>
        <v>1)  Obtain knowledge about system internals
2)  Attempt to find attack vectors 
3)  Possibilities for exploitation of publicly known Vulnerabilities.</v>
      </c>
      <c r="I50" s="36" t="str">
        <f>IF(Table4[[#This Row],[Safety Impact 
(Risk ID'# or N/A)]]&gt;0,Table4[[#This Row],[Safety Impact 
(Risk ID'# or N/A)]],"")</f>
        <v>NA</v>
      </c>
      <c r="J50" s="18" t="str">
        <f>Table4[[#This Row],[Security 
Risk 
Level]]</f>
        <v>LOW</v>
      </c>
      <c r="K50" s="19" t="str">
        <f>IF(Table4[[#This Row],[Security Risk Control Measures]]&gt;0,Table4[[#This Row],[Security Risk Control Measures]],"")</f>
        <v>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v>
      </c>
      <c r="L50" s="94" t="str">
        <f>Table4[[#This Row],[Security Risk LevelP]]</f>
        <v/>
      </c>
      <c r="M50" s="36" t="str">
        <f>IF(Table4[[#This Row],[Residual Security Risk Acceptability Justification]]&gt;0,Table4[[#This Row],[Residual Security Risk Acceptability Justification]],"")</f>
        <v/>
      </c>
    </row>
    <row r="51" spans="1:13" s="26" customFormat="1" ht="156.75">
      <c r="A51" s="49">
        <f>Table4[[#This Row],[
ID '#]]</f>
        <v>47</v>
      </c>
      <c r="B51" s="115" t="str">
        <f>IF(Table4[[#This Row],[T ID]]&gt;0,Table4[[#This Row],[T ID]],"")</f>
        <v>T03</v>
      </c>
      <c r="C51" s="88" t="str">
        <f>Table4[[#This Row],[Threat Event(s)]]</f>
        <v>Gaining Access
([S]TRID[E])</v>
      </c>
      <c r="D51" s="36" t="str">
        <f>IF(Table4[[#This Row],[V ID]]&gt;0,Table4[[#This Row],[V ID]],"")</f>
        <v>V13</v>
      </c>
      <c r="E51" s="88" t="str">
        <f>Table4[[#This Row],[Vulnerabilities]]</f>
        <v>Unprotected external USB Port on the tablet/devices.</v>
      </c>
      <c r="F51" s="116" t="str">
        <f>IF(Table4[[#This Row],[A ID]]&gt;0,Table4[[#This Row],[A ID]],"")</f>
        <v>A01</v>
      </c>
      <c r="G51" s="88" t="str">
        <f>Table4[[#This Row],[Asset]]</f>
        <v>Tablet Resources - web cam, microphone, OTG devices, Removable USB, Tablet Application, Network interfaces (Bluetooth, Wifi)</v>
      </c>
      <c r="H51" s="19" t="str">
        <f>IF(Table4[[#This Row],[Impact Description]]&gt;0,Table4[[#This Row],[Impact Description]],"")</f>
        <v>1)  Obtain knowledge about system internals
2)  Attempt to find attack vectors 
3)  Possibilities for exploitation of publicly known Vulnerabilities.</v>
      </c>
      <c r="I51" s="36" t="str">
        <f>IF(Table4[[#This Row],[Safety Impact 
(Risk ID'# or N/A)]]&gt;0,Table4[[#This Row],[Safety Impact 
(Risk ID'# or N/A)]],"")</f>
        <v>NA</v>
      </c>
      <c r="J51" s="18" t="str">
        <f>Table4[[#This Row],[Security 
Risk 
Level]]</f>
        <v>LOW</v>
      </c>
      <c r="K51"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1" s="94" t="str">
        <f>Table4[[#This Row],[Security Risk LevelP]]</f>
        <v/>
      </c>
      <c r="M51" s="36" t="str">
        <f>IF(Table4[[#This Row],[Residual Security Risk Acceptability Justification]]&gt;0,Table4[[#This Row],[Residual Security Risk Acceptability Justification]],"")</f>
        <v/>
      </c>
    </row>
    <row r="52" spans="1:13" s="26" customFormat="1" ht="242.25">
      <c r="A52" s="49">
        <f>Table4[[#This Row],[
ID '#]]</f>
        <v>48</v>
      </c>
      <c r="B52" s="115" t="str">
        <f>IF(Table4[[#This Row],[T ID]]&gt;0,Table4[[#This Row],[T ID]],"")</f>
        <v>T04</v>
      </c>
      <c r="C52" s="88" t="str">
        <f>Table4[[#This Row],[Threat Event(s)]]</f>
        <v>Maintaining Access
(TTP)</v>
      </c>
      <c r="D52" s="36" t="str">
        <f>IF(Table4[[#This Row],[V ID]]&gt;0,Table4[[#This Row],[V ID]],"")</f>
        <v>V01</v>
      </c>
      <c r="E52" s="88" t="str">
        <f>Table4[[#This Row],[Vulnerabilities]]</f>
        <v>Devices with default passwords needs to be checked for bruteforce attacks</v>
      </c>
      <c r="F52" s="116" t="str">
        <f>IF(Table4[[#This Row],[A ID]]&gt;0,Table4[[#This Row],[A ID]],"")</f>
        <v>A04</v>
      </c>
      <c r="G52" s="88" t="str">
        <f>Table4[[#This Row],[Asset]]</f>
        <v>Authentication/Authorisation method of all device(s)/app</v>
      </c>
      <c r="H52" s="19" t="str">
        <f>IF(Table4[[#This Row],[Impact Description]]&gt;0,Table4[[#This Row],[Impact Description]],"")</f>
        <v>1)  Obtain knowledge about system internals
2)  Attempt to find attack vectors 
3)  Possibilities for exploitation of publicly known Vulnerabilities.</v>
      </c>
      <c r="I52" s="36" t="str">
        <f>IF(Table4[[#This Row],[Safety Impact 
(Risk ID'# or N/A)]]&gt;0,Table4[[#This Row],[Safety Impact 
(Risk ID'# or N/A)]],"")</f>
        <v>NA</v>
      </c>
      <c r="J52" s="18" t="str">
        <f>Table4[[#This Row],[Security 
Risk 
Level]]</f>
        <v>LOW</v>
      </c>
      <c r="K52" s="19" t="str">
        <f>IF(Table4[[#This Row],[Security Risk Control Measures]]&gt;0,Table4[[#This Row],[Security Risk Control Measures]],"")</f>
        <v>1. During the access providing, if default password is provided then immediately changing the password is needed. 
Also ensure: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v>
      </c>
      <c r="L52" s="94" t="str">
        <f>Table4[[#This Row],[Security Risk LevelP]]</f>
        <v/>
      </c>
      <c r="M52" s="36" t="str">
        <f>IF(Table4[[#This Row],[Residual Security Risk Acceptability Justification]]&gt;0,Table4[[#This Row],[Residual Security Risk Acceptability Justification]],"")</f>
        <v/>
      </c>
    </row>
    <row r="53" spans="1:13" s="26" customFormat="1" ht="228">
      <c r="A53" s="49">
        <f>Table4[[#This Row],[
ID '#]]</f>
        <v>49</v>
      </c>
      <c r="B53" s="115" t="str">
        <f>IF(Table4[[#This Row],[T ID]]&gt;0,Table4[[#This Row],[T ID]],"")</f>
        <v>T04</v>
      </c>
      <c r="C53" s="88" t="str">
        <f>Table4[[#This Row],[Threat Event(s)]]</f>
        <v>Maintaining Access
(TTP)</v>
      </c>
      <c r="D53" s="36" t="str">
        <f>IF(Table4[[#This Row],[V ID]]&gt;0,Table4[[#This Row],[V ID]],"")</f>
        <v>V03</v>
      </c>
      <c r="E53" s="88" t="str">
        <f>Table4[[#This Row],[Vulnerabilities]]</f>
        <v>The password complexity or location vulnerability. Like weak passwords and hardcoded passwords.</v>
      </c>
      <c r="F53" s="116" t="str">
        <f>IF(Table4[[#This Row],[A ID]]&gt;0,Table4[[#This Row],[A ID]],"")</f>
        <v>A04</v>
      </c>
      <c r="G53" s="88" t="str">
        <f>Table4[[#This Row],[Asset]]</f>
        <v>Authentication/Authorisation method of all device(s)/app</v>
      </c>
      <c r="H53" s="19" t="str">
        <f>IF(Table4[[#This Row],[Impact Description]]&gt;0,Table4[[#This Row],[Impact Description]],"")</f>
        <v>1)  Obtain knowledge about system internals
2)  Attempt to find attack vectors 
3)  Possibilities for exploitation of publicly known Vulnerabilities.</v>
      </c>
      <c r="I53" s="36" t="str">
        <f>IF(Table4[[#This Row],[Safety Impact 
(Risk ID'# or N/A)]]&gt;0,Table4[[#This Row],[Safety Impact 
(Risk ID'# or N/A)]],"")</f>
        <v>NA</v>
      </c>
      <c r="J53" s="18" t="str">
        <f>Table4[[#This Row],[Security 
Risk 
Level]]</f>
        <v>LOW</v>
      </c>
      <c r="K53" s="19" t="str">
        <f>IF(Table4[[#This Row],[Security Risk Control Measures]]&gt;0,Table4[[#This Row],[Security Risk Control Measures]],"")</f>
        <v>1. If devices/apps being accessed by login credentials &amp; MFA. Then, strong password policies &amp; management are required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v>
      </c>
      <c r="L53" s="94" t="str">
        <f>Table4[[#This Row],[Security Risk LevelP]]</f>
        <v/>
      </c>
      <c r="M53" s="36" t="str">
        <f>IF(Table4[[#This Row],[Residual Security Risk Acceptability Justification]]&gt;0,Table4[[#This Row],[Residual Security Risk Acceptability Justification]],"")</f>
        <v/>
      </c>
    </row>
    <row r="54" spans="1:13" s="26" customFormat="1" ht="156.75">
      <c r="A54" s="49">
        <f>Table4[[#This Row],[
ID '#]]</f>
        <v>50</v>
      </c>
      <c r="B54" s="115" t="str">
        <f>IF(Table4[[#This Row],[T ID]]&gt;0,Table4[[#This Row],[T ID]],"")</f>
        <v>T05</v>
      </c>
      <c r="C54" s="88" t="str">
        <f>Table4[[#This Row],[Threat Event(s)]]</f>
        <v>Clearing Track
(TTP)</v>
      </c>
      <c r="D54" s="36" t="str">
        <f>IF(Table4[[#This Row],[V ID]]&gt;0,Table4[[#This Row],[V ID]],"")</f>
        <v>V21</v>
      </c>
      <c r="E54" s="88" t="str">
        <f>Table4[[#This Row],[Vulnerabilities]]</f>
        <v>InSecure Configuration for Software/OS on Mobile Devices, Laptops, Workstations, and Servers</v>
      </c>
      <c r="F54" s="116" t="str">
        <f>IF(Table4[[#This Row],[A ID]]&gt;0,Table4[[#This Row],[A ID]],"")</f>
        <v>A01</v>
      </c>
      <c r="G54" s="88" t="str">
        <f>Table4[[#This Row],[Asset]]</f>
        <v>Tablet Resources - web cam, microphone, OTG devices, Removable USB, Tablet Application, Network interfaces (Bluetooth, Wifi)</v>
      </c>
      <c r="H54"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4" s="36" t="str">
        <f>IF(Table4[[#This Row],[Safety Impact 
(Risk ID'# or N/A)]]&gt;0,Table4[[#This Row],[Safety Impact 
(Risk ID'# or N/A)]],"")</f>
        <v>NA</v>
      </c>
      <c r="J54" s="18" t="str">
        <f>Table4[[#This Row],[Security 
Risk 
Level]]</f>
        <v>LOW</v>
      </c>
      <c r="K54"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4" s="94" t="str">
        <f>Table4[[#This Row],[Security Risk LevelP]]</f>
        <v/>
      </c>
      <c r="M54" s="36" t="str">
        <f>IF(Table4[[#This Row],[Residual Security Risk Acceptability Justification]]&gt;0,Table4[[#This Row],[Residual Security Risk Acceptability Justification]],"")</f>
        <v/>
      </c>
    </row>
    <row r="55" spans="1:13" s="26" customFormat="1" ht="156.75">
      <c r="A55" s="49">
        <f>Table4[[#This Row],[
ID '#]]</f>
        <v>51</v>
      </c>
      <c r="B55" s="115" t="str">
        <f>IF(Table4[[#This Row],[T ID]]&gt;0,Table4[[#This Row],[T ID]],"")</f>
        <v>T05</v>
      </c>
      <c r="C55" s="88" t="str">
        <f>Table4[[#This Row],[Threat Event(s)]]</f>
        <v>Clearing Track
(TTP)</v>
      </c>
      <c r="D55" s="36" t="str">
        <f>IF(Table4[[#This Row],[V ID]]&gt;0,Table4[[#This Row],[V ID]],"")</f>
        <v>V23</v>
      </c>
      <c r="E55" s="88" t="str">
        <f>Table4[[#This Row],[Vulnerabilities]]</f>
        <v>Outdated  - Software/Hardware</v>
      </c>
      <c r="F55" s="116" t="str">
        <f>IF(Table4[[#This Row],[A ID]]&gt;0,Table4[[#This Row],[A ID]],"")</f>
        <v>A01</v>
      </c>
      <c r="G55" s="88" t="str">
        <f>Table4[[#This Row],[Asset]]</f>
        <v>Tablet Resources - web cam, microphone, OTG devices, Removable USB, Tablet Application, Network interfaces (Bluetooth, Wifi)</v>
      </c>
      <c r="H55"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5" s="36" t="str">
        <f>IF(Table4[[#This Row],[Safety Impact 
(Risk ID'# or N/A)]]&gt;0,Table4[[#This Row],[Safety Impact 
(Risk ID'# or N/A)]],"")</f>
        <v>B-L2(Reference Risk Table and Risk Matrix SmartMedic Document # D001020010)</v>
      </c>
      <c r="J55" s="18" t="str">
        <f>Table4[[#This Row],[Security 
Risk 
Level]]</f>
        <v>LOW</v>
      </c>
      <c r="K55"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5" s="94" t="str">
        <f>Table4[[#This Row],[Security Risk LevelP]]</f>
        <v/>
      </c>
      <c r="M55" s="36" t="str">
        <f>IF(Table4[[#This Row],[Residual Security Risk Acceptability Justification]]&gt;0,Table4[[#This Row],[Residual Security Risk Acceptability Justification]],"")</f>
        <v/>
      </c>
    </row>
    <row r="56" spans="1:13" s="26" customFormat="1" ht="156.75">
      <c r="A56" s="49">
        <f>Table4[[#This Row],[
ID '#]]</f>
        <v>52</v>
      </c>
      <c r="B56" s="115" t="str">
        <f>IF(Table4[[#This Row],[T ID]]&gt;0,Table4[[#This Row],[T ID]],"")</f>
        <v>T05</v>
      </c>
      <c r="C56" s="88" t="str">
        <f>Table4[[#This Row],[Threat Event(s)]]</f>
        <v>Clearing Track
(TTP)</v>
      </c>
      <c r="D56" s="36" t="str">
        <f>IF(Table4[[#This Row],[V ID]]&gt;0,Table4[[#This Row],[V ID]],"")</f>
        <v>V07</v>
      </c>
      <c r="E56" s="88" t="str">
        <f>Table4[[#This Row],[Vulnerabilities]]</f>
        <v>Lack of configuration controls for IT assets in the informaion system plan</v>
      </c>
      <c r="F56" s="116" t="str">
        <f>IF(Table4[[#This Row],[A ID]]&gt;0,Table4[[#This Row],[A ID]],"")</f>
        <v>A01</v>
      </c>
      <c r="G56" s="88" t="str">
        <f>Table4[[#This Row],[Asset]]</f>
        <v>Tablet Resources - web cam, microphone, OTG devices, Removable USB, Tablet Application, Network interfaces (Bluetooth, Wifi)</v>
      </c>
      <c r="H56"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6" s="36" t="str">
        <f>IF(Table4[[#This Row],[Safety Impact 
(Risk ID'# or N/A)]]&gt;0,Table4[[#This Row],[Safety Impact 
(Risk ID'# or N/A)]],"")</f>
        <v>B-L2(Reference Risk Table and Risk Matrix SmartMedic Document # D001020010)</v>
      </c>
      <c r="J56" s="18" t="str">
        <f>Table4[[#This Row],[Security 
Risk 
Level]]</f>
        <v>LOW</v>
      </c>
      <c r="K56"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6" s="94" t="str">
        <f>Table4[[#This Row],[Security Risk LevelP]]</f>
        <v/>
      </c>
      <c r="M56" s="36" t="str">
        <f>IF(Table4[[#This Row],[Residual Security Risk Acceptability Justification]]&gt;0,Table4[[#This Row],[Residual Security Risk Acceptability Justification]],"")</f>
        <v/>
      </c>
    </row>
    <row r="57" spans="1:13" s="26" customFormat="1" ht="156.75">
      <c r="A57" s="49">
        <f>Table4[[#This Row],[
ID '#]]</f>
        <v>53</v>
      </c>
      <c r="B57" s="115" t="str">
        <f>IF(Table4[[#This Row],[T ID]]&gt;0,Table4[[#This Row],[T ID]],"")</f>
        <v>T05</v>
      </c>
      <c r="C57" s="88" t="str">
        <f>Table4[[#This Row],[Threat Event(s)]]</f>
        <v>Clearing Track
(TTP)</v>
      </c>
      <c r="D57" s="36" t="str">
        <f>IF(Table4[[#This Row],[V ID]]&gt;0,Table4[[#This Row],[V ID]],"")</f>
        <v>V07</v>
      </c>
      <c r="E57" s="88" t="str">
        <f>Table4[[#This Row],[Vulnerabilities]]</f>
        <v>Lack of configuration controls for IT assets in the informaion system plan</v>
      </c>
      <c r="F57" s="116" t="str">
        <f>IF(Table4[[#This Row],[A ID]]&gt;0,Table4[[#This Row],[A ID]],"")</f>
        <v>A05</v>
      </c>
      <c r="G57" s="88" t="str">
        <f>Table4[[#This Row],[Asset]]</f>
        <v>Device Maintainence tool (Hardware/Software)</v>
      </c>
      <c r="H57"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7" s="36" t="str">
        <f>IF(Table4[[#This Row],[Safety Impact 
(Risk ID'# or N/A)]]&gt;0,Table4[[#This Row],[Safety Impact 
(Risk ID'# or N/A)]],"")</f>
        <v>B-L2(Reference Risk Table and Risk Matrix SmartMedic Document # D001020010)</v>
      </c>
      <c r="J57" s="18" t="str">
        <f>Table4[[#This Row],[Security 
Risk 
Level]]</f>
        <v>LOW</v>
      </c>
      <c r="K57"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7" s="94" t="str">
        <f>Table4[[#This Row],[Security Risk LevelP]]</f>
        <v/>
      </c>
      <c r="M57" s="36" t="str">
        <f>IF(Table4[[#This Row],[Residual Security Risk Acceptability Justification]]&gt;0,Table4[[#This Row],[Residual Security Risk Acceptability Justification]],"")</f>
        <v/>
      </c>
    </row>
    <row r="58" spans="1:13" s="26" customFormat="1" ht="156.75">
      <c r="A58" s="49">
        <f>Table4[[#This Row],[
ID '#]]</f>
        <v>54</v>
      </c>
      <c r="B58" s="115" t="str">
        <f>IF(Table4[[#This Row],[T ID]]&gt;0,Table4[[#This Row],[T ID]],"")</f>
        <v>T05</v>
      </c>
      <c r="C58" s="88" t="str">
        <f>Table4[[#This Row],[Threat Event(s)]]</f>
        <v>Clearing Track
(TTP)</v>
      </c>
      <c r="D58" s="36" t="str">
        <f>IF(Table4[[#This Row],[V ID]]&gt;0,Table4[[#This Row],[V ID]],"")</f>
        <v>V08</v>
      </c>
      <c r="E58" s="88" t="str">
        <f>Table4[[#This Row],[Vulnerabilities]]</f>
        <v>Ineffective patch management of firware, OS and applications thoughout the information system plan</v>
      </c>
      <c r="F58" s="116" t="str">
        <f>IF(Table4[[#This Row],[A ID]]&gt;0,Table4[[#This Row],[A ID]],"")</f>
        <v>A01</v>
      </c>
      <c r="G58" s="88" t="str">
        <f>Table4[[#This Row],[Asset]]</f>
        <v>Tablet Resources - web cam, microphone, OTG devices, Removable USB, Tablet Application, Network interfaces (Bluetooth, Wifi)</v>
      </c>
      <c r="H58"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8" s="36" t="str">
        <f>IF(Table4[[#This Row],[Safety Impact 
(Risk ID'# or N/A)]]&gt;0,Table4[[#This Row],[Safety Impact 
(Risk ID'# or N/A)]],"")</f>
        <v>B-L2(Reference Risk Table and Risk Matrix SmartMedic Document # D001020010)</v>
      </c>
      <c r="J58" s="18" t="str">
        <f>Table4[[#This Row],[Security 
Risk 
Level]]</f>
        <v>LOW</v>
      </c>
      <c r="K58"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8" s="94" t="str">
        <f>Table4[[#This Row],[Security Risk LevelP]]</f>
        <v/>
      </c>
      <c r="M58" s="36" t="str">
        <f>IF(Table4[[#This Row],[Residual Security Risk Acceptability Justification]]&gt;0,Table4[[#This Row],[Residual Security Risk Acceptability Justification]],"")</f>
        <v/>
      </c>
    </row>
    <row r="59" spans="1:13" s="26" customFormat="1" ht="156.75">
      <c r="A59" s="49">
        <f>Table4[[#This Row],[
ID '#]]</f>
        <v>55</v>
      </c>
      <c r="B59" s="115" t="str">
        <f>IF(Table4[[#This Row],[T ID]]&gt;0,Table4[[#This Row],[T ID]],"")</f>
        <v>T05</v>
      </c>
      <c r="C59" s="88" t="str">
        <f>Table4[[#This Row],[Threat Event(s)]]</f>
        <v>Clearing Track
(TTP)</v>
      </c>
      <c r="D59" s="36" t="str">
        <f>IF(Table4[[#This Row],[V ID]]&gt;0,Table4[[#This Row],[V ID]],"")</f>
        <v>V08</v>
      </c>
      <c r="E59" s="88" t="str">
        <f>Table4[[#This Row],[Vulnerabilities]]</f>
        <v>Ineffective patch management of firware, OS and applications thoughout the information system plan</v>
      </c>
      <c r="F59" s="116" t="str">
        <f>IF(Table4[[#This Row],[A ID]]&gt;0,Table4[[#This Row],[A ID]],"")</f>
        <v>A05</v>
      </c>
      <c r="G59" s="88" t="str">
        <f>Table4[[#This Row],[Asset]]</f>
        <v>Device Maintainence tool (Hardware/Software)</v>
      </c>
      <c r="H59"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9" s="36" t="str">
        <f>IF(Table4[[#This Row],[Safety Impact 
(Risk ID'# or N/A)]]&gt;0,Table4[[#This Row],[Safety Impact 
(Risk ID'# or N/A)]],"")</f>
        <v>B-L2(Reference Risk Table and Risk Matrix SmartMedic Document # D001020010)</v>
      </c>
      <c r="J59" s="18" t="str">
        <f>Table4[[#This Row],[Security 
Risk 
Level]]</f>
        <v>LOW</v>
      </c>
      <c r="K59"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9" s="94" t="str">
        <f>Table4[[#This Row],[Security Risk LevelP]]</f>
        <v/>
      </c>
      <c r="M59" s="36" t="str">
        <f>IF(Table4[[#This Row],[Residual Security Risk Acceptability Justification]]&gt;0,Table4[[#This Row],[Residual Security Risk Acceptability Justification]],"")</f>
        <v/>
      </c>
    </row>
    <row r="60" spans="1:13" s="26" customFormat="1" ht="156.75">
      <c r="A60" s="49">
        <f>Table4[[#This Row],[
ID '#]]</f>
        <v>56</v>
      </c>
      <c r="B60" s="115" t="str">
        <f>IF(Table4[[#This Row],[T ID]]&gt;0,Table4[[#This Row],[T ID]],"")</f>
        <v>T05</v>
      </c>
      <c r="C60" s="88" t="str">
        <f>Table4[[#This Row],[Threat Event(s)]]</f>
        <v>Clearing Track
(TTP)</v>
      </c>
      <c r="D60" s="36" t="str">
        <f>IF(Table4[[#This Row],[V ID]]&gt;0,Table4[[#This Row],[V ID]],"")</f>
        <v>V08</v>
      </c>
      <c r="E60" s="88" t="str">
        <f>Table4[[#This Row],[Vulnerabilities]]</f>
        <v>Ineffective patch management of firware, OS and applications thoughout the information system plan</v>
      </c>
      <c r="F60" s="116" t="str">
        <f>IF(Table4[[#This Row],[A ID]]&gt;0,Table4[[#This Row],[A ID]],"")</f>
        <v>A02</v>
      </c>
      <c r="G60" s="88" t="str">
        <f>Table4[[#This Row],[Asset]]</f>
        <v>Tablet OS/network details &amp; Tablet Application</v>
      </c>
      <c r="H60"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0" s="36" t="str">
        <f>IF(Table4[[#This Row],[Safety Impact 
(Risk ID'# or N/A)]]&gt;0,Table4[[#This Row],[Safety Impact 
(Risk ID'# or N/A)]],"")</f>
        <v>B-L2(Reference Risk Table and Risk Matrix SmartMedic Document # D001020010)</v>
      </c>
      <c r="J60" s="18" t="str">
        <f>Table4[[#This Row],[Security 
Risk 
Level]]</f>
        <v>LOW</v>
      </c>
      <c r="K60"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60" s="94" t="str">
        <f>Table4[[#This Row],[Security Risk LevelP]]</f>
        <v/>
      </c>
      <c r="M60" s="36" t="str">
        <f>IF(Table4[[#This Row],[Residual Security Risk Acceptability Justification]]&gt;0,Table4[[#This Row],[Residual Security Risk Acceptability Justification]],"")</f>
        <v/>
      </c>
    </row>
    <row r="61" spans="1:13" s="26" customFormat="1" ht="156.75">
      <c r="A61" s="49">
        <f>Table4[[#This Row],[
ID '#]]</f>
        <v>57</v>
      </c>
      <c r="B61" s="115" t="str">
        <f>IF(Table4[[#This Row],[T ID]]&gt;0,Table4[[#This Row],[T ID]],"")</f>
        <v>T05</v>
      </c>
      <c r="C61" s="88" t="str">
        <f>Table4[[#This Row],[Threat Event(s)]]</f>
        <v>Clearing Track
(TTP)</v>
      </c>
      <c r="D61" s="36" t="str">
        <f>IF(Table4[[#This Row],[V ID]]&gt;0,Table4[[#This Row],[V ID]],"")</f>
        <v>V10</v>
      </c>
      <c r="E61" s="88" t="str">
        <f>Table4[[#This Row],[Vulnerabilities]]</f>
        <v>The  static connection digaram between devices and applications with provision for periodic updation as per changes</v>
      </c>
      <c r="F61" s="116" t="str">
        <f>IF(Table4[[#This Row],[A ID]]&gt;0,Table4[[#This Row],[A ID]],"")</f>
        <v>A05</v>
      </c>
      <c r="G61" s="88" t="str">
        <f>Table4[[#This Row],[Asset]]</f>
        <v>Device Maintainence tool (Hardware/Software)</v>
      </c>
      <c r="H61"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1" s="36" t="str">
        <f>IF(Table4[[#This Row],[Safety Impact 
(Risk ID'# or N/A)]]&gt;0,Table4[[#This Row],[Safety Impact 
(Risk ID'# or N/A)]],"")</f>
        <v>B-L2(Reference Risk Table and Risk Matrix SmartMedic Document # D001020010)</v>
      </c>
      <c r="J61" s="18" t="str">
        <f>Table4[[#This Row],[Security 
Risk 
Level]]</f>
        <v>LOW</v>
      </c>
      <c r="K61"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61" s="94" t="str">
        <f>Table4[[#This Row],[Security Risk LevelP]]</f>
        <v/>
      </c>
      <c r="M61" s="36" t="str">
        <f>IF(Table4[[#This Row],[Residual Security Risk Acceptability Justification]]&gt;0,Table4[[#This Row],[Residual Security Risk Acceptability Justification]],"")</f>
        <v/>
      </c>
    </row>
    <row r="62" spans="1:13" s="26" customFormat="1" ht="156.75">
      <c r="A62" s="49">
        <f>Table4[[#This Row],[
ID '#]]</f>
        <v>58</v>
      </c>
      <c r="B62" s="115" t="str">
        <f>IF(Table4[[#This Row],[T ID]]&gt;0,Table4[[#This Row],[T ID]],"")</f>
        <v>T05</v>
      </c>
      <c r="C62" s="88" t="str">
        <f>Table4[[#This Row],[Threat Event(s)]]</f>
        <v>Clearing Track
(TTP)</v>
      </c>
      <c r="D62" s="36" t="str">
        <f>IF(Table4[[#This Row],[V ID]]&gt;0,Table4[[#This Row],[V ID]],"")</f>
        <v>V10</v>
      </c>
      <c r="E62" s="88" t="str">
        <f>Table4[[#This Row],[Vulnerabilities]]</f>
        <v>The  static connection digaram between devices and applications with provision for periodic updation as per changes</v>
      </c>
      <c r="F62" s="116" t="str">
        <f>IF(Table4[[#This Row],[A ID]]&gt;0,Table4[[#This Row],[A ID]],"")</f>
        <v>A01</v>
      </c>
      <c r="G62" s="88" t="str">
        <f>Table4[[#This Row],[Asset]]</f>
        <v>Tablet Resources - web cam, microphone, OTG devices, Removable USB, Tablet Application, Network interfaces (Bluetooth, Wifi)</v>
      </c>
      <c r="H62"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2" s="36" t="str">
        <f>IF(Table4[[#This Row],[Safety Impact 
(Risk ID'# or N/A)]]&gt;0,Table4[[#This Row],[Safety Impact 
(Risk ID'# or N/A)]],"")</f>
        <v>B-L2(Reference Risk Table and Risk Matrix SmartMedic Document # D001020010)</v>
      </c>
      <c r="J62" s="18" t="str">
        <f>Table4[[#This Row],[Security 
Risk 
Level]]</f>
        <v>LOW</v>
      </c>
      <c r="K62"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62" s="94" t="str">
        <f>Table4[[#This Row],[Security Risk LevelP]]</f>
        <v/>
      </c>
      <c r="M62" s="36" t="str">
        <f>IF(Table4[[#This Row],[Residual Security Risk Acceptability Justification]]&gt;0,Table4[[#This Row],[Residual Security Risk Acceptability Justification]],"")</f>
        <v/>
      </c>
    </row>
    <row r="63" spans="1:13" s="26" customFormat="1" ht="185.25">
      <c r="A63" s="49">
        <f>Table4[[#This Row],[
ID '#]]</f>
        <v>59</v>
      </c>
      <c r="B63" s="115" t="str">
        <f>IF(Table4[[#This Row],[T ID]]&gt;0,Table4[[#This Row],[T ID]],"")</f>
        <v>T06</v>
      </c>
      <c r="C63" s="88" t="str">
        <f>Table4[[#This Row],[Threat Event(s)]]</f>
        <v>Elevation of privilege
(STRID[E])</v>
      </c>
      <c r="D63" s="36" t="str">
        <f>IF(Table4[[#This Row],[V ID]]&gt;0,Table4[[#This Row],[V ID]],"")</f>
        <v>V15</v>
      </c>
      <c r="E63" s="88" t="str">
        <f>Table4[[#This Row],[Vulnerabilities]]</f>
        <v>Controlled Use of Administrative Privileges over the network</v>
      </c>
      <c r="F63" s="116" t="str">
        <f>IF(Table4[[#This Row],[A ID]]&gt;0,Table4[[#This Row],[A ID]],"")</f>
        <v>A04</v>
      </c>
      <c r="G63" s="88" t="str">
        <f>Table4[[#This Row],[Asset]]</f>
        <v>Authentication/Authorisation method of all device(s)/app</v>
      </c>
      <c r="H63" s="19" t="str">
        <f>IF(Table4[[#This Row],[Impact Description]]&gt;0,Table4[[#This Row],[Impact Description]],"")</f>
        <v>1) Gaining access to the portal 
2) Accessing confidential data, 
3) Lead misuse of confidential data
4)  Company defamation</v>
      </c>
      <c r="I63" s="36" t="str">
        <f>IF(Table4[[#This Row],[Safety Impact 
(Risk ID'# or N/A)]]&gt;0,Table4[[#This Row],[Safety Impact 
(Risk ID'# or N/A)]],"")</f>
        <v>NA</v>
      </c>
      <c r="J63" s="18" t="str">
        <f>Table4[[#This Row],[Security 
Risk 
Level]]</f>
        <v>LOW</v>
      </c>
      <c r="K63" s="19" t="str">
        <f>IF(Table4[[#This Row],[Security Risk Control Measures]]&gt;0,Table4[[#This Row],[Security Risk Control Measures]],"")</f>
        <v>1. Require that administrators establish multi factor authentication for their administrator and non-administrative accounts.
2. Access to a machine (either remotely or locally) should be blocked for administrator-level accounts.
3. Ensure default credentials not existing for any assets (such as applications, operating systems, routers, firewalls, wireless access points).</v>
      </c>
      <c r="L63" s="94" t="str">
        <f>Table4[[#This Row],[Security Risk LevelP]]</f>
        <v/>
      </c>
      <c r="M63" s="36" t="str">
        <f>IF(Table4[[#This Row],[Residual Security Risk Acceptability Justification]]&gt;0,Table4[[#This Row],[Residual Security Risk Acceptability Justification]],"")</f>
        <v/>
      </c>
    </row>
    <row r="64" spans="1:13" s="26" customFormat="1" ht="185.25">
      <c r="A64" s="49">
        <f>Table4[[#This Row],[
ID '#]]</f>
        <v>60</v>
      </c>
      <c r="B64" s="115" t="str">
        <f>IF(Table4[[#This Row],[T ID]]&gt;0,Table4[[#This Row],[T ID]],"")</f>
        <v>T06</v>
      </c>
      <c r="C64" s="88" t="str">
        <f>Table4[[#This Row],[Threat Event(s)]]</f>
        <v>Elevation of privilege
(STRID[E])</v>
      </c>
      <c r="D64" s="36" t="str">
        <f>IF(Table4[[#This Row],[V ID]]&gt;0,Table4[[#This Row],[V ID]],"")</f>
        <v>V15</v>
      </c>
      <c r="E64" s="88" t="str">
        <f>Table4[[#This Row],[Vulnerabilities]]</f>
        <v>Controlled Use of Administrative Privileges over the network</v>
      </c>
      <c r="F64" s="116" t="str">
        <f>IF(Table4[[#This Row],[A ID]]&gt;0,Table4[[#This Row],[A ID]],"")</f>
        <v>A12</v>
      </c>
      <c r="G64" s="88" t="str">
        <f>Table4[[#This Row],[Asset]]</f>
        <v>Smart medic app (Azure Portal Administrator)</v>
      </c>
      <c r="H64" s="19" t="str">
        <f>IF(Table4[[#This Row],[Impact Description]]&gt;0,Table4[[#This Row],[Impact Description]],"")</f>
        <v>1) Gaining access to the portal 
2) Accessing confidential data, 
3) Lead misuse of confidential data
4)  Company defamation</v>
      </c>
      <c r="I64" s="36" t="str">
        <f>IF(Table4[[#This Row],[Safety Impact 
(Risk ID'# or N/A)]]&gt;0,Table4[[#This Row],[Safety Impact 
(Risk ID'# or N/A)]],"")</f>
        <v>NA</v>
      </c>
      <c r="J64" s="18" t="str">
        <f>Table4[[#This Row],[Security 
Risk 
Level]]</f>
        <v>MEDIUM</v>
      </c>
      <c r="K64" s="19" t="str">
        <f>IF(Table4[[#This Row],[Security Risk Control Measures]]&gt;0,Table4[[#This Row],[Security Risk Control Measures]],"")</f>
        <v>1. Require that administrators establish multi factor authentication for their administrator and non-administrative accounts.
2. Access to a machine (either remotely or locally) should be blocked for administrator-level accounts.
3. Ensure default credentials not existing for any assets (such as applications, operating systems, routers, firewalls, wireless access points).</v>
      </c>
      <c r="L64" s="94" t="str">
        <f>Table4[[#This Row],[Security Risk LevelP]]</f>
        <v/>
      </c>
      <c r="M64" s="36" t="str">
        <f>IF(Table4[[#This Row],[Residual Security Risk Acceptability Justification]]&gt;0,Table4[[#This Row],[Residual Security Risk Acceptability Justification]],"")</f>
        <v/>
      </c>
    </row>
    <row r="65" spans="1:13" s="26" customFormat="1" ht="142.5">
      <c r="A65" s="49">
        <f>Table4[[#This Row],[
ID '#]]</f>
        <v>61</v>
      </c>
      <c r="B65" s="115" t="str">
        <f>IF(Table4[[#This Row],[T ID]]&gt;0,Table4[[#This Row],[T ID]],"")</f>
        <v>T07</v>
      </c>
      <c r="C65" s="88" t="str">
        <f>Table4[[#This Row],[Threat Event(s)]]</f>
        <v>Denial of service
(STRI(D)E)</v>
      </c>
      <c r="D65" s="36" t="str">
        <f>IF(Table4[[#This Row],[V ID]]&gt;0,Table4[[#This Row],[V ID]],"")</f>
        <v>V12</v>
      </c>
      <c r="E65" s="88" t="str">
        <f>Table4[[#This Row],[Vulnerabilities]]</f>
        <v>Unprotected network port(s) on network devices and connection points</v>
      </c>
      <c r="F65" s="116" t="str">
        <f>IF(Table4[[#This Row],[A ID]]&gt;0,Table4[[#This Row],[A ID]],"")</f>
        <v>A02</v>
      </c>
      <c r="G65" s="88" t="str">
        <f>Table4[[#This Row],[Asset]]</f>
        <v>Tablet OS/network details &amp; Tablet Application</v>
      </c>
      <c r="H65" s="19" t="str">
        <f>IF(Table4[[#This Row],[Impact Description]]&gt;0,Table4[[#This Row],[Impact Description]],"")</f>
        <v>1) Bring down the service availability 
2) Blocking the end user usage</v>
      </c>
      <c r="I65" s="36" t="str">
        <f>IF(Table4[[#This Row],[Safety Impact 
(Risk ID'# or N/A)]]&gt;0,Table4[[#This Row],[Safety Impact 
(Risk ID'# or N/A)]],"")</f>
        <v>NA</v>
      </c>
      <c r="J65" s="18" t="str">
        <f>Table4[[#This Row],[Security 
Risk 
Level]]</f>
        <v>MEDIUM</v>
      </c>
      <c r="K65" s="19" t="str">
        <f>IF(Table4[[#This Row],[Security Risk Control Measures]]&gt;0,Table4[[#This Row],[Security Risk Control Measures]],"")</f>
        <v xml:space="preserve">1. Asset should be behind stateful firewall
2. Anti-virus with updated virus definitions
3. System log capturing any abnormal activity identified/reported by the application
4.  Use hardened interfaces (n/w) &amp; secure tunnel communications channel </v>
      </c>
      <c r="L65" s="94" t="str">
        <f>Table4[[#This Row],[Security Risk LevelP]]</f>
        <v/>
      </c>
      <c r="M65" s="36" t="str">
        <f>IF(Table4[[#This Row],[Residual Security Risk Acceptability Justification]]&gt;0,Table4[[#This Row],[Residual Security Risk Acceptability Justification]],"")</f>
        <v/>
      </c>
    </row>
    <row r="66" spans="1:13" s="26" customFormat="1" ht="156.75">
      <c r="A66" s="49">
        <f>Table4[[#This Row],[
ID '#]]</f>
        <v>62</v>
      </c>
      <c r="B66" s="115" t="str">
        <f>IF(Table4[[#This Row],[T ID]]&gt;0,Table4[[#This Row],[T ID]],"")</f>
        <v>T08</v>
      </c>
      <c r="C66" s="88" t="str">
        <f>Table4[[#This Row],[Threat Event(s)]]</f>
        <v>Information disclosure
(STR(I)DE)</v>
      </c>
      <c r="D66" s="36" t="str">
        <f>IF(Table4[[#This Row],[V ID]]&gt;0,Table4[[#This Row],[V ID]],"")</f>
        <v>V16</v>
      </c>
      <c r="E66" s="88" t="str">
        <f>Table4[[#This Row],[Vulnerabilities]]</f>
        <v>Unencrypted data at rest in all possible locations</v>
      </c>
      <c r="F66" s="116" t="str">
        <f>IF(Table4[[#This Row],[A ID]]&gt;0,Table4[[#This Row],[A ID]],"")</f>
        <v>A09</v>
      </c>
      <c r="G66" s="88" t="str">
        <f>Table4[[#This Row],[Asset]]</f>
        <v>Data at Rest</v>
      </c>
      <c r="H66" s="19" t="str">
        <f>IF(Table4[[#This Row],[Impact Description]]&gt;0,Table4[[#This Row],[Impact Description]],"")</f>
        <v>Information of health data can be exploit and disclose with various means like network, tablet etc.  .</v>
      </c>
      <c r="I66" s="36" t="str">
        <f>IF(Table4[[#This Row],[Safety Impact 
(Risk ID'# or N/A)]]&gt;0,Table4[[#This Row],[Safety Impact 
(Risk ID'# or N/A)]],"")</f>
        <v>NA</v>
      </c>
      <c r="J66" s="18" t="str">
        <f>Table4[[#This Row],[Security 
Risk 
Level]]</f>
        <v>LOW</v>
      </c>
      <c r="K66" s="19" t="str">
        <f>IF(Table4[[#This Row],[Security Risk Control Measures]]&gt;0,Table4[[#This Row],[Security Risk Control Measures]],"")</f>
        <v xml:space="preserve">1.  Identification of the sensitive data in storage and encryption of storage subsystem
2. Stateful firewall
3. Hardening of the host system containing sensitive data at rest 
4. Maintain access control (read/modify) permission list for any sensitive &amp; unencrypted data if present.
5. Use strong encrption algorithm </v>
      </c>
      <c r="L66" s="94" t="str">
        <f>Table4[[#This Row],[Security Risk LevelP]]</f>
        <v/>
      </c>
      <c r="M66" s="36" t="str">
        <f>IF(Table4[[#This Row],[Residual Security Risk Acceptability Justification]]&gt;0,Table4[[#This Row],[Residual Security Risk Acceptability Justification]],"")</f>
        <v/>
      </c>
    </row>
    <row r="67" spans="1:13" s="26" customFormat="1" ht="185.25">
      <c r="A67" s="49">
        <f>Table4[[#This Row],[
ID '#]]</f>
        <v>63</v>
      </c>
      <c r="B67" s="115" t="str">
        <f>IF(Table4[[#This Row],[T ID]]&gt;0,Table4[[#This Row],[T ID]],"")</f>
        <v>T08</v>
      </c>
      <c r="C67" s="88" t="str">
        <f>Table4[[#This Row],[Threat Event(s)]]</f>
        <v>Information disclosure
(STR(I)DE)</v>
      </c>
      <c r="D67" s="36" t="str">
        <f>IF(Table4[[#This Row],[V ID]]&gt;0,Table4[[#This Row],[V ID]],"")</f>
        <v>V17</v>
      </c>
      <c r="E67" s="88" t="str">
        <f>Table4[[#This Row],[Vulnerabilities]]</f>
        <v>Unencrypted data in transit in all flowchannels</v>
      </c>
      <c r="F67" s="116" t="str">
        <f>IF(Table4[[#This Row],[A ID]]&gt;0,Table4[[#This Row],[A ID]],"")</f>
        <v>A10</v>
      </c>
      <c r="G67" s="88" t="str">
        <f>Table4[[#This Row],[Asset]]</f>
        <v>Data in Transit</v>
      </c>
      <c r="H67" s="19" t="str">
        <f>IF(Table4[[#This Row],[Impact Description]]&gt;0,Table4[[#This Row],[Impact Description]],"")</f>
        <v>Information of health data can be exploit and disclose with various means like network, tablet etc.  .</v>
      </c>
      <c r="I67" s="36" t="str">
        <f>IF(Table4[[#This Row],[Safety Impact 
(Risk ID'# or N/A)]]&gt;0,Table4[[#This Row],[Safety Impact 
(Risk ID'# or N/A)]],"")</f>
        <v>NA</v>
      </c>
      <c r="J67" s="18" t="str">
        <f>Table4[[#This Row],[Security 
Risk 
Level]]</f>
        <v>LOW</v>
      </c>
      <c r="K67" s="19" t="str">
        <f>IF(Table4[[#This Row],[Security Risk Control Measures]]&gt;0,Table4[[#This Row],[Security Risk Control Measures]],"")</f>
        <v>1. Use secure tunnel communication channel
2. Configure and upgrade routers for the n/w security
3. Configure firewalls to reject any packets with spoofed addresses.
4. Maintain access control (read/modify) permission list for any sensitive &amp; unencrypted data if present.
5. For sensitive data proper encryption mechanism needs to be 
designed &amp; implemented</v>
      </c>
      <c r="L67" s="94" t="str">
        <f>Table4[[#This Row],[Security Risk LevelP]]</f>
        <v/>
      </c>
      <c r="M67" s="36" t="str">
        <f>IF(Table4[[#This Row],[Residual Security Risk Acceptability Justification]]&gt;0,Table4[[#This Row],[Residual Security Risk Acceptability Justification]],"")</f>
        <v/>
      </c>
    </row>
    <row r="68" spans="1:13" s="26" customFormat="1" ht="142.5">
      <c r="A68" s="49">
        <f>Table4[[#This Row],[
ID '#]]</f>
        <v>64</v>
      </c>
      <c r="B68" s="115" t="str">
        <f>IF(Table4[[#This Row],[T ID]]&gt;0,Table4[[#This Row],[T ID]],"")</f>
        <v>T08</v>
      </c>
      <c r="C68" s="88" t="str">
        <f>Table4[[#This Row],[Threat Event(s)]]</f>
        <v>Information disclosure
(STR(I)DE)</v>
      </c>
      <c r="D68" s="36" t="str">
        <f>IF(Table4[[#This Row],[V ID]]&gt;0,Table4[[#This Row],[V ID]],"")</f>
        <v>V18</v>
      </c>
      <c r="E68" s="88" t="str">
        <f>Table4[[#This Row],[Vulnerabilities]]</f>
        <v>Weak Encryption Implementaion in data at rest and in transit tactical and design wise</v>
      </c>
      <c r="F68" s="116" t="str">
        <f>IF(Table4[[#This Row],[A ID]]&gt;0,Table4[[#This Row],[A ID]],"")</f>
        <v>A09</v>
      </c>
      <c r="G68" s="88" t="str">
        <f>Table4[[#This Row],[Asset]]</f>
        <v>Data at Rest</v>
      </c>
      <c r="H68" s="19" t="str">
        <f>IF(Table4[[#This Row],[Impact Description]]&gt;0,Table4[[#This Row],[Impact Description]],"")</f>
        <v>Information of health data can be exploit and disclose with various means like network, tablet etc.  .</v>
      </c>
      <c r="I68" s="36" t="str">
        <f>IF(Table4[[#This Row],[Safety Impact 
(Risk ID'# or N/A)]]&gt;0,Table4[[#This Row],[Safety Impact 
(Risk ID'# or N/A)]],"")</f>
        <v>NA</v>
      </c>
      <c r="J68" s="18" t="str">
        <f>Table4[[#This Row],[Security 
Risk 
Level]]</f>
        <v>LOW</v>
      </c>
      <c r="K68" s="19" t="str">
        <f>IF(Table4[[#This Row],[Security Risk Control Measures]]&gt;0,Table4[[#This Row],[Security Risk Control Measures]],"")</f>
        <v>1. Implement server-side encryption using Service-Managed keys/recomended practise by azure.
2. Proper way of network access control 
3. Encryption for sensitive data in transit, for ex: when files are moved to cloud storage, etc..
4. Transfer over encrypted tunnel
5. Use strong encryption algorithm</v>
      </c>
      <c r="L68" s="94" t="str">
        <f>Table4[[#This Row],[Security Risk LevelP]]</f>
        <v/>
      </c>
      <c r="M68" s="36" t="str">
        <f>IF(Table4[[#This Row],[Residual Security Risk Acceptability Justification]]&gt;0,Table4[[#This Row],[Residual Security Risk Acceptability Justification]],"")</f>
        <v/>
      </c>
    </row>
    <row r="69" spans="1:13" s="26" customFormat="1" ht="99.75">
      <c r="A69" s="49">
        <f>Table4[[#This Row],[
ID '#]]</f>
        <v>65</v>
      </c>
      <c r="B69" s="115" t="str">
        <f>IF(Table4[[#This Row],[T ID]]&gt;0,Table4[[#This Row],[T ID]],"")</f>
        <v>T08</v>
      </c>
      <c r="C69" s="88" t="str">
        <f>Table4[[#This Row],[Threat Event(s)]]</f>
        <v>Information disclosure
(STR(I)DE)</v>
      </c>
      <c r="D69" s="36" t="str">
        <f>IF(Table4[[#This Row],[V ID]]&gt;0,Table4[[#This Row],[V ID]],"")</f>
        <v>V18</v>
      </c>
      <c r="E69" s="88" t="str">
        <f>Table4[[#This Row],[Vulnerabilities]]</f>
        <v>Weak Encryption Implementaion in data at rest and in transit tactical and design wise</v>
      </c>
      <c r="F69" s="116" t="str">
        <f>IF(Table4[[#This Row],[A ID]]&gt;0,Table4[[#This Row],[A ID]],"")</f>
        <v>A10</v>
      </c>
      <c r="G69" s="88" t="str">
        <f>Table4[[#This Row],[Asset]]</f>
        <v>Data in Transit</v>
      </c>
      <c r="H69" s="19" t="str">
        <f>IF(Table4[[#This Row],[Impact Description]]&gt;0,Table4[[#This Row],[Impact Description]],"")</f>
        <v>Information of health data can be exploit and disclose with various means like network, tablet etc.  .</v>
      </c>
      <c r="I69" s="36" t="str">
        <f>IF(Table4[[#This Row],[Safety Impact 
(Risk ID'# or N/A)]]&gt;0,Table4[[#This Row],[Safety Impact 
(Risk ID'# or N/A)]],"")</f>
        <v>NA</v>
      </c>
      <c r="J69" s="18" t="str">
        <f>Table4[[#This Row],[Security 
Risk 
Level]]</f>
        <v>LOW</v>
      </c>
      <c r="K69" s="19" t="str">
        <f>IF(Table4[[#This Row],[Security Risk Control Measures]]&gt;0,Table4[[#This Row],[Security Risk Control Measures]],"")</f>
        <v>1. Statefull firewall
2. Configure and upgrade routers for the n/w security
3. Configure firewalls to reject any packets with spoofed addresses.
4. Use secure tunnel communication channel</v>
      </c>
      <c r="L69" s="94" t="str">
        <f>Table4[[#This Row],[Security Risk LevelP]]</f>
        <v/>
      </c>
      <c r="M69" s="36" t="str">
        <f>IF(Table4[[#This Row],[Residual Security Risk Acceptability Justification]]&gt;0,Table4[[#This Row],[Residual Security Risk Acceptability Justification]],"")</f>
        <v/>
      </c>
    </row>
    <row r="70" spans="1:13" s="26" customFormat="1" ht="114">
      <c r="A70" s="49">
        <f>Table4[[#This Row],[
ID '#]]</f>
        <v>66</v>
      </c>
      <c r="B70" s="115" t="str">
        <f>IF(Table4[[#This Row],[T ID]]&gt;0,Table4[[#This Row],[T ID]],"")</f>
        <v>T08</v>
      </c>
      <c r="C70" s="88" t="str">
        <f>Table4[[#This Row],[Threat Event(s)]]</f>
        <v>Information disclosure
(STR(I)DE)</v>
      </c>
      <c r="D70" s="36" t="str">
        <f>IF(Table4[[#This Row],[V ID]]&gt;0,Table4[[#This Row],[V ID]],"")</f>
        <v>V19</v>
      </c>
      <c r="E70" s="88" t="str">
        <f>Table4[[#This Row],[Vulnerabilities]]</f>
        <v>Weak Algorthim implementation with respect cipher key size</v>
      </c>
      <c r="F70" s="116" t="str">
        <f>IF(Table4[[#This Row],[A ID]]&gt;0,Table4[[#This Row],[A ID]],"")</f>
        <v>A09</v>
      </c>
      <c r="G70" s="88" t="str">
        <f>Table4[[#This Row],[Asset]]</f>
        <v>Data at Rest</v>
      </c>
      <c r="H70" s="19" t="str">
        <f>IF(Table4[[#This Row],[Impact Description]]&gt;0,Table4[[#This Row],[Impact Description]],"")</f>
        <v>Information of health data can be exploit and disclose with various means like network, tablet etc.  .</v>
      </c>
      <c r="I70" s="36" t="str">
        <f>IF(Table4[[#This Row],[Safety Impact 
(Risk ID'# or N/A)]]&gt;0,Table4[[#This Row],[Safety Impact 
(Risk ID'# or N/A)]],"")</f>
        <v>NA</v>
      </c>
      <c r="J70" s="18" t="str">
        <f>Table4[[#This Row],[Security 
Risk 
Level]]</f>
        <v>LOW</v>
      </c>
      <c r="K70" s="19" t="str">
        <f>IF(Table4[[#This Row],[Security Risk Control Measures]]&gt;0,Table4[[#This Row],[Security Risk Control Measures]],"")</f>
        <v xml:space="preserve">1. Weak algorithms such as DES, RC4, etc.. should be avoided and usage of  strong algorithms such as AES, RSA, etc.. are recomended
2. Typical key lengths are 128 and 256 bits for private keys and 2048 for public keys are recommended.
</v>
      </c>
      <c r="L70" s="94" t="str">
        <f>Table4[[#This Row],[Security Risk LevelP]]</f>
        <v/>
      </c>
      <c r="M70" s="36" t="str">
        <f>IF(Table4[[#This Row],[Residual Security Risk Acceptability Justification]]&gt;0,Table4[[#This Row],[Residual Security Risk Acceptability Justification]],"")</f>
        <v/>
      </c>
    </row>
    <row r="71" spans="1:13" s="26" customFormat="1" ht="114">
      <c r="A71" s="49">
        <f>Table4[[#This Row],[
ID '#]]</f>
        <v>67</v>
      </c>
      <c r="B71" s="115" t="str">
        <f>IF(Table4[[#This Row],[T ID]]&gt;0,Table4[[#This Row],[T ID]],"")</f>
        <v>T08</v>
      </c>
      <c r="C71" s="88" t="str">
        <f>Table4[[#This Row],[Threat Event(s)]]</f>
        <v>Information disclosure
(STR(I)DE)</v>
      </c>
      <c r="D71" s="36" t="str">
        <f>IF(Table4[[#This Row],[V ID]]&gt;0,Table4[[#This Row],[V ID]],"")</f>
        <v>V19</v>
      </c>
      <c r="E71" s="88" t="str">
        <f>Table4[[#This Row],[Vulnerabilities]]</f>
        <v>Weak Algorthim implementation with respect cipher key size</v>
      </c>
      <c r="F71" s="116" t="str">
        <f>IF(Table4[[#This Row],[A ID]]&gt;0,Table4[[#This Row],[A ID]],"")</f>
        <v>A10</v>
      </c>
      <c r="G71" s="88" t="str">
        <f>Table4[[#This Row],[Asset]]</f>
        <v>Data in Transit</v>
      </c>
      <c r="H71" s="19" t="str">
        <f>IF(Table4[[#This Row],[Impact Description]]&gt;0,Table4[[#This Row],[Impact Description]],"")</f>
        <v>Information of health data can be exploit and disclose with various means like network, tablet etc.  .</v>
      </c>
      <c r="I71" s="36" t="str">
        <f>IF(Table4[[#This Row],[Safety Impact 
(Risk ID'# or N/A)]]&gt;0,Table4[[#This Row],[Safety Impact 
(Risk ID'# or N/A)]],"")</f>
        <v>NA</v>
      </c>
      <c r="J71" s="18" t="str">
        <f>Table4[[#This Row],[Security 
Risk 
Level]]</f>
        <v>LOW</v>
      </c>
      <c r="K71" s="19" t="str">
        <f>IF(Table4[[#This Row],[Security Risk Control Measures]]&gt;0,Table4[[#This Row],[Security Risk Control Measures]],"")</f>
        <v xml:space="preserve">1. Weak algorithms such as DES, RC4, etc.. should be avoided and usage of  strong algorithms such as AES, RSA, etc.. are recomended
2. Typical key lengths are 128 and 256 bits for private keys and 2048 for public keys are recommended.
</v>
      </c>
      <c r="L71" s="94" t="str">
        <f>Table4[[#This Row],[Security Risk LevelP]]</f>
        <v/>
      </c>
      <c r="M71" s="36" t="str">
        <f>IF(Table4[[#This Row],[Residual Security Risk Acceptability Justification]]&gt;0,Table4[[#This Row],[Residual Security Risk Acceptability Justification]],"")</f>
        <v/>
      </c>
    </row>
    <row r="72" spans="1:13" s="26" customFormat="1" ht="171">
      <c r="A72" s="49">
        <f>Table4[[#This Row],[
ID '#]]</f>
        <v>68</v>
      </c>
      <c r="B72" s="115" t="str">
        <f>IF(Table4[[#This Row],[T ID]]&gt;0,Table4[[#This Row],[T ID]],"")</f>
        <v>T08</v>
      </c>
      <c r="C72" s="88" t="str">
        <f>Table4[[#This Row],[Threat Event(s)]]</f>
        <v>Information disclosure
(STR(I)DE)</v>
      </c>
      <c r="D72" s="36" t="str">
        <f>IF(Table4[[#This Row],[V ID]]&gt;0,Table4[[#This Row],[V ID]],"")</f>
        <v>V21</v>
      </c>
      <c r="E72" s="88" t="str">
        <f>Table4[[#This Row],[Vulnerabilities]]</f>
        <v>InSecure Configuration for Software/OS on Mobile Devices, Laptops, Workstations, and Servers</v>
      </c>
      <c r="F72" s="116" t="str">
        <f>IF(Table4[[#This Row],[A ID]]&gt;0,Table4[[#This Row],[A ID]],"")</f>
        <v>A01</v>
      </c>
      <c r="G72" s="88" t="str">
        <f>Table4[[#This Row],[Asset]]</f>
        <v>Tablet Resources - web cam, microphone, OTG devices, Removable USB, Tablet Application, Network interfaces (Bluetooth, Wifi)</v>
      </c>
      <c r="H72" s="19" t="str">
        <f>IF(Table4[[#This Row],[Impact Description]]&gt;0,Table4[[#This Row],[Impact Description]],"")</f>
        <v>Information of health data can be exploit and disclose with various means like network, tablet etc.  .</v>
      </c>
      <c r="I72" s="36" t="str">
        <f>IF(Table4[[#This Row],[Safety Impact 
(Risk ID'# or N/A)]]&gt;0,Table4[[#This Row],[Safety Impact 
(Risk ID'# or N/A)]],"")</f>
        <v>NA</v>
      </c>
      <c r="J72" s="18" t="str">
        <f>Table4[[#This Row],[Security 
Risk 
Level]]</f>
        <v>LOW</v>
      </c>
      <c r="K72"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identified/reported by the application
4.  Use hardened interfaces (n/w) &amp; secure tunnel communications channel </v>
      </c>
      <c r="L72" s="94" t="str">
        <f>Table4[[#This Row],[Security Risk LevelP]]</f>
        <v/>
      </c>
      <c r="M72" s="36" t="str">
        <f>IF(Table4[[#This Row],[Residual Security Risk Acceptability Justification]]&gt;0,Table4[[#This Row],[Residual Security Risk Acceptability Justification]],"")</f>
        <v/>
      </c>
    </row>
    <row r="73" spans="1:13" s="26" customFormat="1" ht="142.5">
      <c r="A73" s="49">
        <f>Table4[[#This Row],[
ID '#]]</f>
        <v>69</v>
      </c>
      <c r="B73" s="115" t="str">
        <f>IF(Table4[[#This Row],[T ID]]&gt;0,Table4[[#This Row],[T ID]],"")</f>
        <v>T08</v>
      </c>
      <c r="C73" s="88" t="str">
        <f>Table4[[#This Row],[Threat Event(s)]]</f>
        <v>Information disclosure
(STR(I)DE)</v>
      </c>
      <c r="D73" s="36" t="str">
        <f>IF(Table4[[#This Row],[V ID]]&gt;0,Table4[[#This Row],[V ID]],"")</f>
        <v>V14</v>
      </c>
      <c r="E73" s="88" t="str">
        <f>Table4[[#This Row],[Vulnerabilities]]</f>
        <v>Unencrypted Network segment through out the information flow</v>
      </c>
      <c r="F73" s="116" t="str">
        <f>IF(Table4[[#This Row],[A ID]]&gt;0,Table4[[#This Row],[A ID]],"")</f>
        <v>A10</v>
      </c>
      <c r="G73" s="88" t="str">
        <f>Table4[[#This Row],[Asset]]</f>
        <v>Data in Transit</v>
      </c>
      <c r="H73" s="19" t="str">
        <f>IF(Table4[[#This Row],[Impact Description]]&gt;0,Table4[[#This Row],[Impact Description]],"")</f>
        <v>Information of health data can be exploit and disclose with various means like network, tablet etc.  .</v>
      </c>
      <c r="I73" s="36" t="str">
        <f>IF(Table4[[#This Row],[Safety Impact 
(Risk ID'# or N/A)]]&gt;0,Table4[[#This Row],[Safety Impact 
(Risk ID'# or N/A)]],"")</f>
        <v>NA</v>
      </c>
      <c r="J73" s="18" t="str">
        <f>Table4[[#This Row],[Security 
Risk 
Level]]</f>
        <v>LOW</v>
      </c>
      <c r="K73" s="19" t="str">
        <f>IF(Table4[[#This Row],[Security Risk Control Measures]]&gt;0,Table4[[#This Row],[Security Risk Control Measures]],"")</f>
        <v xml:space="preserve">1. Anonymization/Pseudomyzation of patient details
2. Data encyrption
3. Audit/System log - Maintain Access logs (login (attempted &amp; failed), logoff, id change)
4. Audit/System log - Maintain security logs (such as change/modification of system configuration settings, services, etc.) </v>
      </c>
      <c r="L73" s="94" t="str">
        <f>Table4[[#This Row],[Security Risk LevelP]]</f>
        <v/>
      </c>
      <c r="M73" s="36" t="str">
        <f>IF(Table4[[#This Row],[Residual Security Risk Acceptability Justification]]&gt;0,Table4[[#This Row],[Residual Security Risk Acceptability Justification]],"")</f>
        <v/>
      </c>
    </row>
    <row r="74" spans="1:13" s="26" customFormat="1" ht="114">
      <c r="A74" s="49">
        <f>Table4[[#This Row],[
ID '#]]</f>
        <v>70</v>
      </c>
      <c r="B74" s="115" t="str">
        <f>IF(Table4[[#This Row],[T ID]]&gt;0,Table4[[#This Row],[T ID]],"")</f>
        <v>T08</v>
      </c>
      <c r="C74" s="88" t="str">
        <f>Table4[[#This Row],[Threat Event(s)]]</f>
        <v>Information disclosure
(STR(I)DE)</v>
      </c>
      <c r="D74" s="36" t="str">
        <f>IF(Table4[[#This Row],[V ID]]&gt;0,Table4[[#This Row],[V ID]],"")</f>
        <v>V05</v>
      </c>
      <c r="E74" s="88" t="str">
        <f>Table4[[#This Row],[Vulnerabilities]]</f>
        <v>Insecure communications in networks (hospital)</v>
      </c>
      <c r="F74" s="116" t="str">
        <f>IF(Table4[[#This Row],[A ID]]&gt;0,Table4[[#This Row],[A ID]],"")</f>
        <v>A10</v>
      </c>
      <c r="G74" s="88" t="str">
        <f>Table4[[#This Row],[Asset]]</f>
        <v>Data in Transit</v>
      </c>
      <c r="H74" s="19" t="str">
        <f>IF(Table4[[#This Row],[Impact Description]]&gt;0,Table4[[#This Row],[Impact Description]],"")</f>
        <v>Information of health data can be exploit and disclose with various means like network, tablet etc.  .</v>
      </c>
      <c r="I74" s="36" t="str">
        <f>IF(Table4[[#This Row],[Safety Impact 
(Risk ID'# or N/A)]]&gt;0,Table4[[#This Row],[Safety Impact 
(Risk ID'# or N/A)]],"")</f>
        <v>NA</v>
      </c>
      <c r="J74" s="18" t="str">
        <f>Table4[[#This Row],[Security 
Risk 
Level]]</f>
        <v>LOW</v>
      </c>
      <c r="K74" s="19" t="str">
        <f>IF(Table4[[#This Row],[Security Risk Control Measures]]&gt;0,Table4[[#This Row],[Security Risk Control Measures]],"")</f>
        <v>1. Secure communication with Secure Sockets Layer (SSL) or TLS protocols that provide message confidentiality 
2. Secure sensitive data in the channel flow using strong encryption
3. Statefull firewall
4. Proper way of network access control</v>
      </c>
      <c r="L74" s="94" t="str">
        <f>Table4[[#This Row],[Security Risk LevelP]]</f>
        <v/>
      </c>
      <c r="M74" s="36" t="str">
        <f>IF(Table4[[#This Row],[Residual Security Risk Acceptability Justification]]&gt;0,Table4[[#This Row],[Residual Security Risk Acceptability Justification]],"")</f>
        <v/>
      </c>
    </row>
    <row r="75" spans="1:13" s="26" customFormat="1" ht="156.75">
      <c r="A75" s="49">
        <f>Table4[[#This Row],[
ID '#]]</f>
        <v>71</v>
      </c>
      <c r="B75" s="115" t="str">
        <f>IF(Table4[[#This Row],[T ID]]&gt;0,Table4[[#This Row],[T ID]],"")</f>
        <v>T09</v>
      </c>
      <c r="C75" s="88" t="str">
        <f>Table4[[#This Row],[Threat Event(s)]]</f>
        <v>Data Access
(STR[I]DE)</v>
      </c>
      <c r="D75" s="36" t="str">
        <f>IF(Table4[[#This Row],[V ID]]&gt;0,Table4[[#This Row],[V ID]],"")</f>
        <v>V12</v>
      </c>
      <c r="E75" s="88" t="str">
        <f>Table4[[#This Row],[Vulnerabilities]]</f>
        <v>Unprotected network port(s) on network devices and connection points</v>
      </c>
      <c r="F75" s="116" t="str">
        <f>IF(Table4[[#This Row],[A ID]]&gt;0,Table4[[#This Row],[A ID]],"")</f>
        <v>A01</v>
      </c>
      <c r="G75" s="88" t="str">
        <f>Table4[[#This Row],[Asset]]</f>
        <v>Tablet Resources - web cam, microphone, OTG devices, Removable USB, Tablet Application, Network interfaces (Bluetooth, Wifi)</v>
      </c>
      <c r="H75" s="19" t="str">
        <f>IF(Table4[[#This Row],[Impact Description]]&gt;0,Table4[[#This Row],[Impact Description]],"")</f>
        <v>1) Allowing application or script to perform abnormal activites on the system.
2) Modifying the data, tampering the confidential data making it unavailable or challenging the integrity of data.</v>
      </c>
      <c r="I75" s="36" t="str">
        <f>IF(Table4[[#This Row],[Safety Impact 
(Risk ID'# or N/A)]]&gt;0,Table4[[#This Row],[Safety Impact 
(Risk ID'# or N/A)]],"")</f>
        <v>NA</v>
      </c>
      <c r="J75" s="18" t="str">
        <f>Table4[[#This Row],[Security 
Risk 
Level]]</f>
        <v>LOW</v>
      </c>
      <c r="K75"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75" s="94" t="str">
        <f>Table4[[#This Row],[Security Risk LevelP]]</f>
        <v/>
      </c>
      <c r="M75" s="36" t="str">
        <f>IF(Table4[[#This Row],[Residual Security Risk Acceptability Justification]]&gt;0,Table4[[#This Row],[Residual Security Risk Acceptability Justification]],"")</f>
        <v/>
      </c>
    </row>
    <row r="76" spans="1:13" s="26" customFormat="1" ht="156.75">
      <c r="A76" s="49">
        <f>Table4[[#This Row],[
ID '#]]</f>
        <v>72</v>
      </c>
      <c r="B76" s="115" t="str">
        <f>IF(Table4[[#This Row],[T ID]]&gt;0,Table4[[#This Row],[T ID]],"")</f>
        <v>T09</v>
      </c>
      <c r="C76" s="88" t="str">
        <f>Table4[[#This Row],[Threat Event(s)]]</f>
        <v>Data Access
(STR[I]DE)</v>
      </c>
      <c r="D76" s="36" t="str">
        <f>IF(Table4[[#This Row],[V ID]]&gt;0,Table4[[#This Row],[V ID]],"")</f>
        <v>V12</v>
      </c>
      <c r="E76" s="88" t="str">
        <f>Table4[[#This Row],[Vulnerabilities]]</f>
        <v>Unprotected network port(s) on network devices and connection points</v>
      </c>
      <c r="F76" s="116" t="str">
        <f>IF(Table4[[#This Row],[A ID]]&gt;0,Table4[[#This Row],[A ID]],"")</f>
        <v>A02</v>
      </c>
      <c r="G76" s="88" t="str">
        <f>Table4[[#This Row],[Asset]]</f>
        <v>Tablet OS/network details &amp; Tablet Application</v>
      </c>
      <c r="H76" s="19" t="str">
        <f>IF(Table4[[#This Row],[Impact Description]]&gt;0,Table4[[#This Row],[Impact Description]],"")</f>
        <v>1) Allowing application or script to perform abnormal activites on the system.
2) Modifying the data, tampering the confidential data making it unavailable or challenging the integrity of data.</v>
      </c>
      <c r="I76" s="36" t="str">
        <f>IF(Table4[[#This Row],[Safety Impact 
(Risk ID'# or N/A)]]&gt;0,Table4[[#This Row],[Safety Impact 
(Risk ID'# or N/A)]],"")</f>
        <v>NA</v>
      </c>
      <c r="J76" s="18" t="str">
        <f>Table4[[#This Row],[Security 
Risk 
Level]]</f>
        <v>LOW</v>
      </c>
      <c r="K76"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76" s="94" t="str">
        <f>Table4[[#This Row],[Security Risk LevelP]]</f>
        <v/>
      </c>
      <c r="M76" s="36" t="str">
        <f>IF(Table4[[#This Row],[Residual Security Risk Acceptability Justification]]&gt;0,Table4[[#This Row],[Residual Security Risk Acceptability Justification]],"")</f>
        <v/>
      </c>
    </row>
    <row r="77" spans="1:13" s="26" customFormat="1" ht="171">
      <c r="A77" s="49">
        <f>Table4[[#This Row],[
ID '#]]</f>
        <v>73</v>
      </c>
      <c r="B77" s="115" t="str">
        <f>IF(Table4[[#This Row],[T ID]]&gt;0,Table4[[#This Row],[T ID]],"")</f>
        <v>T09</v>
      </c>
      <c r="C77" s="88" t="str">
        <f>Table4[[#This Row],[Threat Event(s)]]</f>
        <v>Data Access
(STR[I]DE)</v>
      </c>
      <c r="D77" s="36" t="str">
        <f>IF(Table4[[#This Row],[V ID]]&gt;0,Table4[[#This Row],[V ID]],"")</f>
        <v>V01</v>
      </c>
      <c r="E77" s="88" t="str">
        <f>Table4[[#This Row],[Vulnerabilities]]</f>
        <v>Devices with default passwords needs to be checked for bruteforce attacks</v>
      </c>
      <c r="F77" s="116" t="str">
        <f>IF(Table4[[#This Row],[A ID]]&gt;0,Table4[[#This Row],[A ID]],"")</f>
        <v>A09</v>
      </c>
      <c r="G77" s="88" t="str">
        <f>Table4[[#This Row],[Asset]]</f>
        <v>Data at Rest</v>
      </c>
      <c r="H77" s="19" t="str">
        <f>IF(Table4[[#This Row],[Impact Description]]&gt;0,Table4[[#This Row],[Impact Description]],"")</f>
        <v>1) Allowing application or script to perform abnormal activites on the system.
2) Modifying the data, tampering the confidential data making it unavailable or challenging the integrity of data.</v>
      </c>
      <c r="I77" s="36" t="str">
        <f>IF(Table4[[#This Row],[Safety Impact 
(Risk ID'# or N/A)]]&gt;0,Table4[[#This Row],[Safety Impact 
(Risk ID'# or N/A)]],"")</f>
        <v>NA</v>
      </c>
      <c r="J77" s="18" t="str">
        <f>Table4[[#This Row],[Security 
Risk 
Level]]</f>
        <v>LOW</v>
      </c>
      <c r="K77" s="19" t="str">
        <f>IF(Table4[[#This Row],[Security Risk Control Measures]]&gt;0,Table4[[#This Row],[Security Risk Control Measures]],"")</f>
        <v xml:space="preserve">1. During the access providing, if default password is provided then immediately changing the password is needed. 
Also ensure:
2. Statefull firewall
3. Do not store sensitive data in plaintext.
4. Use strong encrption algorithm.
5. Apply salting over sensitive data.
</v>
      </c>
      <c r="L77" s="94" t="str">
        <f>Table4[[#This Row],[Security Risk LevelP]]</f>
        <v/>
      </c>
      <c r="M77" s="36" t="str">
        <f>IF(Table4[[#This Row],[Residual Security Risk Acceptability Justification]]&gt;0,Table4[[#This Row],[Residual Security Risk Acceptability Justification]],"")</f>
        <v/>
      </c>
    </row>
    <row r="78" spans="1:13" s="26" customFormat="1" ht="171">
      <c r="A78" s="49">
        <f>Table4[[#This Row],[
ID '#]]</f>
        <v>74</v>
      </c>
      <c r="B78" s="115" t="str">
        <f>IF(Table4[[#This Row],[T ID]]&gt;0,Table4[[#This Row],[T ID]],"")</f>
        <v>T09</v>
      </c>
      <c r="C78" s="88" t="str">
        <f>Table4[[#This Row],[Threat Event(s)]]</f>
        <v>Data Access
(STR[I]DE)</v>
      </c>
      <c r="D78" s="36" t="str">
        <f>IF(Table4[[#This Row],[V ID]]&gt;0,Table4[[#This Row],[V ID]],"")</f>
        <v>V01</v>
      </c>
      <c r="E78" s="88" t="str">
        <f>Table4[[#This Row],[Vulnerabilities]]</f>
        <v>Devices with default passwords needs to be checked for bruteforce attacks</v>
      </c>
      <c r="F78" s="116" t="str">
        <f>IF(Table4[[#This Row],[A ID]]&gt;0,Table4[[#This Row],[A ID]],"")</f>
        <v>A04</v>
      </c>
      <c r="G78" s="88" t="str">
        <f>Table4[[#This Row],[Asset]]</f>
        <v>Authentication/Authorisation method of all device(s)/app</v>
      </c>
      <c r="H78" s="19" t="str">
        <f>IF(Table4[[#This Row],[Impact Description]]&gt;0,Table4[[#This Row],[Impact Description]],"")</f>
        <v>1) Allowing application or script to perform abnormal activites on the system.
2) Modifying the data, tampering the confidential data making it unavailable or challenging the integrity of data.
3) Information related to authenication/authorisation data (credential/pins/MFA/Biometrics)</v>
      </c>
      <c r="I78" s="36" t="str">
        <f>IF(Table4[[#This Row],[Safety Impact 
(Risk ID'# or N/A)]]&gt;0,Table4[[#This Row],[Safety Impact 
(Risk ID'# or N/A)]],"")</f>
        <v>NA</v>
      </c>
      <c r="J78" s="18" t="str">
        <f>Table4[[#This Row],[Security 
Risk 
Level]]</f>
        <v>MEDIUM</v>
      </c>
      <c r="K78" s="19" t="str">
        <f>IF(Table4[[#This Row],[Security Risk Control Measures]]&gt;0,Table4[[#This Row],[Security Risk Control Measures]],"")</f>
        <v xml:space="preserve">1. During the access providing, if default password is provided then immediately changing the password is needed. 
Also ensure:
2. Statefull firewall
3. Do not store sensitive data in plaintext.
4. Use strong encrption algorithm.
5. Apply salting over sensitive data.
</v>
      </c>
      <c r="L78" s="94" t="str">
        <f>Table4[[#This Row],[Security Risk LevelP]]</f>
        <v/>
      </c>
      <c r="M78" s="36" t="str">
        <f>IF(Table4[[#This Row],[Residual Security Risk Acceptability Justification]]&gt;0,Table4[[#This Row],[Residual Security Risk Acceptability Justification]],"")</f>
        <v/>
      </c>
    </row>
    <row r="79" spans="1:13" s="26" customFormat="1" ht="171">
      <c r="A79" s="49">
        <f>Table4[[#This Row],[
ID '#]]</f>
        <v>75</v>
      </c>
      <c r="B79" s="115" t="str">
        <f>IF(Table4[[#This Row],[T ID]]&gt;0,Table4[[#This Row],[T ID]],"")</f>
        <v>T09</v>
      </c>
      <c r="C79" s="88" t="str">
        <f>Table4[[#This Row],[Threat Event(s)]]</f>
        <v>Data Access
(STR[I]DE)</v>
      </c>
      <c r="D79" s="36" t="str">
        <f>IF(Table4[[#This Row],[V ID]]&gt;0,Table4[[#This Row],[V ID]],"")</f>
        <v>V01</v>
      </c>
      <c r="E79" s="88" t="str">
        <f>Table4[[#This Row],[Vulnerabilities]]</f>
        <v>Devices with default passwords needs to be checked for bruteforce attacks</v>
      </c>
      <c r="F79" s="116" t="str">
        <f>IF(Table4[[#This Row],[A ID]]&gt;0,Table4[[#This Row],[A ID]],"")</f>
        <v>A10</v>
      </c>
      <c r="G79" s="88" t="str">
        <f>Table4[[#This Row],[Asset]]</f>
        <v>Data in Transit</v>
      </c>
      <c r="H79" s="19" t="str">
        <f>IF(Table4[[#This Row],[Impact Description]]&gt;0,Table4[[#This Row],[Impact Description]],"")</f>
        <v>1) Allowing application or script to perform abnormal activites on the system.
2) Modifying the data, tampering the confidential data making it unavailable or challenging the integrity of data.
3) Information related to authenication/authorisation data (credential/pins/MFA/Biometrics)</v>
      </c>
      <c r="I79" s="36" t="str">
        <f>IF(Table4[[#This Row],[Safety Impact 
(Risk ID'# or N/A)]]&gt;0,Table4[[#This Row],[Safety Impact 
(Risk ID'# or N/A)]],"")</f>
        <v>NA</v>
      </c>
      <c r="J79" s="18" t="str">
        <f>Table4[[#This Row],[Security 
Risk 
Level]]</f>
        <v>LOW</v>
      </c>
      <c r="K79" s="19" t="str">
        <f>IF(Table4[[#This Row],[Security Risk Control Measures]]&gt;0,Table4[[#This Row],[Security Risk Control Measures]],"")</f>
        <v xml:space="preserve">1. During the access providing, if default password is provided then immediately changing the password is needed. 
Also ensure:
2. Statefull firewall
3 Do not store sensitive data in plaintext.
4. Use strong encrption algorithm.
5. Apply salting over sensitive data.
</v>
      </c>
      <c r="L79" s="94" t="str">
        <f>Table4[[#This Row],[Security Risk LevelP]]</f>
        <v/>
      </c>
      <c r="M79" s="36" t="str">
        <f>IF(Table4[[#This Row],[Residual Security Risk Acceptability Justification]]&gt;0,Table4[[#This Row],[Residual Security Risk Acceptability Justification]],"")</f>
        <v/>
      </c>
    </row>
    <row r="80" spans="1:13" s="26" customFormat="1" ht="213.75">
      <c r="A80" s="49">
        <f>Table4[[#This Row],[
ID '#]]</f>
        <v>76</v>
      </c>
      <c r="B80" s="115" t="str">
        <f>IF(Table4[[#This Row],[T ID]]&gt;0,Table4[[#This Row],[T ID]],"")</f>
        <v>T09</v>
      </c>
      <c r="C80" s="88" t="str">
        <f>Table4[[#This Row],[Threat Event(s)]]</f>
        <v>Data Access
(STR[I]DE)</v>
      </c>
      <c r="D80" s="36" t="str">
        <f>IF(Table4[[#This Row],[V ID]]&gt;0,Table4[[#This Row],[V ID]],"")</f>
        <v>V03</v>
      </c>
      <c r="E80" s="88" t="str">
        <f>Table4[[#This Row],[Vulnerabilities]]</f>
        <v>The password complexity or location vulnerability. Like weak passwords and hardcoded passwords.</v>
      </c>
      <c r="F80" s="116" t="str">
        <f>IF(Table4[[#This Row],[A ID]]&gt;0,Table4[[#This Row],[A ID]],"")</f>
        <v>A09</v>
      </c>
      <c r="G80" s="88" t="str">
        <f>Table4[[#This Row],[Asset]]</f>
        <v>Data at Rest</v>
      </c>
      <c r="H80" s="19" t="str">
        <f>IF(Table4[[#This Row],[Impact Description]]&gt;0,Table4[[#This Row],[Impact Description]],"")</f>
        <v>1) Allowing application or script to perform abnormal activites on the system.
2) Modifying the data, tampering the confidential data making it unavailable or challenging the integrity of data.
3) Information related to authenication/authorisation data (credential/pins/MFA/Biometrics)</v>
      </c>
      <c r="I80" s="36" t="str">
        <f>IF(Table4[[#This Row],[Safety Impact 
(Risk ID'# or N/A)]]&gt;0,Table4[[#This Row],[Safety Impact 
(Risk ID'# or N/A)]],"")</f>
        <v>NA</v>
      </c>
      <c r="J80" s="18" t="str">
        <f>Table4[[#This Row],[Security 
Risk 
Level]]</f>
        <v>LOW</v>
      </c>
      <c r="K80" s="19" t="str">
        <f>IF(Table4[[#This Row],[Security Risk Control Measures]]&gt;0,Table4[[#This Row],[Security Risk Control Measures]],"")</f>
        <v xml:space="preserve">1. Strong password strength practices is recommended for admin web app.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
</v>
      </c>
      <c r="L80" s="94" t="str">
        <f>Table4[[#This Row],[Security Risk LevelP]]</f>
        <v/>
      </c>
      <c r="M80" s="36" t="str">
        <f>IF(Table4[[#This Row],[Residual Security Risk Acceptability Justification]]&gt;0,Table4[[#This Row],[Residual Security Risk Acceptability Justification]],"")</f>
        <v/>
      </c>
    </row>
    <row r="81" spans="1:13" s="26" customFormat="1" ht="14.25">
      <c r="A81" s="49"/>
      <c r="B81" s="36"/>
      <c r="C81" s="88"/>
      <c r="D81" s="36"/>
      <c r="E81" s="88"/>
      <c r="F81" s="116"/>
      <c r="G81" s="88"/>
      <c r="H81" s="19"/>
      <c r="I81" s="36"/>
      <c r="J81" s="18"/>
      <c r="K81" s="36"/>
      <c r="L81" s="94"/>
      <c r="M81" s="36"/>
    </row>
    <row r="82" spans="1:13" s="26" customFormat="1" ht="14.25">
      <c r="A82" s="49"/>
      <c r="B82" s="36"/>
      <c r="C82" s="88"/>
      <c r="D82" s="36"/>
      <c r="E82" s="88"/>
      <c r="F82" s="116"/>
      <c r="G82" s="88"/>
      <c r="H82" s="19"/>
      <c r="I82" s="36"/>
      <c r="J82" s="18"/>
      <c r="K82" s="36"/>
      <c r="L82" s="94"/>
      <c r="M82" s="36"/>
    </row>
    <row r="83" spans="1:13" s="26" customFormat="1" ht="14.25">
      <c r="A83" s="49"/>
      <c r="B83" s="36"/>
      <c r="C83" s="88"/>
      <c r="D83" s="36"/>
      <c r="E83" s="88"/>
      <c r="F83" s="116"/>
      <c r="G83" s="88"/>
      <c r="H83" s="19"/>
      <c r="I83" s="36"/>
      <c r="J83" s="18"/>
      <c r="K83" s="36"/>
      <c r="L83" s="94"/>
      <c r="M83" s="36"/>
    </row>
    <row r="84" spans="1:13" s="26" customFormat="1" ht="14.25">
      <c r="A84" s="49"/>
      <c r="B84" s="36"/>
      <c r="C84" s="88"/>
      <c r="D84" s="36"/>
      <c r="E84" s="88"/>
      <c r="F84" s="116"/>
      <c r="G84" s="88"/>
      <c r="H84" s="19"/>
      <c r="I84" s="36"/>
      <c r="J84" s="18"/>
      <c r="K84" s="36"/>
      <c r="L84" s="94"/>
      <c r="M84" s="36"/>
    </row>
    <row r="85" spans="1:13" s="26" customFormat="1" ht="14.25">
      <c r="A85" s="49"/>
      <c r="B85" s="36"/>
      <c r="C85" s="88"/>
      <c r="D85" s="36"/>
      <c r="E85" s="88"/>
      <c r="F85" s="116"/>
      <c r="G85" s="88"/>
      <c r="H85" s="19"/>
      <c r="I85" s="36"/>
      <c r="J85" s="18"/>
      <c r="K85" s="36"/>
      <c r="L85" s="94"/>
      <c r="M85" s="36"/>
    </row>
    <row r="86" spans="1:13" s="26" customFormat="1" ht="14.25">
      <c r="A86" s="49"/>
      <c r="B86" s="36"/>
      <c r="C86" s="88"/>
      <c r="D86" s="36"/>
      <c r="E86" s="88"/>
      <c r="F86" s="116"/>
      <c r="G86" s="88"/>
      <c r="H86" s="19"/>
      <c r="I86" s="36"/>
      <c r="J86" s="18"/>
      <c r="K86" s="36"/>
      <c r="L86" s="94"/>
      <c r="M86" s="36"/>
    </row>
    <row r="87" spans="1:13" s="26" customFormat="1" ht="14.25">
      <c r="A87" s="49"/>
      <c r="B87" s="36"/>
      <c r="C87" s="88"/>
      <c r="D87" s="36"/>
      <c r="E87" s="88"/>
      <c r="F87" s="116"/>
      <c r="G87" s="88"/>
      <c r="H87" s="19"/>
      <c r="I87" s="36"/>
      <c r="J87" s="18"/>
      <c r="K87" s="36"/>
      <c r="L87" s="94"/>
      <c r="M87" s="36"/>
    </row>
    <row r="88" spans="1:13" s="26" customFormat="1" ht="14.25">
      <c r="A88" s="49"/>
      <c r="B88" s="115"/>
      <c r="C88" s="19"/>
      <c r="D88" s="36"/>
      <c r="E88" s="19"/>
      <c r="F88" s="36"/>
      <c r="G88" s="19"/>
      <c r="H88" s="19"/>
      <c r="I88" s="36"/>
      <c r="J88" s="89"/>
      <c r="K88" s="36"/>
      <c r="L88" s="90"/>
      <c r="M88" s="36"/>
    </row>
    <row r="89" spans="1:13" s="26" customFormat="1">
      <c r="E89" s="58"/>
    </row>
    <row r="90" spans="1:13" s="26" customFormat="1">
      <c r="A90" s="24"/>
      <c r="B90" s="24"/>
      <c r="C90" s="44"/>
      <c r="D90" s="24"/>
      <c r="E90" s="25"/>
      <c r="F90" s="24"/>
      <c r="G90" s="24"/>
    </row>
    <row r="91" spans="1:13" s="26" customFormat="1" ht="14.25">
      <c r="A91" s="22" t="s">
        <v>86</v>
      </c>
      <c r="C91" s="45"/>
      <c r="E91" s="3"/>
    </row>
    <row r="92" spans="1:13" s="26" customFormat="1" ht="32.25" customHeight="1">
      <c r="B92" s="254" t="s">
        <v>87</v>
      </c>
      <c r="C92" s="254"/>
      <c r="D92" s="254"/>
      <c r="E92" s="254"/>
      <c r="F92" s="254"/>
      <c r="G92" s="254"/>
      <c r="H92" s="254"/>
    </row>
    <row r="93" spans="1:13" s="26" customFormat="1">
      <c r="A93" s="24"/>
      <c r="B93" s="24"/>
      <c r="C93" s="44"/>
      <c r="D93" s="24"/>
      <c r="E93" s="25"/>
      <c r="F93" s="24"/>
      <c r="G93" s="24"/>
    </row>
    <row r="94" spans="1:13" s="26" customFormat="1">
      <c r="A94" s="24"/>
      <c r="B94" s="24"/>
      <c r="C94" s="44"/>
      <c r="D94" s="24"/>
      <c r="E94" s="25"/>
      <c r="F94" s="24"/>
      <c r="G94" s="24"/>
    </row>
    <row r="95" spans="1:13" s="26" customFormat="1">
      <c r="A95" s="24"/>
      <c r="B95" s="24"/>
      <c r="C95" s="44"/>
      <c r="D95" s="24"/>
      <c r="E95" s="25"/>
      <c r="F95" s="24"/>
      <c r="G95" s="24"/>
    </row>
    <row r="96" spans="1:13" s="26" customFormat="1" ht="32.25" customHeight="1">
      <c r="A96" s="24"/>
      <c r="B96" s="24"/>
      <c r="C96" s="44"/>
      <c r="D96" s="24"/>
      <c r="E96" s="25"/>
      <c r="F96" s="24"/>
      <c r="G96" s="24"/>
      <c r="H96" s="23"/>
    </row>
  </sheetData>
  <mergeCells count="1">
    <mergeCell ref="B92:H92"/>
  </mergeCells>
  <conditionalFormatting sqref="L9:L88 J9:J88">
    <cfRule type="cellIs" dxfId="4" priority="2" operator="equal">
      <formula>"Critical"</formula>
    </cfRule>
    <cfRule type="cellIs" dxfId="3" priority="3" operator="equal">
      <formula>"HIGH"</formula>
    </cfRule>
    <cfRule type="cellIs" dxfId="2" priority="4" operator="equal">
      <formula>"Medium"</formula>
    </cfRule>
    <cfRule type="cellIs" dxfId="1" priority="5" operator="equal">
      <formula>"None"</formula>
    </cfRule>
    <cfRule type="cellIs" dxfId="0" priority="6" operator="equal">
      <formula>"Low"</formula>
    </cfRule>
  </conditionalFormatting>
  <pageMargins left="0.25" right="0.25" top="0.75" bottom="0.75" header="0.3" footer="0.3"/>
  <pageSetup paperSize="8" scale="76" firstPageNumber="0" fitToHeight="0" orientation="landscape" r:id="rId1"/>
  <headerFooter>
    <oddFooter>&amp;L&amp;"Cambria,Regular"&amp;8Stryker Confidential&amp;R&amp;"Cambria,Regular"&amp;8Page &amp;P of &amp;N</oddFooter>
  </headerFooter>
  <legacyDrawingHF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R31"/>
  <sheetViews>
    <sheetView view="pageBreakPreview" zoomScale="60" zoomScaleNormal="95" workbookViewId="0">
      <selection activeCell="Q27" sqref="Q27"/>
    </sheetView>
  </sheetViews>
  <sheetFormatPr defaultColWidth="9.140625" defaultRowHeight="15"/>
  <cols>
    <col min="1" max="1" width="2.140625" customWidth="1"/>
    <col min="2" max="2" width="15.140625" customWidth="1"/>
    <col min="4" max="4" width="5.140625" customWidth="1"/>
    <col min="7" max="7" width="5.42578125" customWidth="1"/>
    <col min="11" max="11" width="5.140625" customWidth="1"/>
    <col min="14" max="14" width="5.140625" customWidth="1"/>
    <col min="16" max="16" width="13.85546875" customWidth="1"/>
    <col min="17" max="17" width="11" customWidth="1"/>
    <col min="18" max="18" width="17" customWidth="1"/>
  </cols>
  <sheetData>
    <row r="1" spans="2:18" ht="58.35" customHeight="1"/>
    <row r="2" spans="2:18" s="60" customFormat="1" ht="19.7" customHeight="1">
      <c r="B2" s="117" t="s">
        <v>348</v>
      </c>
    </row>
    <row r="3" spans="2:18" s="60" customFormat="1" ht="14.25"/>
    <row r="4" spans="2:18" s="60" customFormat="1" ht="18">
      <c r="B4" s="262" t="s">
        <v>349</v>
      </c>
      <c r="C4" s="262"/>
      <c r="D4" s="262"/>
      <c r="E4" s="262"/>
      <c r="F4" s="262"/>
      <c r="G4" s="262"/>
      <c r="H4" s="262"/>
      <c r="I4" s="262"/>
      <c r="J4" s="262"/>
      <c r="K4" s="262"/>
      <c r="L4" s="262"/>
      <c r="M4" s="262"/>
      <c r="N4" s="262"/>
      <c r="P4" s="262" t="s">
        <v>350</v>
      </c>
      <c r="Q4" s="262"/>
      <c r="R4" s="262"/>
    </row>
    <row r="5" spans="2:18" s="60" customFormat="1" ht="15.75">
      <c r="B5" s="265" t="s">
        <v>235</v>
      </c>
      <c r="C5" s="265"/>
      <c r="D5" s="265"/>
      <c r="E5" s="265" t="s">
        <v>236</v>
      </c>
      <c r="F5" s="265"/>
      <c r="G5" s="265"/>
      <c r="H5" s="265" t="s">
        <v>351</v>
      </c>
      <c r="I5" s="265"/>
      <c r="J5" s="265"/>
      <c r="K5" s="265"/>
      <c r="L5" s="266" t="s">
        <v>238</v>
      </c>
      <c r="M5" s="266"/>
      <c r="N5" s="266"/>
      <c r="P5" s="119"/>
      <c r="Q5" s="120" t="s">
        <v>352</v>
      </c>
      <c r="R5" s="121" t="s">
        <v>353</v>
      </c>
    </row>
    <row r="6" spans="2:18" s="60" customFormat="1" ht="15.75">
      <c r="B6" s="122" t="s">
        <v>354</v>
      </c>
      <c r="C6" s="122" t="s">
        <v>355</v>
      </c>
      <c r="D6" s="122" t="s">
        <v>356</v>
      </c>
      <c r="E6" s="122" t="s">
        <v>357</v>
      </c>
      <c r="F6" s="122" t="s">
        <v>355</v>
      </c>
      <c r="G6" s="122" t="s">
        <v>356</v>
      </c>
      <c r="H6" s="122" t="s">
        <v>354</v>
      </c>
      <c r="I6" s="261" t="s">
        <v>355</v>
      </c>
      <c r="J6" s="261"/>
      <c r="K6" s="122" t="s">
        <v>356</v>
      </c>
      <c r="L6" s="122" t="s">
        <v>354</v>
      </c>
      <c r="M6" s="122" t="s">
        <v>355</v>
      </c>
      <c r="N6" s="122" t="s">
        <v>356</v>
      </c>
      <c r="P6" s="123"/>
      <c r="Q6" s="124" t="s">
        <v>358</v>
      </c>
      <c r="R6" s="125">
        <v>0.04</v>
      </c>
    </row>
    <row r="7" spans="2:18" s="60" customFormat="1" ht="15.75">
      <c r="B7" s="126" t="s">
        <v>273</v>
      </c>
      <c r="C7" s="127">
        <v>0.85</v>
      </c>
      <c r="D7" s="59" t="s">
        <v>359</v>
      </c>
      <c r="E7" s="126" t="s">
        <v>267</v>
      </c>
      <c r="F7" s="127">
        <v>0.77</v>
      </c>
      <c r="G7" s="59" t="s">
        <v>360</v>
      </c>
      <c r="H7" s="126" t="s">
        <v>274</v>
      </c>
      <c r="I7" s="128">
        <v>0.85</v>
      </c>
      <c r="J7" s="129">
        <v>0.85</v>
      </c>
      <c r="K7" s="59" t="s">
        <v>359</v>
      </c>
      <c r="L7" s="126" t="s">
        <v>274</v>
      </c>
      <c r="M7" s="130">
        <v>0.85</v>
      </c>
      <c r="N7" s="131" t="s">
        <v>359</v>
      </c>
      <c r="P7" s="123"/>
      <c r="Q7" s="132" t="s">
        <v>267</v>
      </c>
      <c r="R7" s="133">
        <v>0.2</v>
      </c>
    </row>
    <row r="8" spans="2:18" s="60" customFormat="1" ht="15.75">
      <c r="B8" s="126" t="s">
        <v>329</v>
      </c>
      <c r="C8" s="134">
        <v>0.62</v>
      </c>
      <c r="D8" s="59" t="s">
        <v>361</v>
      </c>
      <c r="E8" s="126" t="s">
        <v>276</v>
      </c>
      <c r="F8" s="134">
        <v>0.44</v>
      </c>
      <c r="G8" s="59" t="s">
        <v>362</v>
      </c>
      <c r="H8" s="126" t="s">
        <v>267</v>
      </c>
      <c r="I8" s="135">
        <v>0.62</v>
      </c>
      <c r="J8" s="129">
        <v>0.68</v>
      </c>
      <c r="K8" s="59" t="s">
        <v>360</v>
      </c>
      <c r="L8" s="126" t="s">
        <v>269</v>
      </c>
      <c r="M8" s="136">
        <v>0.62</v>
      </c>
      <c r="N8" s="131" t="s">
        <v>363</v>
      </c>
      <c r="P8" s="123"/>
      <c r="Q8" s="137" t="s">
        <v>277</v>
      </c>
      <c r="R8" s="133">
        <v>0.5</v>
      </c>
    </row>
    <row r="9" spans="2:18" s="60" customFormat="1" ht="15.75">
      <c r="B9" s="126" t="s">
        <v>275</v>
      </c>
      <c r="C9" s="134">
        <v>0.55000000000000004</v>
      </c>
      <c r="D9" s="59" t="s">
        <v>360</v>
      </c>
      <c r="E9" s="126"/>
      <c r="F9" s="134"/>
      <c r="G9" s="59"/>
      <c r="H9" s="126" t="s">
        <v>276</v>
      </c>
      <c r="I9" s="135">
        <v>0.27</v>
      </c>
      <c r="J9" s="129">
        <v>0.5</v>
      </c>
      <c r="K9" s="59" t="s">
        <v>362</v>
      </c>
      <c r="L9" s="126"/>
      <c r="M9" s="129"/>
      <c r="N9" s="131"/>
      <c r="P9" s="123"/>
      <c r="Q9" s="138" t="s">
        <v>276</v>
      </c>
      <c r="R9" s="133">
        <v>0.8</v>
      </c>
    </row>
    <row r="10" spans="2:18" s="60" customFormat="1" ht="15.75">
      <c r="B10" s="126" t="s">
        <v>268</v>
      </c>
      <c r="C10" s="134">
        <v>0.2</v>
      </c>
      <c r="D10" s="131" t="s">
        <v>364</v>
      </c>
      <c r="E10" s="139"/>
      <c r="G10" s="140"/>
      <c r="H10" s="126"/>
      <c r="I10" s="135"/>
      <c r="J10" s="129"/>
      <c r="K10" s="131"/>
      <c r="L10" s="126"/>
      <c r="M10" s="129"/>
      <c r="N10" s="131"/>
      <c r="P10" s="123"/>
      <c r="Q10" s="141" t="s">
        <v>365</v>
      </c>
      <c r="R10" s="133">
        <v>1</v>
      </c>
    </row>
    <row r="11" spans="2:18" s="60" customFormat="1" ht="15.75">
      <c r="B11" s="142"/>
      <c r="C11" s="143"/>
      <c r="D11" s="144"/>
      <c r="E11" s="145"/>
      <c r="F11" s="146"/>
      <c r="G11" s="147"/>
      <c r="H11" s="142"/>
      <c r="I11" s="148"/>
      <c r="J11" s="149"/>
      <c r="K11" s="144"/>
      <c r="L11" s="142"/>
      <c r="M11" s="149"/>
      <c r="N11" s="144"/>
      <c r="P11" s="118"/>
      <c r="R11" s="133"/>
    </row>
    <row r="12" spans="2:18" s="60" customFormat="1" ht="14.25"/>
    <row r="13" spans="2:18" s="60" customFormat="1" ht="18">
      <c r="B13" s="262" t="s">
        <v>366</v>
      </c>
      <c r="C13" s="262"/>
      <c r="D13" s="262"/>
      <c r="E13" s="262"/>
      <c r="F13" s="262"/>
      <c r="G13" s="262"/>
      <c r="H13" s="262"/>
      <c r="I13" s="262"/>
      <c r="J13" s="262"/>
      <c r="K13" s="262"/>
      <c r="L13" s="262"/>
      <c r="M13" s="262"/>
      <c r="N13" s="262"/>
      <c r="P13" s="150" t="s">
        <v>367</v>
      </c>
      <c r="Q13" s="151" t="s">
        <v>96</v>
      </c>
    </row>
    <row r="14" spans="2:18" s="60" customFormat="1" ht="15.75">
      <c r="B14" s="263" t="s">
        <v>368</v>
      </c>
      <c r="C14" s="263"/>
      <c r="D14" s="263"/>
      <c r="E14" s="263"/>
      <c r="F14" s="263"/>
      <c r="G14" s="263"/>
      <c r="H14" s="263"/>
      <c r="I14" s="263"/>
      <c r="J14" s="263"/>
      <c r="K14" s="263"/>
      <c r="L14" s="263"/>
      <c r="M14" s="263"/>
      <c r="N14" s="263"/>
      <c r="P14" s="126"/>
      <c r="Q14" s="129" t="s">
        <v>369</v>
      </c>
    </row>
    <row r="15" spans="2:18" s="60" customFormat="1" ht="14.25">
      <c r="B15" s="122" t="s">
        <v>354</v>
      </c>
      <c r="C15" s="122" t="s">
        <v>355</v>
      </c>
      <c r="D15" s="122" t="s">
        <v>356</v>
      </c>
      <c r="E15" s="152"/>
      <c r="F15" s="152"/>
      <c r="G15" s="152"/>
      <c r="H15" s="152"/>
      <c r="I15" s="152"/>
      <c r="J15" s="152"/>
      <c r="K15" s="152"/>
      <c r="L15" s="152"/>
      <c r="M15" s="152"/>
      <c r="N15" s="151"/>
      <c r="P15" s="142"/>
      <c r="Q15" s="149"/>
    </row>
    <row r="16" spans="2:18" s="60" customFormat="1" ht="17.25">
      <c r="B16" s="153" t="s">
        <v>274</v>
      </c>
      <c r="C16" s="127">
        <v>0</v>
      </c>
      <c r="D16" s="154" t="s">
        <v>359</v>
      </c>
      <c r="E16" s="155" t="s">
        <v>370</v>
      </c>
      <c r="N16" s="129"/>
    </row>
    <row r="17" spans="2:17" s="60" customFormat="1" ht="14.25">
      <c r="B17" s="139" t="s">
        <v>267</v>
      </c>
      <c r="C17" s="134">
        <v>0.22</v>
      </c>
      <c r="D17" s="156" t="s">
        <v>360</v>
      </c>
      <c r="N17" s="129"/>
    </row>
    <row r="18" spans="2:17" s="60" customFormat="1" ht="14.25">
      <c r="B18" s="139" t="s">
        <v>276</v>
      </c>
      <c r="C18" s="134">
        <v>0.56000000000000005</v>
      </c>
      <c r="D18" s="156" t="s">
        <v>362</v>
      </c>
      <c r="N18" s="129"/>
    </row>
    <row r="19" spans="2:17" s="60" customFormat="1" ht="14.25">
      <c r="B19" s="145"/>
      <c r="C19" s="143"/>
      <c r="D19" s="157"/>
      <c r="E19" s="146"/>
      <c r="F19" s="146"/>
      <c r="G19" s="146"/>
      <c r="H19" s="146"/>
      <c r="I19" s="146"/>
      <c r="J19" s="146"/>
      <c r="K19" s="146"/>
      <c r="L19" s="146"/>
      <c r="M19" s="146"/>
      <c r="N19" s="149"/>
    </row>
    <row r="20" spans="2:17" s="60" customFormat="1" ht="14.25"/>
    <row r="21" spans="2:17" s="60" customFormat="1" ht="18">
      <c r="B21" s="262" t="s">
        <v>239</v>
      </c>
      <c r="C21" s="262"/>
      <c r="D21" s="262"/>
      <c r="E21" s="262"/>
      <c r="F21" s="262"/>
      <c r="G21" s="262"/>
      <c r="H21" s="262"/>
      <c r="I21" s="262"/>
      <c r="J21" s="262"/>
      <c r="K21" s="262"/>
      <c r="L21" s="262"/>
      <c r="M21" s="262"/>
      <c r="N21" s="262"/>
    </row>
    <row r="22" spans="2:17" s="60" customFormat="1" ht="42.75" customHeight="1">
      <c r="B22" s="158" t="s">
        <v>270</v>
      </c>
      <c r="C22" s="264" t="s">
        <v>371</v>
      </c>
      <c r="D22" s="264"/>
      <c r="E22" s="264"/>
      <c r="F22" s="264"/>
      <c r="G22" s="264"/>
      <c r="H22" s="264"/>
      <c r="I22" s="264"/>
      <c r="J22" s="264"/>
      <c r="K22" s="264"/>
      <c r="L22" s="264"/>
      <c r="M22" s="264"/>
      <c r="N22" s="159" t="s">
        <v>372</v>
      </c>
    </row>
    <row r="23" spans="2:17" s="60" customFormat="1" ht="44.1" customHeight="1">
      <c r="B23" s="160" t="s">
        <v>373</v>
      </c>
      <c r="C23" s="259" t="s">
        <v>374</v>
      </c>
      <c r="D23" s="259"/>
      <c r="E23" s="259"/>
      <c r="F23" s="259"/>
      <c r="G23" s="259"/>
      <c r="H23" s="259"/>
      <c r="I23" s="259"/>
      <c r="J23" s="259"/>
      <c r="K23" s="259"/>
      <c r="L23" s="259"/>
      <c r="M23" s="259"/>
      <c r="N23" s="161" t="s">
        <v>375</v>
      </c>
      <c r="O23" s="22"/>
      <c r="P23" s="22"/>
      <c r="Q23" s="22"/>
    </row>
    <row r="24" spans="2:17" s="60" customFormat="1" ht="15.75">
      <c r="B24" s="160"/>
      <c r="C24" s="259"/>
      <c r="D24" s="259"/>
      <c r="E24" s="259"/>
      <c r="F24" s="259"/>
      <c r="G24" s="259"/>
      <c r="H24" s="259"/>
      <c r="I24" s="259"/>
      <c r="J24" s="259"/>
      <c r="K24" s="259"/>
      <c r="L24" s="259"/>
      <c r="M24" s="259"/>
      <c r="N24" s="161"/>
    </row>
    <row r="25" spans="2:17" s="60" customFormat="1" ht="14.25"/>
    <row r="26" spans="2:17" s="60" customFormat="1" ht="14.25">
      <c r="B26" s="60" t="s">
        <v>376</v>
      </c>
    </row>
    <row r="27" spans="2:17" s="60" customFormat="1" ht="262.5" customHeight="1">
      <c r="B27" s="26" t="s">
        <v>377</v>
      </c>
      <c r="C27" s="260" t="s">
        <v>378</v>
      </c>
      <c r="D27" s="260"/>
      <c r="E27" s="260"/>
      <c r="F27" s="260"/>
      <c r="G27" s="260"/>
      <c r="H27" s="260"/>
      <c r="I27" s="260"/>
      <c r="J27" s="260"/>
    </row>
    <row r="30" spans="2:17">
      <c r="B30" s="22" t="s">
        <v>86</v>
      </c>
    </row>
    <row r="31" spans="2:17" ht="48" customHeight="1">
      <c r="C31" s="254" t="s">
        <v>87</v>
      </c>
      <c r="D31" s="254"/>
      <c r="E31" s="254"/>
      <c r="F31" s="254"/>
      <c r="G31" s="254"/>
      <c r="H31" s="254"/>
      <c r="I31" s="254"/>
    </row>
  </sheetData>
  <mergeCells count="15">
    <mergeCell ref="B4:N4"/>
    <mergeCell ref="P4:R4"/>
    <mergeCell ref="B5:D5"/>
    <mergeCell ref="E5:G5"/>
    <mergeCell ref="H5:K5"/>
    <mergeCell ref="L5:N5"/>
    <mergeCell ref="C23:M23"/>
    <mergeCell ref="C24:M24"/>
    <mergeCell ref="C27:J27"/>
    <mergeCell ref="C31:I31"/>
    <mergeCell ref="I6:J6"/>
    <mergeCell ref="B13:N13"/>
    <mergeCell ref="B14:N14"/>
    <mergeCell ref="B21:N21"/>
    <mergeCell ref="C22:M22"/>
  </mergeCells>
  <pageMargins left="0.25" right="0.25" top="0.75" bottom="0.75" header="0.3" footer="0.3"/>
  <pageSetup paperSize="9" scale="60" firstPageNumber="0" fitToHeight="0" orientation="portrait" r:id="rId1"/>
  <headerFooter>
    <oddFooter>&amp;L&amp;"Cambria,Regular"&amp;8Stryker Confidential&amp;R&amp;"Cambria,Regular"&amp;8Page &amp;P of &amp;N</oddFooter>
  </headerFooter>
  <legacyDrawingHF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J16"/>
  <sheetViews>
    <sheetView view="pageBreakPreview" zoomScale="60" zoomScaleNormal="95" workbookViewId="0">
      <selection activeCell="C9" sqref="C9"/>
    </sheetView>
  </sheetViews>
  <sheetFormatPr defaultColWidth="9.140625" defaultRowHeight="15"/>
  <cols>
    <col min="1" max="1" width="7.140625" style="24" customWidth="1"/>
    <col min="2" max="2" width="34.85546875" style="24" customWidth="1"/>
    <col min="3" max="3" width="15.85546875" style="44" customWidth="1"/>
    <col min="4" max="4" width="2.85546875" style="24" customWidth="1"/>
    <col min="5" max="5" width="9.140625" style="24"/>
    <col min="6" max="6" width="44.85546875" style="24" customWidth="1"/>
    <col min="7" max="7" width="15.85546875" style="24" customWidth="1"/>
    <col min="8" max="1024" width="9.140625" style="24"/>
  </cols>
  <sheetData>
    <row r="1" spans="1:8" ht="65.45" customHeight="1"/>
    <row r="2" spans="1:8" s="26" customFormat="1" ht="14.25">
      <c r="A2" s="117" t="s">
        <v>379</v>
      </c>
      <c r="C2" s="45"/>
    </row>
    <row r="3" spans="1:8" s="26" customFormat="1" ht="14.25">
      <c r="C3" s="45"/>
    </row>
    <row r="4" spans="1:8" s="26" customFormat="1" ht="14.45" customHeight="1">
      <c r="A4" s="267" t="s">
        <v>380</v>
      </c>
      <c r="B4" s="267"/>
      <c r="C4" s="267"/>
      <c r="E4" s="268" t="s">
        <v>381</v>
      </c>
      <c r="F4" s="268"/>
      <c r="G4" s="268"/>
    </row>
    <row r="5" spans="1:8" s="26" customFormat="1" ht="14.25">
      <c r="A5" s="162" t="s">
        <v>382</v>
      </c>
      <c r="B5" s="163" t="s">
        <v>171</v>
      </c>
      <c r="C5" s="164" t="s">
        <v>383</v>
      </c>
      <c r="E5" s="165" t="s">
        <v>382</v>
      </c>
      <c r="F5" s="166" t="s">
        <v>384</v>
      </c>
      <c r="G5" s="167" t="s">
        <v>383</v>
      </c>
    </row>
    <row r="6" spans="1:8" s="26" customFormat="1" ht="57">
      <c r="A6" s="168" t="s">
        <v>385</v>
      </c>
      <c r="B6" s="6" t="s">
        <v>386</v>
      </c>
      <c r="C6" s="169" t="s">
        <v>387</v>
      </c>
      <c r="E6" s="168" t="s">
        <v>388</v>
      </c>
      <c r="F6" s="170" t="s">
        <v>389</v>
      </c>
      <c r="G6" s="171" t="s">
        <v>387</v>
      </c>
    </row>
    <row r="7" spans="1:8" s="26" customFormat="1" ht="28.5">
      <c r="A7" s="14" t="s">
        <v>390</v>
      </c>
      <c r="B7" s="6" t="s">
        <v>391</v>
      </c>
      <c r="C7" s="169" t="s">
        <v>387</v>
      </c>
      <c r="E7" s="14" t="s">
        <v>392</v>
      </c>
      <c r="F7" s="170" t="s">
        <v>393</v>
      </c>
      <c r="G7" s="172" t="s">
        <v>387</v>
      </c>
    </row>
    <row r="8" spans="1:8" s="26" customFormat="1" ht="42.75">
      <c r="A8" s="14" t="s">
        <v>394</v>
      </c>
      <c r="B8" s="6" t="s">
        <v>395</v>
      </c>
      <c r="C8" s="169" t="s">
        <v>387</v>
      </c>
      <c r="E8" s="14" t="s">
        <v>396</v>
      </c>
      <c r="F8" s="170" t="s">
        <v>397</v>
      </c>
      <c r="G8" s="172" t="s">
        <v>387</v>
      </c>
    </row>
    <row r="9" spans="1:8" s="26" customFormat="1" ht="28.5">
      <c r="A9" s="14" t="s">
        <v>398</v>
      </c>
      <c r="B9" s="6" t="s">
        <v>399</v>
      </c>
      <c r="C9" s="169" t="s">
        <v>359</v>
      </c>
      <c r="E9" s="14" t="s">
        <v>400</v>
      </c>
      <c r="F9" s="170" t="s">
        <v>401</v>
      </c>
      <c r="G9" s="172" t="s">
        <v>387</v>
      </c>
    </row>
    <row r="10" spans="1:8" s="26" customFormat="1" ht="42.75">
      <c r="A10" s="14" t="s">
        <v>402</v>
      </c>
      <c r="B10" s="6" t="s">
        <v>403</v>
      </c>
      <c r="C10" s="169" t="s">
        <v>359</v>
      </c>
      <c r="E10" s="14" t="s">
        <v>404</v>
      </c>
      <c r="F10" s="170" t="s">
        <v>405</v>
      </c>
      <c r="G10" s="172" t="s">
        <v>387</v>
      </c>
    </row>
    <row r="11" spans="1:8" s="26" customFormat="1" ht="57">
      <c r="A11" s="173" t="s">
        <v>406</v>
      </c>
      <c r="B11" s="174" t="s">
        <v>407</v>
      </c>
      <c r="C11" s="175" t="s">
        <v>359</v>
      </c>
      <c r="E11" s="173" t="s">
        <v>408</v>
      </c>
      <c r="F11" s="176" t="s">
        <v>409</v>
      </c>
      <c r="G11" s="177" t="s">
        <v>359</v>
      </c>
    </row>
    <row r="12" spans="1:8" s="26" customFormat="1" ht="14.25">
      <c r="C12" s="45"/>
    </row>
    <row r="13" spans="1:8" s="26" customFormat="1" ht="14.25">
      <c r="C13" s="45"/>
    </row>
    <row r="14" spans="1:8" s="26" customFormat="1" ht="14.25">
      <c r="C14" s="45"/>
    </row>
    <row r="15" spans="1:8" s="26" customFormat="1" ht="14.25">
      <c r="A15" s="22" t="s">
        <v>86</v>
      </c>
      <c r="C15" s="45"/>
    </row>
    <row r="16" spans="1:8" s="26" customFormat="1" ht="32.25" customHeight="1">
      <c r="B16" s="254" t="s">
        <v>87</v>
      </c>
      <c r="C16" s="254"/>
      <c r="D16" s="254"/>
      <c r="E16" s="254"/>
      <c r="F16" s="254"/>
      <c r="G16" s="254"/>
      <c r="H16" s="254"/>
    </row>
  </sheetData>
  <mergeCells count="3">
    <mergeCell ref="A4:C4"/>
    <mergeCell ref="E4:G4"/>
    <mergeCell ref="B16:H16"/>
  </mergeCells>
  <pageMargins left="0.25" right="0.25" top="0.75" bottom="0.75" header="0.3" footer="0.3"/>
  <pageSetup paperSize="9" scale="70" firstPageNumber="0" fitToHeight="0" orientation="portrait" r:id="rId1"/>
  <headerFooter>
    <oddFooter>&amp;L&amp;"Cambria,Regular"&amp;8Stryker Confidential&amp;R&amp;"Cambria,Regular"&amp;8Page &amp;P of &amp;N</oddFooter>
  </headerFooter>
  <legacyDrawingHF r:id="rId2"/>
  <tableParts count="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0"/>
  <sheetViews>
    <sheetView zoomScale="95" zoomScaleNormal="95" workbookViewId="0">
      <selection activeCell="H13" sqref="H13"/>
    </sheetView>
  </sheetViews>
  <sheetFormatPr defaultColWidth="9.140625" defaultRowHeight="15"/>
  <cols>
    <col min="1" max="1" width="6.140625" customWidth="1"/>
    <col min="2" max="2" width="38.140625" customWidth="1"/>
    <col min="3" max="3" width="49.42578125" customWidth="1"/>
    <col min="4" max="4" width="27.85546875" customWidth="1"/>
    <col min="5" max="5" width="14.85546875" customWidth="1"/>
    <col min="6" max="6" width="16.140625" customWidth="1"/>
    <col min="7" max="8" width="20.140625" customWidth="1"/>
  </cols>
  <sheetData>
    <row r="1" spans="1:8" ht="14.45" customHeight="1">
      <c r="A1" s="269" t="s">
        <v>410</v>
      </c>
      <c r="B1" s="269"/>
      <c r="C1" s="269"/>
      <c r="D1" s="269"/>
      <c r="E1" s="269"/>
      <c r="F1" s="269"/>
      <c r="G1" s="269"/>
      <c r="H1" s="269"/>
    </row>
    <row r="2" spans="1:8" ht="60">
      <c r="A2" s="178" t="s">
        <v>168</v>
      </c>
      <c r="B2" s="178" t="s">
        <v>169</v>
      </c>
      <c r="C2" s="178" t="s">
        <v>170</v>
      </c>
      <c r="D2" s="179" t="s">
        <v>171</v>
      </c>
      <c r="E2" s="180" t="s">
        <v>411</v>
      </c>
      <c r="F2" s="178" t="s">
        <v>412</v>
      </c>
      <c r="G2" s="178" t="s">
        <v>413</v>
      </c>
      <c r="H2" s="178" t="s">
        <v>414</v>
      </c>
    </row>
    <row r="3" spans="1:8" s="187" customFormat="1" ht="48">
      <c r="A3" s="181" t="s">
        <v>415</v>
      </c>
      <c r="B3" s="182" t="s">
        <v>416</v>
      </c>
      <c r="C3" s="182" t="s">
        <v>417</v>
      </c>
      <c r="D3" s="183" t="s">
        <v>385</v>
      </c>
      <c r="E3" s="184" t="s">
        <v>418</v>
      </c>
      <c r="F3" s="185" t="s">
        <v>358</v>
      </c>
      <c r="G3" s="185" t="s">
        <v>358</v>
      </c>
      <c r="H3" s="186" t="s">
        <v>358</v>
      </c>
    </row>
    <row r="4" spans="1:8">
      <c r="A4" s="188"/>
      <c r="B4" s="188"/>
      <c r="C4" s="188"/>
      <c r="D4" s="188"/>
      <c r="E4" s="189"/>
      <c r="F4" s="188"/>
      <c r="G4" s="188"/>
      <c r="H4" s="188"/>
    </row>
    <row r="5" spans="1:8">
      <c r="A5" s="188"/>
      <c r="B5" s="188"/>
      <c r="C5" s="188"/>
      <c r="D5" s="188"/>
      <c r="E5" s="189"/>
      <c r="F5" s="188"/>
      <c r="G5" s="188"/>
      <c r="H5" s="188"/>
    </row>
    <row r="6" spans="1:8">
      <c r="A6" s="188"/>
      <c r="B6" s="188"/>
      <c r="C6" s="188"/>
      <c r="D6" s="188"/>
      <c r="E6" s="189"/>
      <c r="F6" s="188"/>
      <c r="G6" s="188"/>
      <c r="H6" s="188"/>
    </row>
    <row r="7" spans="1:8">
      <c r="A7" s="188"/>
      <c r="B7" s="188"/>
      <c r="C7" s="188"/>
      <c r="D7" s="188"/>
      <c r="E7" s="189"/>
      <c r="F7" s="188"/>
      <c r="G7" s="188"/>
      <c r="H7" s="188"/>
    </row>
    <row r="8" spans="1:8">
      <c r="A8" s="188"/>
      <c r="B8" s="188"/>
      <c r="C8" s="188"/>
      <c r="D8" s="188"/>
      <c r="E8" s="189"/>
      <c r="F8" s="188"/>
      <c r="G8" s="188"/>
      <c r="H8" s="188"/>
    </row>
    <row r="9" spans="1:8">
      <c r="A9" s="188"/>
      <c r="B9" s="188"/>
      <c r="C9" s="188"/>
      <c r="D9" s="188"/>
      <c r="E9" s="189"/>
      <c r="F9" s="188"/>
      <c r="G9" s="188"/>
      <c r="H9" s="188"/>
    </row>
    <row r="10" spans="1:8">
      <c r="A10" s="188"/>
      <c r="B10" s="188"/>
      <c r="C10" s="188"/>
      <c r="D10" s="188"/>
      <c r="E10" s="189"/>
      <c r="F10" s="188"/>
      <c r="G10" s="188"/>
      <c r="H10" s="188"/>
    </row>
  </sheetData>
  <mergeCells count="1">
    <mergeCell ref="A1:H1"/>
  </mergeCells>
  <dataValidations count="2">
    <dataValidation type="list" allowBlank="1" showInputMessage="1" showErrorMessage="1" sqref="F3:H3" xr:uid="{00000000-0002-0000-0800-000000000000}">
      <formula1>"Very High,High,Moderate,Low,Very Low"</formula1>
      <formula2>0</formula2>
    </dataValidation>
    <dataValidation type="list" allowBlank="1" showInputMessage="1" showErrorMessage="1" sqref="E3" xr:uid="{00000000-0002-0000-0800-000001000000}">
      <formula1>"Confirmed,Expected,Anticipated,Predicted,Possible,N/A"</formula1>
      <formula2>0</formula2>
    </dataValidation>
  </dataValidations>
  <pageMargins left="0.7" right="0.7" top="0.75" bottom="0.75" header="0.51180555555555496" footer="0.51180555555555496"/>
  <pageSetup paperSize="9"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TaxCatchAll xmlns="fc0b8251-a77c-46b4-9192-b351e4d87798" xsi:nil="true"/>
    <lcf76f155ced4ddcb4097134ff3c332f xmlns="2098d1c0-d68a-4824-b6cc-a49fa4e27117">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280613118BEEB45B0D255F6BE6438BD" ma:contentTypeVersion="78" ma:contentTypeDescription="Create a new document." ma:contentTypeScope="" ma:versionID="3c756321de5a7d7e9f007ba7903ad07e">
  <xsd:schema xmlns:xsd="http://www.w3.org/2001/XMLSchema" xmlns:xs="http://www.w3.org/2001/XMLSchema" xmlns:p="http://schemas.microsoft.com/office/2006/metadata/properties" xmlns:ns2="e5e69175-e9d7-4d3b-ad78-f07d7549c1ee" xmlns:ns3="2098d1c0-d68a-4824-b6cc-a49fa4e27117" xmlns:ns4="http://schemas.microsoft.com/sharepoint/v4" xmlns:ns5="fc0b8251-a77c-46b4-9192-b351e4d87798" targetNamespace="http://schemas.microsoft.com/office/2006/metadata/properties" ma:root="true" ma:fieldsID="6099d3f2182bbee764a086067885e4c8" ns2:_="" ns3:_="" ns4:_="" ns5:_="">
    <xsd:import namespace="e5e69175-e9d7-4d3b-ad78-f07d7549c1ee"/>
    <xsd:import namespace="2098d1c0-d68a-4824-b6cc-a49fa4e27117"/>
    <xsd:import namespace="http://schemas.microsoft.com/sharepoint/v4"/>
    <xsd:import namespace="fc0b8251-a77c-46b4-9192-b351e4d8779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4:IconOverlay"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5: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e69175-e9d7-4d3b-ad78-f07d7549c1ee"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098d1c0-d68a-4824-b6cc-a49fa4e27117"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08217b30-7f8d-4707-a088-0ae4d0799364"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5"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c0b8251-a77c-46b4-9192-b351e4d87798" elementFormDefault="qualified">
    <xsd:import namespace="http://schemas.microsoft.com/office/2006/documentManagement/types"/>
    <xsd:import namespace="http://schemas.microsoft.com/office/infopath/2007/PartnerControls"/>
    <xsd:element name="TaxCatchAll" ma:index="24" nillable="true" ma:displayName="Taxonomy Catch All Column" ma:hidden="true" ma:list="{2b4ca181-fc26-441d-bdd4-98e92a33efba}" ma:internalName="TaxCatchAll" ma:showField="CatchAllData" ma:web="83f4be93-a00b-4aeb-ba47-5ff8a2b3ec9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1B19DEC-9E4F-401B-8E41-9F0E8ACF8401}">
  <ds:schemaRefs>
    <ds:schemaRef ds:uri="http://schemas.microsoft.com/office/2006/metadata/properties"/>
    <ds:schemaRef ds:uri="http://schemas.microsoft.com/office/infopath/2007/PartnerControls"/>
    <ds:schemaRef ds:uri="http://schemas.microsoft.com/sharepoint/v4"/>
    <ds:schemaRef ds:uri="fc0b8251-a77c-46b4-9192-b351e4d87798"/>
    <ds:schemaRef ds:uri="2098d1c0-d68a-4824-b6cc-a49fa4e27117"/>
  </ds:schemaRefs>
</ds:datastoreItem>
</file>

<file path=customXml/itemProps2.xml><?xml version="1.0" encoding="utf-8"?>
<ds:datastoreItem xmlns:ds="http://schemas.openxmlformats.org/officeDocument/2006/customXml" ds:itemID="{ACCB075C-8DB6-4858-9874-20EFA07AFD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e69175-e9d7-4d3b-ad78-f07d7549c1ee"/>
    <ds:schemaRef ds:uri="2098d1c0-d68a-4824-b6cc-a49fa4e27117"/>
    <ds:schemaRef ds:uri="http://schemas.microsoft.com/sharepoint/v4"/>
    <ds:schemaRef ds:uri="fc0b8251-a77c-46b4-9192-b351e4d877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57AD998-7C99-4BF4-B651-6B39502FA1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Approval</vt:lpstr>
      <vt:lpstr>System &amp; Asset Identification</vt:lpstr>
      <vt:lpstr>Vulnerability Identification</vt:lpstr>
      <vt:lpstr>Threat Assessment</vt:lpstr>
      <vt:lpstr>Security Risk Assess</vt:lpstr>
      <vt:lpstr>Summary</vt:lpstr>
      <vt:lpstr>Reference - CVSSv3.0</vt:lpstr>
      <vt:lpstr>Reference - Threat Source</vt:lpstr>
      <vt:lpstr>OLD - Threat Assessment</vt:lpstr>
      <vt:lpstr>OLD - Risk Controls</vt:lpstr>
      <vt:lpstr>'Reference - CVSSv3.0'!Attack</vt:lpstr>
      <vt:lpstr>'Reference - CVSSv3.0'!CIA</vt:lpstr>
      <vt:lpstr>'Reference - CVSSv3.0'!Comp</vt:lpstr>
      <vt:lpstr>'Security Risk Assess'!Print_Titles</vt:lpstr>
      <vt:lpstr>Summary!Print_Titles</vt:lpstr>
      <vt:lpstr>'Reference - CVSSv3.0'!Priv</vt:lpstr>
      <vt:lpstr>'Reference - CVSSv3.0'!Scope</vt:lpstr>
      <vt:lpstr>'Reference - CVSSv3.0'!Ux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Campana, Jose</dc:creator>
  <cp:keywords/>
  <dc:description/>
  <cp:lastModifiedBy>Sai Praneetha Bhaskaruni</cp:lastModifiedBy>
  <cp:revision>5</cp:revision>
  <cp:lastPrinted>2022-04-18T10:10:06Z</cp:lastPrinted>
  <dcterms:created xsi:type="dcterms:W3CDTF">2017-03-06T20:58:36Z</dcterms:created>
  <dcterms:modified xsi:type="dcterms:W3CDTF">2022-08-08T15:02:56Z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0x010100E280613118BEEB45B0D255F6BE6438BD</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MSIP_Label_40993bd6-1ede-4830-9dba-3224251d6855_ActionId">
    <vt:lpwstr>25624af0-af11-4b22-8e55-a86ce475642d</vt:lpwstr>
  </property>
  <property fmtid="{D5CDD505-2E9C-101B-9397-08002B2CF9AE}" pid="8" name="MSIP_Label_40993bd6-1ede-4830-9dba-3224251d6855_ContentBits">
    <vt:lpwstr>0</vt:lpwstr>
  </property>
  <property fmtid="{D5CDD505-2E9C-101B-9397-08002B2CF9AE}" pid="9" name="MSIP_Label_40993bd6-1ede-4830-9dba-3224251d6855_Enabled">
    <vt:lpwstr>true</vt:lpwstr>
  </property>
  <property fmtid="{D5CDD505-2E9C-101B-9397-08002B2CF9AE}" pid="10" name="MSIP_Label_40993bd6-1ede-4830-9dba-3224251d6855_Method">
    <vt:lpwstr>Privileged</vt:lpwstr>
  </property>
  <property fmtid="{D5CDD505-2E9C-101B-9397-08002B2CF9AE}" pid="11" name="MSIP_Label_40993bd6-1ede-4830-9dba-3224251d6855_Name">
    <vt:lpwstr>Business</vt:lpwstr>
  </property>
  <property fmtid="{D5CDD505-2E9C-101B-9397-08002B2CF9AE}" pid="12" name="MSIP_Label_40993bd6-1ede-4830-9dba-3224251d6855_SetDate">
    <vt:lpwstr>2022-03-03T15:29:18Z</vt:lpwstr>
  </property>
  <property fmtid="{D5CDD505-2E9C-101B-9397-08002B2CF9AE}" pid="13" name="MSIP_Label_40993bd6-1ede-4830-9dba-3224251d6855_SiteId">
    <vt:lpwstr>311b3378-8e8a-4b5e-a33f-e80a3d8ba60a</vt:lpwstr>
  </property>
  <property fmtid="{D5CDD505-2E9C-101B-9397-08002B2CF9AE}" pid="14" name="ScaleCrop">
    <vt:bool>false</vt:bool>
  </property>
  <property fmtid="{D5CDD505-2E9C-101B-9397-08002B2CF9AE}" pid="15" name="ShareDoc">
    <vt:bool>false</vt:bool>
  </property>
</Properties>
</file>