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protocol\"/>
    </mc:Choice>
  </mc:AlternateContent>
  <xr:revisionPtr revIDLastSave="0" documentId="13_ncr:1_{FA98105A-C9AF-4AAE-A05D-8547667CCD9E}" xr6:coauthVersionLast="47" xr6:coauthVersionMax="47" xr10:uidLastSave="{00000000-0000-0000-0000-000000000000}"/>
  <bookViews>
    <workbookView xWindow="-110" yWindow="-110" windowWidth="19420" windowHeight="10420" tabRatio="500" firstSheet="1"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sharedStrings.xml><?xml version="1.0" encoding="utf-8"?>
<sst xmlns="http://schemas.openxmlformats.org/spreadsheetml/2006/main" count="2160" uniqueCount="473">
  <si>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</si>
  <si>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</si>
  <si>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</si>
  <si>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</si>
  <si>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</si>
  <si>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</si>
  <si>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</si>
  <si>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</si>
  <si>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</si>
  <si>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</si>
  <si>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</si>
  <si>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</si>
  <si>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</si>
  <si>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</si>
  <si>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</si>
  <si>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</si>
  <si>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</si>
  <si>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</si>
  <si>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</si>
  <si>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</si>
  <si>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</si>
  <si>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</si>
  <si>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</si>
  <si>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</si>
  <si>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</si>
  <si>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</si>
  <si>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</si>
  <si>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</si>
  <si>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</si>
  <si>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</si>
  <si>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DR5-7 updates</t>
  </si>
  <si>
    <t>System &amp; Asset Identification</t>
  </si>
  <si>
    <t xml:space="preserve">Medical Device / System: </t>
  </si>
  <si>
    <t>Scope:</t>
  </si>
  <si>
    <t>SmartMedic -001-02-A-00-00-00</t>
  </si>
  <si>
    <t>Date:</t>
  </si>
  <si>
    <t xml:space="preserve">Conducted by: </t>
  </si>
  <si>
    <t xml:space="preserve">&lt;Author Name / Function / Organization&gt; Deepak Sharma / Design Engineering Software
&lt;Author Name / Function / Organization&gt;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</si>
  <si>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</si>
  <si>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</si>
  <si>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</si>
  <si>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</si>
  <si>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</si>
  <si>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</si>
  <si>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</si>
  <si>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</si>
  <si>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</si>
  <si>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</si>
  <si>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</si>
  <si>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</si>
  <si>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</si>
  <si>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</si>
  <si>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</si>
  <si>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</si>
  <si>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</si>
  <si>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</si>
  <si>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</si>
  <si>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</si>
  <si>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</si>
  <si>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</si>
  <si>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</si>
  <si>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</si>
  <si>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</si>
  <si>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</si>
  <si>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</si>
  <si>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</si>
  <si>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</si>
  <si>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</si>
  <si>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</si>
  <si>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</si>
  <si>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</si>
  <si>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</si>
  <si>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</si>
  <si>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</si>
  <si>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</si>
  <si>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</si>
  <si>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</si>
  <si>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</si>
  <si>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</si>
  <si>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</si>
  <si>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</si>
  <si>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</si>
  <si>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</si>
  <si>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</si>
  <si>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</si>
  <si>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</si>
  <si>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</si>
  <si>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</si>
  <si>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</si>
  <si>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</si>
  <si>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</si>
  <si>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</si>
  <si>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</si>
  <si>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</si>
  <si>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</si>
  <si>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</si>
  <si>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</si>
  <si>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</si>
  <si>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</si>
  <si>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</si>
  <si>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</si>
  <si>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</si>
  <si>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</si>
  <si>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</si>
  <si>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</si>
  <si>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</si>
  <si>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</si>
  <si>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</si>
  <si>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</si>
  <si>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</si>
  <si>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</si>
  <si>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</si>
  <si>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</si>
  <si>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</si>
  <si>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</si>
  <si>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</si>
  <si>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</si>
  <si>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</si>
  <si>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</si>
  <si>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</si>
  <si>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</si>
  <si>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</si>
  <si>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</si>
  <si>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</si>
  <si>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</si>
  <si>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</si>
  <si>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</si>
  <si>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</si>
  <si>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</si>
  <si>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</si>
  <si>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</si>
  <si>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</si>
  <si>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</si>
  <si>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</si>
  <si>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</si>
  <si>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</si>
  <si>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</si>
  <si>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</si>
  <si>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</si>
  <si>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</si>
  <si>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</si>
  <si>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</si>
  <si>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</si>
  <si>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</si>
  <si>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</si>
  <si>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</si>
  <si>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</si>
  <si>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</si>
  <si>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</si>
  <si>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</si>
  <si>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</si>
  <si>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</si>
  <si>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</si>
  <si>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</si>
  <si>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</si>
  <si>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</si>
  <si>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</si>
  <si>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</si>
  <si>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</si>
  <si>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</si>
  <si>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</si>
  <si>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</si>
  <si>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</si>
  <si>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</si>
  <si>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</si>
  <si>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</si>
  <si>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</si>
  <si>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</si>
  <si>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</si>
  <si>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</si>
  <si>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</si>
  <si>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</si>
  <si>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</si>
  <si>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</si>
  <si>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</si>
  <si>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</si>
  <si>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</si>
  <si>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</si>
  <si>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</si>
  <si>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</si>
  <si>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</si>
  <si>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</si>
  <si>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</si>
  <si>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</si>
  <si>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</si>
  <si>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</si>
  <si>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</si>
  <si>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</si>
  <si>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</si>
  <si>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</si>
  <si>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</si>
  <si>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</si>
  <si>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</si>
  <si>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</si>
  <si>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</si>
  <si>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</si>
  <si>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</si>
  <si>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</si>
  <si>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</si>
  <si>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</si>
  <si>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</si>
  <si>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</si>
  <si>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</si>
  <si>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</si>
  <si>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</si>
  <si>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</si>
  <si>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</si>
  <si>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</si>
  <si>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</si>
  <si>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</si>
  <si>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</si>
  <si>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</si>
  <si>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</si>
  <si>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</si>
  <si>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</si>
  <si>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</si>
  <si>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</si>
  <si>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</si>
  <si>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</si>
  <si>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</si>
  <si>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</si>
  <si>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</si>
  <si>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</si>
  <si>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</si>
  <si>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</si>
  <si>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</si>
  <si>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</si>
  <si>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</si>
  <si>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</si>
  <si>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</si>
  <si>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</si>
  <si>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</si>
  <si>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</si>
  <si>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</si>
  <si>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</si>
  <si>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</si>
  <si>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</si>
  <si>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</si>
  <si>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</si>
  <si>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</si>
  <si>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</si>
  <si>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</si>
  <si>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</si>
  <si>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</si>
  <si>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</si>
  <si>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</si>
  <si>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</si>
  <si>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</si>
  <si>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</si>
  <si>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</si>
  <si>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</si>
  <si>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</si>
  <si>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</si>
  <si>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</si>
  <si>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</si>
  <si>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</si>
  <si>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</si>
  <si>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</si>
  <si>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</si>
  <si>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</si>
  <si>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</si>
  <si>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</si>
  <si>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</si>
  <si>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</si>
  <si>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</si>
  <si>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</si>
  <si>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</si>
  <si>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</si>
  <si>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</si>
  <si>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</si>
  <si>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</si>
  <si>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</si>
  <si>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</si>
  <si>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</si>
  <si>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</si>
  <si>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</si>
  <si>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</si>
  <si>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</si>
  <si>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</si>
  <si>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</si>
  <si>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</si>
  <si>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</si>
  <si>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Justification</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</si>
  <si>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</si>
  <si>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</si>
  <si>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</si>
  <si>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</si>
  <si>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</si>
  <si>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</si>
  <si>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</si>
  <si>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</si>
  <si>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</si>
  <si>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</si>
  <si>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</si>
  <si>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</si>
  <si>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</si>
  <si>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</si>
  <si>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</si>
  <si>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</si>
  <si>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</si>
  <si>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</si>
  <si>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</si>
  <si>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</si>
  <si>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</si>
  <si>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</si>
  <si>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</si>
  <si>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</si>
  <si>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</si>
  <si>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</si>
  <si>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</si>
  <si>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</si>
  <si>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</si>
  <si>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</si>
  <si>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</si>
  <si>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</si>
  <si>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</si>
  <si>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</si>
  <si>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</si>
  <si>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</si>
  <si>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</si>
  <si>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</si>
  <si>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</si>
  <si>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</si>
  <si>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</si>
  <si>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</si>
  <si>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</si>
  <si>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</si>
  <si>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</si>
  <si>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</si>
  <si>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</si>
  <si>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</si>
  <si>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</si>
  <si>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</si>
  <si>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</si>
  <si>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</si>
  <si>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</si>
  <si>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</si>
  <si>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</si>
  <si>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</si>
  <si>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</si>
  <si>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</si>
  <si>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</si>
  <si>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</si>
  <si>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</si>
  <si>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</si>
  <si>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</si>
  <si>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</si>
  <si>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1,2,3,4 : Tablet SDD : 
D001020040 : 5.2.4.2 (a)  IOT Provisioning </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</si>
  <si>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</si>
  <si>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</si>
  <si>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1. Tablet SDD : 
D001020040 : 5.2.4.2 (a)  IOT Provisioning 
2. SRS D001020024 - 2.17.8 - Only Stryker made/ authenticated devices should be able to communicate with SM device and tablet.
3. SRS D001020024 - 2.17.8 - Only Stryker made/ authenticated devices should be able to communicate with SM device and tablet.</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</si>
  <si>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</si>
  <si>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</si>
  <si>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</si>
  <si>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</si>
  <si>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</si>
  <si>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</si>
  <si>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</si>
  <si>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</si>
  <si>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</si>
  <si>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</si>
  <si>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</si>
  <si>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</si>
  <si>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</si>
  <si>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</si>
  <si>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</si>
  <si>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</si>
  <si>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</si>
  <si>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</si>
  <si>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</si>
  <si>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</si>
  <si>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</si>
  <si>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</si>
  <si>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</si>
  <si>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</si>
  <si>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</si>
  <si>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</si>
  <si>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</si>
  <si>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</si>
  <si>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</si>
  <si>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</si>
  <si>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</si>
  <si>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</si>
  <si>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</si>
  <si>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</si>
  <si>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</si>
  <si>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</si>
  <si>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</si>
  <si>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</si>
  <si>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</si>
  <si>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</si>
  <si>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</si>
  <si>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</si>
  <si>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</si>
  <si>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</si>
  <si>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</si>
  <si>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</si>
  <si>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</si>
  <si>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</si>
  <si>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</si>
  <si>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</si>
  <si>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</si>
  <si>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</si>
  <si>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</si>
  <si>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</si>
  <si>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</si>
  <si>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</si>
  <si>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</si>
  <si>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</si>
  <si>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</si>
  <si>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</si>
  <si>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</si>
  <si>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</si>
  <si>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</si>
  <si>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</si>
  <si>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</si>
  <si>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</si>
  <si>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</si>
  <si>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</si>
  <si>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</si>
  <si>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</si>
  <si>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</si>
  <si>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</si>
  <si>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</si>
  <si>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</si>
  <si>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</si>
  <si>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</si>
  <si>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</si>
  <si>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</si>
  <si>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</si>
  <si>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</si>
  <si>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</si>
  <si>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r>
      <rPr>
        <sz val="11"/>
        <rFont val="Cambria"/>
        <family val="1"/>
      </rPr>
      <t>1. TBD: Future release</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</si>
  <si>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</si>
  <si>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</si>
  <si>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</si>
  <si>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</si>
  <si>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</si>
  <si>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r>
      <rPr>
        <sz val="11"/>
        <rFont val="Cambria"/>
        <family val="1"/>
      </rPr>
      <t>1. TBD: Future release</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</si>
  <si>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r>
      <rPr>
        <sz val="11"/>
        <rFont val="Cambria"/>
        <family val="1"/>
      </rPr>
      <t>1. TBD: Future release</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</si>
  <si>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</si>
  <si>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</si>
  <si>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</si>
  <si>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</si>
  <si>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</si>
  <si>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</si>
  <si>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 xml:space="preserve">Currently, no such tool is being used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</si>
  <si>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3.Installation &amp; Service Manual-D001020092 </t>
    </r>
  </si>
  <si>
    <t>1. Installation &amp; Service Manual-D001020092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</si>
  <si>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</si>
  <si>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t>1. Installation &amp; Service Manual-D001020092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</si>
  <si>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</si>
  <si>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</si>
  <si>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t>1. SOM D001020115 - 23. Malware Detection/Protection
2. Installation &amp; Service Manual-D001020092 
3.SRS D001020097 – 2.23.2The Application shall provide facility of audit logs for storing the user activity details.
4.SRS D001020097 –2.17.5The Application shall provide secure tunnel Communications channel</t>
  </si>
  <si>
    <t xml:space="preserve">Installation &amp; Service Manual-D001020092 </t>
  </si>
  <si>
    <t xml:space="preserve">1. Installation &amp; Service Manual-D001020092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</si>
  <si>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</si>
  <si>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</si>
  <si>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</si>
  <si>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 xml:space="preserve">1,2. SAD - D001020031 - 2.2.1.7 - Cosmos DB
3. Installation &amp; Service Manual-D001020092 </t>
  </si>
  <si>
    <t xml:space="preserve">1. SAD - D001020031 - 2.2.1.7 - Cosmos DB
2 - SAD - D001020031 - 2.2.1.7 - Cosmos DB                                                                                        3. Installation &amp; Service Manual-D001020092 </t>
  </si>
  <si>
    <t xml:space="preserve">1. SRS D001020023- 2.17.3 Generic messages should be displayed upon validation of credentials to mitigate the risk of account harvesting and enumeration.
2 - SAD - D001020031 - 2.2.1.7 - Cosmos DB                                                                                          3. Installation &amp; Service Manual-D001020092 </t>
  </si>
  <si>
    <t>Initial Release DR1-4 Document was reviewed but
not approved and archived, thus archiving</t>
  </si>
  <si>
    <t>&lt;08 April 2022&gt;</t>
  </si>
  <si>
    <t xml:space="preserve">1) Create Android malware
2) Transfer the malware to tablet/Smart Medic Device
3) Malware execution on the device
4) Exploit the devices with respect to vulnerability 
5) Check for the open ports
6) Exploit the open ports found while assessment and information gathering. 
7) Vulnerability Assessment scanning for the identifying unknown vulnerabilities
8)  Exploit the found loopholes while VA scanning using kali tools.
</t>
  </si>
  <si>
    <t>NA</t>
  </si>
  <si>
    <t xml:space="preserve">1) Create Android malware
2) Transfer the malware to tablet/Smart Medic Device
3) Malware execution on the device
4) Exploit the devices with respect to vulnerability 
5) Check for the open ports
6) Exploit the open ports found while assessment and information gathering. 
7) Vulnerability Assessment scanning for the identifying unknown vulnerabilities
8)  Exploit the found loopholes while VA scanning using kali tools.
9) Use sniffing tool to sniff the data at motion and MITM
</t>
  </si>
  <si>
    <t xml:space="preserve">1) Create Android malware
2) Transfer the malware to tablet/Smart Medic Device
3) Malware execution on the device
4) Exploit the devices with respect to vulnerability 
5) Check for the open ports
6) Use sniffing tool to sniff the data at motion and MITM
7) Exploit the open ports found while assessment and information gathering. 
8) Vulnerability Assessment scanning for the identifying unknown vulnerabilities
9) Exploit the found loopholes while VA scanning using kali tools.
</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</si>
  <si>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</si>
  <si>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Use sniffing tool to sniff the data at motion and MITM</t>
  </si>
  <si>
    <t xml:space="preserve">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</si>
  <si>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7) Use sniffing tool to sniff the data at motion and MITM
8) Use sniffing tool to sniff the data at motion and MITM</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</si>
  <si>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7) Use sniffing tool to sniff the data at motion and MITM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</si>
</sst>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30">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1" fillId="0" borderId="0"/>
    <xf numFmtId="0" fontId="1" fillId="0" borderId="0"/>
  </cellStyleXfs>
  <cellXfs count="304">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7" fillId="0" borderId="0" xfId="0" applyFont="1"/>
    <xf numFmtId="0" fontId="7" fillId="0" borderId="0" xfId="0" applyFont="1"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14" fillId="0" borderId="3" xfId="0" applyFont="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4" fillId="0" borderId="2" xfId="0" applyFont="1" applyBorder="1" applyAlignment="1">
      <alignment horizontal="center" vertical="center" wrapText="1"/>
    </xf>
    <xf numFmtId="0" fontId="14" fillId="0" borderId="3" xfId="0" applyFont="1" applyBorder="1" applyAlignment="1">
      <alignment vertical="top"/>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7" xfId="0" applyFont="1" applyBorder="1" applyAlignment="1">
      <alignment horizontal="center" vertical="center"/>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14" fillId="0" borderId="7" xfId="0" applyFont="1" applyBorder="1" applyAlignment="1">
      <alignment vertical="top"/>
    </xf>
    <xf numFmtId="0" fontId="12" fillId="13" borderId="7" xfId="0"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0" fontId="14" fillId="7" borderId="6" xfId="0" applyFont="1" applyFill="1" applyBorder="1" applyAlignment="1">
      <alignment vertical="center" wrapText="1"/>
    </xf>
    <xf numFmtId="0" fontId="17"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4" fillId="0" borderId="6" xfId="0" applyFont="1" applyBorder="1" applyAlignment="1">
      <alignment vertical="top"/>
    </xf>
    <xf numFmtId="0" fontId="4" fillId="12" borderId="3" xfId="0" applyFont="1" applyFill="1" applyBorder="1" applyAlignment="1">
      <alignment vertical="top"/>
    </xf>
    <xf numFmtId="0" fontId="3"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4" fillId="11" borderId="0" xfId="0" applyFont="1" applyFill="1" applyAlignment="1">
      <alignment horizontal="center" vertical="center"/>
    </xf>
    <xf numFmtId="2" fontId="14" fillId="0" borderId="0" xfId="0" applyNumberFormat="1" applyFont="1" applyAlignment="1">
      <alignment horizontal="center" vertical="center"/>
    </xf>
    <xf numFmtId="0" fontId="3"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Alignment="1">
      <alignment horizontal="center" vertical="center"/>
    </xf>
    <xf numFmtId="2" fontId="4" fillId="0" borderId="0" xfId="0" applyNumberFormat="1" applyFont="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Alignment="1">
      <alignment horizontal="center" vertical="center"/>
    </xf>
    <xf numFmtId="0" fontId="4" fillId="18" borderId="0" xfId="0" applyFont="1" applyFill="1" applyAlignment="1">
      <alignment horizontal="center" vertical="center"/>
    </xf>
    <xf numFmtId="0" fontId="4" fillId="0" borderId="28" xfId="0" applyFont="1" applyBorder="1"/>
    <xf numFmtId="0" fontId="4" fillId="0" borderId="27" xfId="0" applyFont="1" applyBorder="1" applyAlignment="1">
      <alignment horizontal="center" vertical="center"/>
    </xf>
    <xf numFmtId="0" fontId="20" fillId="19" borderId="0" xfId="0" applyFont="1" applyFill="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18"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1" fillId="0" borderId="0" xfId="0" applyFont="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40" xfId="0" applyFont="1" applyBorder="1" applyAlignment="1">
      <alignment horizontal="center" vertical="center"/>
    </xf>
    <xf numFmtId="0" fontId="7" fillId="0" borderId="17" xfId="0" applyFont="1" applyBorder="1" applyAlignment="1">
      <alignment horizontal="center" vertical="center"/>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4"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14" fillId="0" borderId="7" xfId="0" applyFont="1" applyBorder="1" applyAlignment="1">
      <alignment horizontal="left" vertical="top" wrapText="1"/>
    </xf>
    <xf numFmtId="0" fontId="4"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23" borderId="3" xfId="3" applyFont="1" applyFill="1" applyBorder="1" applyAlignment="1">
      <alignment horizontal="left" vertical="center" wrapText="1"/>
    </xf>
    <xf numFmtId="0" fontId="35" fillId="23" borderId="3" xfId="3" applyFont="1" applyFill="1" applyBorder="1" applyAlignment="1">
      <alignment horizontal="center" vertical="center" wrapText="1"/>
    </xf>
    <xf numFmtId="0" fontId="35" fillId="24" borderId="3" xfId="3" applyFont="1" applyFill="1" applyBorder="1" applyAlignment="1">
      <alignment horizontal="left" vertical="center" wrapText="1"/>
    </xf>
    <xf numFmtId="0" fontId="1" fillId="0" borderId="3" xfId="3" applyBorder="1" applyAlignment="1">
      <alignment horizontal="center" vertical="center" wrapText="1"/>
    </xf>
    <xf numFmtId="0" fontId="37" fillId="0" borderId="0" xfId="3" applyFont="1"/>
    <xf numFmtId="0" fontId="38" fillId="0" borderId="0" xfId="3" applyFont="1"/>
    <xf numFmtId="0" fontId="1" fillId="0" borderId="0" xfId="3"/>
    <xf numFmtId="0" fontId="39" fillId="25" borderId="3" xfId="3" applyFont="1" applyFill="1" applyBorder="1"/>
    <xf numFmtId="0" fontId="35" fillId="26" borderId="3" xfId="3" applyFont="1" applyFill="1" applyBorder="1" applyAlignment="1">
      <alignment horizontal="center"/>
    </xf>
    <xf numFmtId="0" fontId="37" fillId="0" borderId="3" xfId="4" quotePrefix="1" applyFont="1" applyBorder="1" applyAlignment="1">
      <alignment horizontal="center"/>
    </xf>
    <xf numFmtId="15" fontId="37" fillId="0" borderId="3" xfId="4" applyNumberFormat="1" applyFont="1" applyBorder="1" applyAlignment="1">
      <alignment horizontal="center"/>
    </xf>
    <xf numFmtId="0" fontId="1" fillId="0" borderId="3" xfId="3" applyBorder="1"/>
    <xf numFmtId="0" fontId="16" fillId="0" borderId="3" xfId="0" applyFont="1" applyBorder="1" applyAlignment="1">
      <alignment vertical="top" wrapText="1"/>
    </xf>
    <xf numFmtId="0" fontId="15" fillId="28" borderId="3" xfId="0" applyFont="1" applyFill="1" applyBorder="1" applyAlignment="1">
      <alignment vertical="top" wrapText="1"/>
    </xf>
    <xf numFmtId="0" fontId="4" fillId="28" borderId="6" xfId="0" applyFont="1" applyFill="1" applyBorder="1" applyAlignment="1">
      <alignment horizontal="center" vertical="top"/>
    </xf>
    <xf numFmtId="0" fontId="4" fillId="28" borderId="6" xfId="0" applyFont="1" applyFill="1" applyBorder="1" applyAlignment="1">
      <alignment horizontal="center" vertical="center"/>
    </xf>
    <xf numFmtId="0" fontId="4" fillId="28" borderId="3" xfId="0" applyFont="1" applyFill="1" applyBorder="1" applyAlignment="1">
      <alignment vertical="top" wrapText="1"/>
    </xf>
    <xf numFmtId="0" fontId="0" fillId="28" borderId="0" xfId="0" applyFill="1" applyAlignment="1">
      <alignment horizontal="center" vertical="center"/>
    </xf>
    <xf numFmtId="0" fontId="4" fillId="28" borderId="2" xfId="0" applyFont="1" applyFill="1" applyBorder="1" applyAlignment="1">
      <alignment horizontal="center" vertical="center" wrapText="1"/>
    </xf>
    <xf numFmtId="0" fontId="4" fillId="28" borderId="3" xfId="0" applyFont="1" applyFill="1" applyBorder="1" applyAlignment="1">
      <alignment horizontal="center" vertical="center" wrapText="1"/>
    </xf>
    <xf numFmtId="164" fontId="4" fillId="28" borderId="3" xfId="0" applyNumberFormat="1" applyFont="1" applyFill="1" applyBorder="1" applyAlignment="1">
      <alignment horizontal="center" vertical="center" wrapText="1"/>
    </xf>
    <xf numFmtId="164" fontId="12" fillId="28" borderId="3" xfId="0" applyNumberFormat="1" applyFont="1" applyFill="1" applyBorder="1" applyAlignment="1">
      <alignment horizontal="center" vertical="center" wrapText="1"/>
    </xf>
    <xf numFmtId="0" fontId="4" fillId="28" borderId="3" xfId="0" applyFont="1" applyFill="1" applyBorder="1" applyAlignment="1">
      <alignment horizontal="center" vertical="top" wrapText="1"/>
    </xf>
    <xf numFmtId="0" fontId="4" fillId="28" borderId="3" xfId="0" applyFont="1" applyFill="1" applyBorder="1" applyAlignment="1">
      <alignment vertical="top"/>
    </xf>
    <xf numFmtId="0" fontId="12" fillId="28" borderId="3" xfId="0" applyFont="1" applyFill="1" applyBorder="1" applyAlignment="1">
      <alignment horizontal="center" vertical="center" wrapText="1"/>
    </xf>
    <xf numFmtId="0" fontId="0" fillId="28" borderId="0" xfId="0" applyFill="1"/>
    <xf numFmtId="0" fontId="4" fillId="27" borderId="6" xfId="0" applyFont="1" applyFill="1" applyBorder="1" applyAlignment="1">
      <alignment horizontal="center" vertical="center"/>
    </xf>
    <xf numFmtId="0" fontId="4" fillId="27" borderId="3" xfId="0" applyFont="1" applyFill="1" applyBorder="1" applyAlignment="1">
      <alignment horizontal="center" vertical="center" wrapText="1"/>
    </xf>
    <xf numFmtId="164" fontId="4" fillId="27" borderId="3" xfId="0" applyNumberFormat="1" applyFont="1" applyFill="1" applyBorder="1" applyAlignment="1">
      <alignment horizontal="center" vertical="center" wrapText="1"/>
    </xf>
    <xf numFmtId="164" fontId="12" fillId="27" borderId="3" xfId="0" applyNumberFormat="1" applyFont="1" applyFill="1" applyBorder="1" applyAlignment="1">
      <alignment horizontal="center" vertical="center" wrapText="1"/>
    </xf>
    <xf numFmtId="0" fontId="4" fillId="27" borderId="3" xfId="0" applyFont="1" applyFill="1" applyBorder="1" applyAlignment="1">
      <alignment horizontal="center" vertical="top" wrapText="1"/>
    </xf>
    <xf numFmtId="0" fontId="4" fillId="29" borderId="3" xfId="0" applyFont="1" applyFill="1" applyBorder="1" applyAlignment="1">
      <alignment vertical="top" wrapText="1"/>
    </xf>
    <xf numFmtId="0" fontId="4" fillId="0" borderId="6" xfId="0" applyFont="1" applyFill="1" applyBorder="1" applyAlignment="1">
      <alignment horizontal="center" vertical="top"/>
    </xf>
    <xf numFmtId="0" fontId="4" fillId="0" borderId="6" xfId="0" applyFont="1" applyFill="1" applyBorder="1" applyAlignment="1">
      <alignment horizontal="center" vertical="center"/>
    </xf>
    <xf numFmtId="0" fontId="4" fillId="0" borderId="3" xfId="0" applyFont="1" applyFill="1" applyBorder="1" applyAlignment="1">
      <alignment vertical="top" wrapText="1"/>
    </xf>
    <xf numFmtId="0" fontId="0" fillId="0" borderId="0" xfId="0" applyFill="1" applyAlignment="1">
      <alignment horizontal="center" vertical="center"/>
    </xf>
    <xf numFmtId="0" fontId="4" fillId="0" borderId="3" xfId="0" applyFont="1" applyFill="1" applyBorder="1" applyAlignment="1">
      <alignment horizontal="center" vertical="center"/>
    </xf>
    <xf numFmtId="0" fontId="4" fillId="0" borderId="3" xfId="0" applyFont="1" applyFill="1" applyBorder="1" applyAlignment="1">
      <alignment vertical="top"/>
    </xf>
    <xf numFmtId="0" fontId="4" fillId="0" borderId="3" xfId="0"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4" fillId="0" borderId="0" xfId="0" applyFont="1" applyFill="1" applyAlignment="1">
      <alignment vertical="top"/>
    </xf>
    <xf numFmtId="0" fontId="4" fillId="0" borderId="7" xfId="0" applyFont="1" applyFill="1" applyBorder="1" applyAlignment="1">
      <alignment horizontal="center" vertical="top"/>
    </xf>
    <xf numFmtId="0" fontId="4" fillId="0" borderId="7" xfId="0" applyFont="1" applyFill="1" applyBorder="1" applyAlignment="1">
      <alignment horizontal="center" vertical="center"/>
    </xf>
    <xf numFmtId="0" fontId="4" fillId="0" borderId="7" xfId="0" applyFont="1" applyFill="1" applyBorder="1" applyAlignment="1">
      <alignment vertical="top" wrapText="1"/>
    </xf>
    <xf numFmtId="0" fontId="4" fillId="0" borderId="7" xfId="0" applyFont="1" applyFill="1" applyBorder="1" applyAlignment="1">
      <alignment vertical="top"/>
    </xf>
    <xf numFmtId="0" fontId="4" fillId="0" borderId="7" xfId="0" applyFont="1" applyFill="1" applyBorder="1" applyAlignment="1">
      <alignment horizontal="center" vertical="center" wrapText="1"/>
    </xf>
    <xf numFmtId="164" fontId="4" fillId="0" borderId="7" xfId="0" applyNumberFormat="1" applyFont="1" applyFill="1" applyBorder="1" applyAlignment="1">
      <alignment horizontal="center" vertical="center" wrapText="1"/>
    </xf>
    <xf numFmtId="164" fontId="12" fillId="0" borderId="7" xfId="0" applyNumberFormat="1" applyFont="1" applyFill="1" applyBorder="1" applyAlignment="1">
      <alignment horizontal="center" vertical="center" wrapText="1"/>
    </xf>
    <xf numFmtId="0" fontId="4" fillId="0" borderId="7" xfId="0" applyFont="1" applyFill="1" applyBorder="1" applyAlignment="1">
      <alignment horizontal="center" vertical="top" wrapText="1"/>
    </xf>
    <xf numFmtId="0" fontId="12" fillId="0" borderId="7" xfId="0" applyFont="1" applyFill="1" applyBorder="1" applyAlignment="1">
      <alignment horizontal="center" vertical="center" wrapText="1"/>
    </xf>
    <xf numFmtId="0" fontId="0" fillId="0" borderId="0" xfId="0" applyFill="1"/>
    <xf numFmtId="0" fontId="4" fillId="0" borderId="3" xfId="0" applyFont="1" applyFill="1" applyBorder="1" applyAlignment="1">
      <alignment horizontal="center" vertical="top"/>
    </xf>
    <xf numFmtId="164"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top" wrapText="1"/>
    </xf>
    <xf numFmtId="0" fontId="4" fillId="0" borderId="2" xfId="0" applyFont="1" applyFill="1" applyBorder="1" applyAlignment="1">
      <alignment horizontal="center" vertical="center" wrapText="1"/>
    </xf>
    <xf numFmtId="0" fontId="16" fillId="0" borderId="7" xfId="0" applyFont="1" applyBorder="1" applyAlignment="1">
      <alignment vertical="top" wrapText="1"/>
    </xf>
    <xf numFmtId="0" fontId="16" fillId="28" borderId="3" xfId="0" applyFont="1" applyFill="1" applyBorder="1" applyAlignment="1">
      <alignment vertical="top" wrapText="1"/>
    </xf>
    <xf numFmtId="0" fontId="16" fillId="0" borderId="3" xfId="0" applyFont="1" applyFill="1" applyBorder="1" applyAlignment="1">
      <alignment vertical="top" wrapText="1"/>
    </xf>
    <xf numFmtId="0" fontId="14" fillId="0" borderId="7" xfId="0" applyFont="1" applyFill="1" applyBorder="1" applyAlignment="1">
      <alignment vertical="top" wrapText="1"/>
    </xf>
    <xf numFmtId="0" fontId="14" fillId="0" borderId="7" xfId="0" applyFont="1" applyBorder="1" applyAlignment="1">
      <alignment vertical="top" wrapText="1"/>
    </xf>
    <xf numFmtId="0" fontId="15" fillId="0" borderId="3" xfId="0" applyFont="1" applyFill="1" applyBorder="1" applyAlignment="1">
      <alignment vertical="top" wrapText="1"/>
    </xf>
    <xf numFmtId="15" fontId="37" fillId="0" borderId="3" xfId="4" applyNumberFormat="1" applyFont="1" applyBorder="1" applyAlignment="1">
      <alignment horizontal="center" vertical="center"/>
    </xf>
    <xf numFmtId="0" fontId="1" fillId="24"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36" fillId="0" borderId="1" xfId="3" applyFont="1" applyBorder="1" applyAlignment="1">
      <alignment horizontal="center" vertical="center"/>
    </xf>
    <xf numFmtId="0" fontId="36" fillId="0" borderId="10" xfId="3" applyFont="1" applyBorder="1" applyAlignment="1">
      <alignment horizontal="center" vertical="center"/>
    </xf>
    <xf numFmtId="0" fontId="36" fillId="0" borderId="2" xfId="3" applyFont="1" applyBorder="1" applyAlignment="1">
      <alignment horizontal="center" vertical="center"/>
    </xf>
    <xf numFmtId="0" fontId="39" fillId="25" borderId="3" xfId="3" applyFont="1" applyFill="1" applyBorder="1" applyAlignment="1">
      <alignment horizontal="center"/>
    </xf>
    <xf numFmtId="0" fontId="37" fillId="0" borderId="3" xfId="4" applyFont="1" applyBorder="1" applyAlignment="1">
      <alignment horizontal="left"/>
    </xf>
    <xf numFmtId="0" fontId="37" fillId="0" borderId="3" xfId="4" applyFont="1" applyBorder="1" applyAlignment="1">
      <alignment horizontal="center"/>
    </xf>
    <xf numFmtId="0" fontId="4" fillId="0" borderId="3" xfId="0" applyFont="1" applyBorder="1" applyAlignment="1">
      <alignment horizontal="left" vertical="top" wrapText="1"/>
    </xf>
    <xf numFmtId="0" fontId="7" fillId="0" borderId="0" xfId="0" applyFont="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4" fillId="0" borderId="0" xfId="0" applyFont="1" applyAlignment="1">
      <alignment horizontal="left" vertical="top" wrapText="1"/>
    </xf>
    <xf numFmtId="0" fontId="3"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xf numFmtId="0" fontId="16" fillId="0" borderId="3" xfId="0" applyFont="1" applyBorder="1" applyAlignment="1">
      <alignment vertical="top"/>
    </xf>
  </cellXfs>
  <cellStyles count="5">
    <cellStyle name="Excel Built-in Normal" xfId="2" xr:uid="{00000000-0005-0000-0000-000007000000}"/>
    <cellStyle name="Normal" xfId="0" builtinId="0"/>
    <cellStyle name="Normal 2" xfId="1" xr:uid="{00000000-0005-0000-0000-000006000000}"/>
    <cellStyle name="Normal 2 2" xfId="4" xr:uid="{773E805F-0A23-49EA-96B5-76AF2E7B4EE0}"/>
    <cellStyle name="Normal 3" xfId="3" xr:uid="{5F16F899-C1A4-44FC-A07B-7F7922B82C61}"/>
  </cellStyles>
  <dxfs count="14">
    <dxf>
      <alignment horizontal="center" vertical="center" textRotation="0" indent="0" justifyLastLine="0" shrinkToFit="0" readingOrder="0"/>
    </dxf>
    <dxf>
      <border outline="0">
        <left style="thin">
          <color auto="1"/>
        </left>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dataDxfId="0"/>
    <tableColumn id="7" xr3:uid="{00000000-0010-0000-0300-000007000000}" name="Asset" dataDxfId="1"/>
    <tableColumn id="8" xr3:uid="{00000000-0010-0000-0300-000008000000}" name="Impact Description"/>
    <tableColumn id="9" xr3:uid="{00000000-0010-0000-0300-000009000000}" name="Safety Impact _x000a_(Risk ID# or N/A)" dataDxfId="7"/>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1BA5-C54F-4FAC-A26B-71DA35579432}">
  <dimension ref="B3:F28"/>
  <sheetViews>
    <sheetView topLeftCell="A19" zoomScale="90" zoomScaleNormal="90" workbookViewId="0">
      <selection activeCell="D28" sqref="D28"/>
    </sheetView>
  </sheetViews>
  <sheetFormatPr defaultRowHeight="14.5"/>
  <cols>
    <col min="2" max="2" width="11.54296875" customWidth="1"/>
    <col min="3" max="3" width="15.453125" customWidth="1"/>
    <col min="4" max="4" width="28.81640625" customWidth="1"/>
    <col min="5" max="5" width="19.26953125" customWidth="1"/>
    <col min="6" max="6" width="17.54296875" customWidth="1"/>
  </cols>
  <sheetData>
    <row r="3" spans="2:6" ht="32.15" customHeight="1">
      <c r="B3" s="277" t="s">
        <v>0</v>
      </c>
      <c r="C3" s="277"/>
      <c r="D3" s="277" t="s">
        <v>1</v>
      </c>
      <c r="E3" s="277"/>
      <c r="F3" s="277"/>
    </row>
    <row r="4" spans="2:6" ht="32.15" customHeight="1">
      <c r="B4" s="277" t="s">
        <v>2</v>
      </c>
      <c r="C4" s="277"/>
      <c r="D4" s="277" t="s">
        <v>3</v>
      </c>
      <c r="E4" s="277"/>
      <c r="F4" s="277"/>
    </row>
    <row r="5" spans="2:6" ht="32.15" customHeight="1">
      <c r="B5" s="277" t="s">
        <v>4</v>
      </c>
      <c r="C5" s="277"/>
      <c r="D5" s="278">
        <v>44659</v>
      </c>
      <c r="E5" s="277"/>
      <c r="F5" s="277"/>
    </row>
    <row r="6" spans="2:6" ht="32.15" customHeight="1">
      <c r="B6" s="277" t="s">
        <v>5</v>
      </c>
      <c r="C6" s="277"/>
      <c r="D6" s="277" t="s">
        <v>6</v>
      </c>
      <c r="E6" s="277"/>
      <c r="F6" s="277"/>
    </row>
    <row r="7" spans="2:6" ht="32.15" customHeight="1">
      <c r="B7" s="277" t="s">
        <v>7</v>
      </c>
      <c r="C7" s="277"/>
      <c r="D7" s="277" t="s">
        <v>8</v>
      </c>
      <c r="E7" s="277"/>
      <c r="F7" s="277"/>
    </row>
    <row r="13" spans="2:6" ht="33.65" customHeight="1">
      <c r="B13" s="279" t="s">
        <v>9</v>
      </c>
      <c r="C13" s="280"/>
      <c r="D13" s="280"/>
      <c r="E13" s="280"/>
      <c r="F13" s="281"/>
    </row>
    <row r="14" spans="2:6" ht="14.5" customHeight="1">
      <c r="B14" s="213" t="s">
        <v>10</v>
      </c>
      <c r="C14" s="214" t="s">
        <v>11</v>
      </c>
      <c r="D14" s="214" t="s">
        <v>12</v>
      </c>
      <c r="E14" s="214" t="s">
        <v>13</v>
      </c>
      <c r="F14" s="214" t="s">
        <v>4</v>
      </c>
    </row>
    <row r="15" spans="2:6" ht="45" customHeight="1">
      <c r="B15" s="215" t="s">
        <v>14</v>
      </c>
      <c r="C15" s="216" t="s">
        <v>15</v>
      </c>
      <c r="D15" s="216" t="s">
        <v>16</v>
      </c>
      <c r="E15" s="216"/>
      <c r="F15" s="216"/>
    </row>
    <row r="16" spans="2:6" ht="45" customHeight="1">
      <c r="B16" s="276" t="s">
        <v>17</v>
      </c>
      <c r="C16" s="216" t="s">
        <v>15</v>
      </c>
      <c r="D16" s="216" t="s">
        <v>18</v>
      </c>
      <c r="E16" s="216"/>
      <c r="F16" s="216"/>
    </row>
    <row r="17" spans="2:6" ht="45" customHeight="1">
      <c r="B17" s="276"/>
      <c r="C17" s="216" t="s">
        <v>19</v>
      </c>
      <c r="D17" s="216" t="s">
        <v>20</v>
      </c>
      <c r="E17" s="216"/>
      <c r="F17" s="216"/>
    </row>
    <row r="18" spans="2:6" ht="45" customHeight="1">
      <c r="B18" s="276"/>
      <c r="C18" s="216" t="s">
        <v>21</v>
      </c>
      <c r="D18" s="216" t="s">
        <v>22</v>
      </c>
      <c r="E18" s="216"/>
      <c r="F18" s="216"/>
    </row>
    <row r="23" spans="2:6">
      <c r="B23" s="217" t="s">
        <v>23</v>
      </c>
      <c r="C23" s="218"/>
      <c r="D23" s="219"/>
      <c r="E23" s="218"/>
      <c r="F23" s="218"/>
    </row>
    <row r="24" spans="2:6">
      <c r="B24" s="220" t="s">
        <v>24</v>
      </c>
      <c r="C24" s="220" t="s">
        <v>25</v>
      </c>
      <c r="D24" s="221" t="s">
        <v>26</v>
      </c>
      <c r="E24" s="282" t="s">
        <v>27</v>
      </c>
      <c r="F24" s="282"/>
    </row>
    <row r="25" spans="2:6">
      <c r="B25" s="222" t="s">
        <v>28</v>
      </c>
      <c r="C25" s="223">
        <v>44438</v>
      </c>
      <c r="D25" s="224" t="s">
        <v>15</v>
      </c>
      <c r="E25" s="283" t="s">
        <v>462</v>
      </c>
      <c r="F25" s="283"/>
    </row>
    <row r="26" spans="2:6">
      <c r="B26" s="222" t="s">
        <v>29</v>
      </c>
      <c r="C26" s="275">
        <v>44659</v>
      </c>
      <c r="D26" s="224" t="s">
        <v>15</v>
      </c>
      <c r="E26" s="284" t="s">
        <v>30</v>
      </c>
      <c r="F26" s="284"/>
    </row>
    <row r="27" spans="2:6">
      <c r="B27" s="224"/>
      <c r="C27" s="224"/>
      <c r="D27" s="224"/>
      <c r="E27" s="284"/>
      <c r="F27" s="284"/>
    </row>
    <row r="28" spans="2:6">
      <c r="B28" s="224"/>
      <c r="C28" s="224"/>
      <c r="D28" s="224"/>
      <c r="E28" s="284"/>
      <c r="F28" s="284"/>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04"/>
      <c r="B1" s="205"/>
    </row>
    <row r="2" spans="1:2" ht="18.5">
      <c r="A2" s="206" t="s">
        <v>426</v>
      </c>
      <c r="B2" s="207" t="s">
        <v>427</v>
      </c>
    </row>
    <row r="3" spans="1:2" ht="18.5">
      <c r="A3" s="208"/>
      <c r="B3" s="209"/>
    </row>
    <row r="4" spans="1:2">
      <c r="A4" s="302"/>
      <c r="B4" s="210"/>
    </row>
    <row r="5" spans="1:2">
      <c r="A5" s="302"/>
      <c r="B5" s="211"/>
    </row>
    <row r="6" spans="1:2">
      <c r="A6" s="302"/>
      <c r="B6" s="211"/>
    </row>
    <row r="7" spans="1:2">
      <c r="A7" s="302"/>
      <c r="B7" s="212"/>
    </row>
    <row r="8" spans="1:2" ht="18.5">
      <c r="A8" s="204"/>
      <c r="B8" s="205"/>
    </row>
    <row r="9" spans="1:2">
      <c r="A9" s="302"/>
      <c r="B9" s="210"/>
    </row>
    <row r="10" spans="1:2">
      <c r="A10" s="302"/>
      <c r="B10" s="211"/>
    </row>
    <row r="11" spans="1:2">
      <c r="A11" s="302"/>
      <c r="B11" s="211"/>
    </row>
    <row r="12" spans="1:2">
      <c r="A12" s="302"/>
      <c r="B12" s="211"/>
    </row>
    <row r="13" spans="1:2">
      <c r="A13" s="302"/>
      <c r="B13" s="212"/>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zoomScale="95" zoomScaleNormal="95" workbookViewId="0">
      <selection activeCell="C5" sqref="C5:D5"/>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31</v>
      </c>
    </row>
    <row r="2" spans="1:4" s="3" customFormat="1" ht="14"/>
    <row r="3" spans="1:4" s="3" customFormat="1" ht="14">
      <c r="A3" s="4" t="s">
        <v>32</v>
      </c>
      <c r="B3" s="5"/>
      <c r="C3" s="285" t="s">
        <v>6</v>
      </c>
      <c r="D3" s="285"/>
    </row>
    <row r="4" spans="1:4" s="3" customFormat="1" ht="14">
      <c r="A4" s="7" t="s">
        <v>33</v>
      </c>
      <c r="B4" s="8"/>
      <c r="C4" s="285" t="s">
        <v>34</v>
      </c>
      <c r="D4" s="285"/>
    </row>
    <row r="5" spans="1:4" s="3" customFormat="1" ht="13.75" customHeight="1">
      <c r="A5" s="7" t="s">
        <v>35</v>
      </c>
      <c r="B5" s="8"/>
      <c r="C5" s="285" t="s">
        <v>463</v>
      </c>
      <c r="D5" s="285"/>
    </row>
    <row r="6" spans="1:4" s="3" customFormat="1" ht="30" customHeight="1">
      <c r="A6" s="9" t="s">
        <v>36</v>
      </c>
      <c r="B6" s="10"/>
      <c r="C6" s="285" t="s">
        <v>37</v>
      </c>
      <c r="D6" s="285"/>
    </row>
    <row r="7" spans="1:4" s="3" customFormat="1" ht="14"/>
    <row r="8" spans="1:4" s="3" customFormat="1" ht="14"/>
    <row r="9" spans="1:4" s="3" customFormat="1" ht="28">
      <c r="A9" s="11" t="s">
        <v>38</v>
      </c>
      <c r="B9" s="12" t="s">
        <v>39</v>
      </c>
      <c r="C9" s="12" t="s">
        <v>40</v>
      </c>
      <c r="D9" s="13" t="s">
        <v>41</v>
      </c>
    </row>
    <row r="10" spans="1:4" s="3" customFormat="1" ht="56">
      <c r="A10" s="14" t="s">
        <v>42</v>
      </c>
      <c r="B10" s="15" t="s">
        <v>43</v>
      </c>
      <c r="C10" s="16" t="s">
        <v>44</v>
      </c>
      <c r="D10" s="16" t="s">
        <v>45</v>
      </c>
    </row>
    <row r="11" spans="1:4" s="3" customFormat="1" ht="28">
      <c r="A11" s="14" t="s">
        <v>46</v>
      </c>
      <c r="B11" s="15" t="s">
        <v>47</v>
      </c>
      <c r="C11" s="16" t="s">
        <v>48</v>
      </c>
      <c r="D11" s="16" t="s">
        <v>49</v>
      </c>
    </row>
    <row r="12" spans="1:4" s="3" customFormat="1" ht="42">
      <c r="A12" s="14" t="s">
        <v>50</v>
      </c>
      <c r="B12" s="15" t="s">
        <v>51</v>
      </c>
      <c r="C12" s="16" t="s">
        <v>52</v>
      </c>
      <c r="D12" s="16" t="s">
        <v>53</v>
      </c>
    </row>
    <row r="13" spans="1:4" s="3" customFormat="1" ht="28">
      <c r="A13" s="14" t="s">
        <v>54</v>
      </c>
      <c r="B13" s="15" t="s">
        <v>47</v>
      </c>
      <c r="C13" s="16" t="s">
        <v>55</v>
      </c>
      <c r="D13" s="16" t="s">
        <v>56</v>
      </c>
    </row>
    <row r="14" spans="1:4" s="3" customFormat="1" ht="42">
      <c r="A14" s="14" t="s">
        <v>57</v>
      </c>
      <c r="B14" s="15" t="s">
        <v>51</v>
      </c>
      <c r="C14" s="16" t="s">
        <v>58</v>
      </c>
      <c r="D14" s="16" t="s">
        <v>59</v>
      </c>
    </row>
    <row r="15" spans="1:4" s="3" customFormat="1" ht="28">
      <c r="A15" s="14" t="s">
        <v>60</v>
      </c>
      <c r="B15" s="15" t="s">
        <v>47</v>
      </c>
      <c r="C15" s="17" t="s">
        <v>61</v>
      </c>
      <c r="D15" s="16" t="s">
        <v>62</v>
      </c>
    </row>
    <row r="16" spans="1:4" s="3" customFormat="1" ht="28">
      <c r="A16" s="14" t="s">
        <v>63</v>
      </c>
      <c r="B16" s="15" t="s">
        <v>47</v>
      </c>
      <c r="C16" s="16" t="s">
        <v>64</v>
      </c>
      <c r="D16" s="19" t="s">
        <v>65</v>
      </c>
    </row>
    <row r="17" spans="1:4" s="3" customFormat="1" ht="28">
      <c r="A17" s="14" t="s">
        <v>66</v>
      </c>
      <c r="B17" s="18" t="s">
        <v>51</v>
      </c>
      <c r="C17" s="19" t="s">
        <v>67</v>
      </c>
      <c r="D17" s="19" t="s">
        <v>68</v>
      </c>
    </row>
    <row r="18" spans="1:4" s="3" customFormat="1" ht="28">
      <c r="A18" s="14" t="s">
        <v>69</v>
      </c>
      <c r="B18" s="18" t="s">
        <v>47</v>
      </c>
      <c r="C18" s="19" t="s">
        <v>70</v>
      </c>
      <c r="D18" s="19" t="s">
        <v>71</v>
      </c>
    </row>
    <row r="19" spans="1:4" s="3" customFormat="1" ht="28">
      <c r="A19" s="14" t="s">
        <v>72</v>
      </c>
      <c r="B19" s="18" t="s">
        <v>47</v>
      </c>
      <c r="C19" s="19" t="s">
        <v>73</v>
      </c>
      <c r="D19" s="19" t="s">
        <v>74</v>
      </c>
    </row>
    <row r="20" spans="1:4" s="3" customFormat="1" ht="28">
      <c r="A20" s="14" t="s">
        <v>75</v>
      </c>
      <c r="B20" s="18" t="s">
        <v>47</v>
      </c>
      <c r="C20" s="19" t="s">
        <v>76</v>
      </c>
      <c r="D20" s="19" t="s">
        <v>77</v>
      </c>
    </row>
    <row r="21" spans="1:4" s="3" customFormat="1" ht="28">
      <c r="A21" s="14" t="s">
        <v>78</v>
      </c>
      <c r="B21" s="18" t="s">
        <v>47</v>
      </c>
      <c r="C21" s="19" t="s">
        <v>79</v>
      </c>
      <c r="D21" s="19" t="s">
        <v>80</v>
      </c>
    </row>
    <row r="22" spans="1:4" s="3" customFormat="1" ht="14">
      <c r="A22" s="14" t="s">
        <v>81</v>
      </c>
      <c r="B22" s="18" t="s">
        <v>47</v>
      </c>
      <c r="C22" s="19" t="s">
        <v>82</v>
      </c>
      <c r="D22" s="19" t="s">
        <v>83</v>
      </c>
    </row>
    <row r="23" spans="1:4" s="3" customFormat="1" ht="28">
      <c r="A23" s="14" t="s">
        <v>84</v>
      </c>
      <c r="B23" s="20" t="s">
        <v>47</v>
      </c>
      <c r="C23" s="21" t="s">
        <v>85</v>
      </c>
      <c r="D23" s="19" t="s">
        <v>86</v>
      </c>
    </row>
    <row r="24" spans="1:4" ht="28">
      <c r="A24" s="90" t="s">
        <v>87</v>
      </c>
      <c r="B24" s="18" t="s">
        <v>47</v>
      </c>
      <c r="C24" s="19" t="s">
        <v>88</v>
      </c>
      <c r="D24" s="19" t="s">
        <v>89</v>
      </c>
    </row>
    <row r="37" spans="1:8">
      <c r="A37" s="22" t="s">
        <v>90</v>
      </c>
    </row>
    <row r="38" spans="1:8" ht="34.5" customHeight="1">
      <c r="B38" s="286" t="s">
        <v>91</v>
      </c>
      <c r="C38" s="286"/>
      <c r="D38" s="23"/>
      <c r="E38" s="23"/>
      <c r="F38" s="23"/>
      <c r="G38" s="23"/>
      <c r="H38" s="23"/>
    </row>
    <row r="40" spans="1:8">
      <c r="B40" s="3" t="s">
        <v>92</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opLeftCell="B34" zoomScale="95" zoomScaleNormal="95" workbookViewId="0">
      <selection activeCell="B12" sqref="B12"/>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s="26" customFormat="1" ht="15" customHeight="1">
      <c r="A1" s="2" t="s">
        <v>93</v>
      </c>
      <c r="B1" s="3"/>
    </row>
    <row r="2" spans="1:4" s="26" customFormat="1" ht="15" customHeight="1">
      <c r="A2" s="2"/>
      <c r="B2" s="3"/>
    </row>
    <row r="3" spans="1:4" s="26" customFormat="1" ht="14" hidden="1">
      <c r="B3" s="3"/>
    </row>
    <row r="4" spans="1:4" s="26" customFormat="1" ht="14">
      <c r="A4" s="27" t="s">
        <v>94</v>
      </c>
      <c r="B4" s="28" t="s">
        <v>95</v>
      </c>
      <c r="C4" s="29" t="s">
        <v>96</v>
      </c>
      <c r="D4" s="29" t="s">
        <v>97</v>
      </c>
    </row>
    <row r="5" spans="1:4" s="26" customFormat="1" ht="28">
      <c r="A5" s="30" t="s">
        <v>98</v>
      </c>
      <c r="B5" s="31" t="s">
        <v>99</v>
      </c>
      <c r="C5" s="19" t="s">
        <v>100</v>
      </c>
      <c r="D5" s="19" t="s">
        <v>101</v>
      </c>
    </row>
    <row r="6" spans="1:4" s="26" customFormat="1" ht="42">
      <c r="A6" s="32" t="s">
        <v>102</v>
      </c>
      <c r="B6" s="31" t="s">
        <v>103</v>
      </c>
      <c r="C6" s="19" t="s">
        <v>100</v>
      </c>
      <c r="D6" s="19" t="s">
        <v>101</v>
      </c>
    </row>
    <row r="7" spans="1:4" s="26" customFormat="1" ht="28">
      <c r="A7" s="32" t="s">
        <v>104</v>
      </c>
      <c r="B7" s="19" t="s">
        <v>105</v>
      </c>
      <c r="C7" s="19" t="s">
        <v>100</v>
      </c>
      <c r="D7" s="19" t="s">
        <v>101</v>
      </c>
    </row>
    <row r="8" spans="1:4" s="26" customFormat="1" ht="14">
      <c r="A8" s="32" t="s">
        <v>106</v>
      </c>
      <c r="B8" s="19" t="s">
        <v>107</v>
      </c>
      <c r="C8" s="19" t="s">
        <v>100</v>
      </c>
      <c r="D8" s="19" t="s">
        <v>101</v>
      </c>
    </row>
    <row r="9" spans="1:4" s="26" customFormat="1" ht="14">
      <c r="A9" s="32" t="s">
        <v>108</v>
      </c>
      <c r="B9" s="19" t="s">
        <v>109</v>
      </c>
      <c r="C9" s="19" t="s">
        <v>100</v>
      </c>
      <c r="D9" s="19" t="s">
        <v>101</v>
      </c>
    </row>
    <row r="10" spans="1:4" s="26" customFormat="1" ht="14">
      <c r="A10" s="33" t="s">
        <v>110</v>
      </c>
      <c r="B10" s="34"/>
      <c r="C10" s="33"/>
      <c r="D10" s="33"/>
    </row>
    <row r="11" spans="1:4" s="26" customFormat="1" ht="14">
      <c r="A11" s="35" t="s">
        <v>111</v>
      </c>
      <c r="B11" s="35" t="s">
        <v>112</v>
      </c>
      <c r="C11" s="19" t="s">
        <v>100</v>
      </c>
      <c r="D11" s="19" t="s">
        <v>101</v>
      </c>
    </row>
    <row r="12" spans="1:4" s="26" customFormat="1" ht="28">
      <c r="A12" s="35" t="s">
        <v>113</v>
      </c>
      <c r="B12" s="19" t="s">
        <v>114</v>
      </c>
      <c r="C12" s="19" t="s">
        <v>100</v>
      </c>
      <c r="D12" s="19" t="s">
        <v>101</v>
      </c>
    </row>
    <row r="13" spans="1:4" s="26" customFormat="1" ht="28">
      <c r="A13" s="35" t="s">
        <v>115</v>
      </c>
      <c r="B13" s="19" t="s">
        <v>116</v>
      </c>
      <c r="C13" s="19" t="s">
        <v>100</v>
      </c>
      <c r="D13" s="19" t="s">
        <v>101</v>
      </c>
    </row>
    <row r="14" spans="1:4" s="26" customFormat="1" ht="14">
      <c r="A14" s="35" t="s">
        <v>117</v>
      </c>
      <c r="B14" s="19" t="s">
        <v>118</v>
      </c>
      <c r="C14" s="19" t="s">
        <v>100</v>
      </c>
      <c r="D14" s="19" t="s">
        <v>101</v>
      </c>
    </row>
    <row r="15" spans="1:4" s="26" customFormat="1" ht="28">
      <c r="A15" s="35" t="s">
        <v>119</v>
      </c>
      <c r="B15" s="19" t="s">
        <v>120</v>
      </c>
      <c r="C15" s="19" t="s">
        <v>100</v>
      </c>
      <c r="D15" s="19" t="s">
        <v>101</v>
      </c>
    </row>
    <row r="16" spans="1:4" s="26" customFormat="1" ht="28">
      <c r="A16" s="35" t="s">
        <v>121</v>
      </c>
      <c r="B16" s="19" t="s">
        <v>122</v>
      </c>
      <c r="C16" s="19" t="s">
        <v>100</v>
      </c>
      <c r="D16" s="19" t="s">
        <v>101</v>
      </c>
    </row>
    <row r="17" spans="1:4" s="26" customFormat="1" ht="14">
      <c r="A17" s="33" t="s">
        <v>123</v>
      </c>
      <c r="B17" s="34"/>
      <c r="C17" s="33"/>
      <c r="D17" s="33"/>
    </row>
    <row r="18" spans="1:4" s="26" customFormat="1" ht="28">
      <c r="A18" s="35" t="s">
        <v>124</v>
      </c>
      <c r="B18" s="19" t="s">
        <v>125</v>
      </c>
      <c r="C18" s="19" t="s">
        <v>100</v>
      </c>
      <c r="D18" s="19" t="s">
        <v>101</v>
      </c>
    </row>
    <row r="19" spans="1:4" s="26" customFormat="1" ht="14">
      <c r="A19" s="35" t="s">
        <v>126</v>
      </c>
      <c r="B19" s="19" t="s">
        <v>127</v>
      </c>
      <c r="C19" s="19" t="s">
        <v>100</v>
      </c>
      <c r="D19" s="19" t="s">
        <v>101</v>
      </c>
    </row>
    <row r="20" spans="1:4" s="26" customFormat="1" ht="14">
      <c r="A20" s="35" t="s">
        <v>128</v>
      </c>
      <c r="B20" s="19" t="s">
        <v>129</v>
      </c>
      <c r="C20" s="19" t="s">
        <v>100</v>
      </c>
      <c r="D20" s="19" t="s">
        <v>101</v>
      </c>
    </row>
    <row r="21" spans="1:4" s="26" customFormat="1" ht="14">
      <c r="A21" s="35" t="s">
        <v>130</v>
      </c>
      <c r="B21" s="19" t="s">
        <v>131</v>
      </c>
      <c r="C21" s="19" t="s">
        <v>100</v>
      </c>
      <c r="D21" s="19" t="s">
        <v>101</v>
      </c>
    </row>
    <row r="22" spans="1:4" s="26" customFormat="1" ht="14">
      <c r="A22" s="33" t="s">
        <v>132</v>
      </c>
      <c r="B22" s="34"/>
      <c r="C22" s="33"/>
      <c r="D22" s="33"/>
    </row>
    <row r="23" spans="1:4" s="26" customFormat="1" ht="14">
      <c r="A23" s="35" t="s">
        <v>133</v>
      </c>
      <c r="B23" s="19" t="s">
        <v>134</v>
      </c>
      <c r="C23" s="19" t="s">
        <v>100</v>
      </c>
      <c r="D23" s="36" t="s">
        <v>101</v>
      </c>
    </row>
    <row r="24" spans="1:4" s="26" customFormat="1" ht="14">
      <c r="A24" s="35" t="s">
        <v>135</v>
      </c>
      <c r="B24" s="19" t="s">
        <v>136</v>
      </c>
      <c r="C24" s="19" t="s">
        <v>100</v>
      </c>
      <c r="D24" s="36" t="s">
        <v>101</v>
      </c>
    </row>
    <row r="25" spans="1:4" s="26" customFormat="1" ht="28">
      <c r="A25" s="35" t="s">
        <v>137</v>
      </c>
      <c r="B25" s="19" t="s">
        <v>138</v>
      </c>
      <c r="C25" s="19" t="s">
        <v>100</v>
      </c>
      <c r="D25" s="36" t="s">
        <v>101</v>
      </c>
    </row>
    <row r="26" spans="1:4" s="26" customFormat="1" ht="14">
      <c r="A26" s="35" t="s">
        <v>139</v>
      </c>
      <c r="B26" s="19" t="s">
        <v>140</v>
      </c>
      <c r="C26" s="19" t="s">
        <v>100</v>
      </c>
      <c r="D26" s="36" t="s">
        <v>101</v>
      </c>
    </row>
    <row r="27" spans="1:4" s="26" customFormat="1" ht="14">
      <c r="A27" s="33" t="s">
        <v>141</v>
      </c>
      <c r="B27" s="34"/>
      <c r="C27" s="33"/>
      <c r="D27" s="33"/>
    </row>
    <row r="28" spans="1:4" s="26" customFormat="1" ht="28">
      <c r="A28" s="35" t="s">
        <v>142</v>
      </c>
      <c r="B28" s="19" t="s">
        <v>143</v>
      </c>
      <c r="C28" s="19" t="s">
        <v>100</v>
      </c>
      <c r="D28" s="36" t="s">
        <v>101</v>
      </c>
    </row>
    <row r="29" spans="1:4" s="26" customFormat="1" ht="28">
      <c r="A29" s="35" t="s">
        <v>144</v>
      </c>
      <c r="B29" s="19" t="s">
        <v>145</v>
      </c>
      <c r="C29" s="19" t="s">
        <v>100</v>
      </c>
      <c r="D29" s="36" t="s">
        <v>101</v>
      </c>
    </row>
    <row r="30" spans="1:4" s="26" customFormat="1" ht="14">
      <c r="A30" s="35" t="s">
        <v>146</v>
      </c>
      <c r="B30" s="21" t="s">
        <v>147</v>
      </c>
      <c r="C30" s="19" t="s">
        <v>100</v>
      </c>
      <c r="D30" s="36" t="s">
        <v>101</v>
      </c>
    </row>
    <row r="31" spans="1:4" s="26" customFormat="1" ht="14">
      <c r="A31" s="37" t="s">
        <v>148</v>
      </c>
      <c r="B31" s="21" t="s">
        <v>149</v>
      </c>
      <c r="C31" s="19" t="s">
        <v>100</v>
      </c>
      <c r="D31" s="38" t="s">
        <v>101</v>
      </c>
    </row>
    <row r="32" spans="1:4" s="26" customFormat="1" ht="14">
      <c r="A32" s="35" t="s">
        <v>150</v>
      </c>
      <c r="B32" s="19" t="s">
        <v>151</v>
      </c>
      <c r="C32" s="19" t="s">
        <v>100</v>
      </c>
      <c r="D32" s="38" t="s">
        <v>101</v>
      </c>
    </row>
    <row r="33" spans="1:8" s="26" customFormat="1" ht="23.5" customHeight="1">
      <c r="A33" s="35" t="s">
        <v>152</v>
      </c>
      <c r="B33" s="19" t="s">
        <v>153</v>
      </c>
      <c r="C33" s="19" t="s">
        <v>100</v>
      </c>
      <c r="D33" s="38" t="s">
        <v>101</v>
      </c>
    </row>
    <row r="34" spans="1:8" s="26" customFormat="1" ht="14">
      <c r="A34" s="33" t="s">
        <v>154</v>
      </c>
      <c r="B34" s="34"/>
      <c r="C34" s="33"/>
      <c r="D34" s="33"/>
    </row>
    <row r="35" spans="1:8" s="26" customFormat="1" ht="28">
      <c r="A35" s="39" t="s">
        <v>155</v>
      </c>
      <c r="B35" s="21" t="s">
        <v>156</v>
      </c>
      <c r="C35" s="21" t="s">
        <v>100</v>
      </c>
      <c r="D35" s="38" t="s">
        <v>101</v>
      </c>
    </row>
    <row r="36" spans="1:8" s="26" customFormat="1" ht="28">
      <c r="A36" s="40" t="s">
        <v>157</v>
      </c>
      <c r="B36" s="19" t="s">
        <v>158</v>
      </c>
      <c r="C36" s="19" t="s">
        <v>100</v>
      </c>
      <c r="D36" s="36" t="s">
        <v>101</v>
      </c>
    </row>
    <row r="37" spans="1:8" s="26" customFormat="1" ht="14">
      <c r="A37" s="40" t="s">
        <v>159</v>
      </c>
      <c r="B37" s="19" t="s">
        <v>160</v>
      </c>
      <c r="C37" s="19" t="s">
        <v>100</v>
      </c>
      <c r="D37" s="36" t="s">
        <v>101</v>
      </c>
    </row>
    <row r="38" spans="1:8" s="26" customFormat="1" ht="14">
      <c r="A38" s="40" t="s">
        <v>161</v>
      </c>
      <c r="B38" s="19" t="s">
        <v>162</v>
      </c>
      <c r="C38" s="19" t="s">
        <v>100</v>
      </c>
      <c r="D38" s="36" t="s">
        <v>101</v>
      </c>
    </row>
    <row r="39" spans="1:8" s="26" customFormat="1" ht="14">
      <c r="A39" s="41" t="s">
        <v>163</v>
      </c>
      <c r="B39" s="42"/>
      <c r="C39" s="43"/>
      <c r="D39" s="43"/>
    </row>
    <row r="40" spans="1:8" s="26" customFormat="1" ht="14">
      <c r="A40" s="40" t="s">
        <v>164</v>
      </c>
      <c r="B40" s="19" t="s">
        <v>165</v>
      </c>
      <c r="C40" s="19" t="s">
        <v>100</v>
      </c>
      <c r="D40" s="36" t="s">
        <v>101</v>
      </c>
      <c r="E40" s="23"/>
      <c r="F40" s="23"/>
      <c r="G40" s="23"/>
      <c r="H40" s="23"/>
    </row>
    <row r="41" spans="1:8" s="26" customFormat="1" ht="28">
      <c r="A41" s="40" t="s">
        <v>166</v>
      </c>
      <c r="B41" s="19" t="s">
        <v>167</v>
      </c>
      <c r="C41" s="19" t="s">
        <v>100</v>
      </c>
      <c r="D41" s="36" t="s">
        <v>101</v>
      </c>
    </row>
    <row r="42" spans="1:8">
      <c r="A42" s="41" t="s">
        <v>168</v>
      </c>
      <c r="B42" s="42"/>
      <c r="C42" s="43"/>
      <c r="D42" s="43"/>
    </row>
    <row r="43" spans="1:8" ht="28">
      <c r="A43" s="39" t="s">
        <v>169</v>
      </c>
      <c r="B43" s="21" t="s">
        <v>170</v>
      </c>
      <c r="C43" s="21" t="s">
        <v>100</v>
      </c>
      <c r="D43" s="38" t="s">
        <v>101</v>
      </c>
    </row>
    <row r="44" spans="1:8">
      <c r="A44" s="22" t="s">
        <v>90</v>
      </c>
      <c r="B44" s="3"/>
      <c r="C44" s="26"/>
      <c r="D44" s="26"/>
    </row>
    <row r="45" spans="1:8" ht="43">
      <c r="A45" s="26"/>
      <c r="B45" s="23" t="s">
        <v>91</v>
      </c>
      <c r="C45" s="23"/>
      <c r="D45" s="23"/>
    </row>
    <row r="46" spans="1:8">
      <c r="A46" s="26"/>
      <c r="B46" s="3"/>
      <c r="C46" s="26"/>
      <c r="D46" s="26"/>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D1" zoomScale="60" zoomScaleNormal="60" workbookViewId="0">
      <selection activeCell="B17" sqref="B17"/>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s="26" customFormat="1" ht="14">
      <c r="A1" s="2" t="s">
        <v>171</v>
      </c>
      <c r="E1" s="45"/>
    </row>
    <row r="2" spans="1:6" s="26" customFormat="1" ht="14">
      <c r="E2" s="45"/>
    </row>
    <row r="3" spans="1:6" s="26" customFormat="1" ht="28">
      <c r="A3" s="28" t="s">
        <v>172</v>
      </c>
      <c r="B3" s="28" t="s">
        <v>173</v>
      </c>
      <c r="C3" s="28" t="s">
        <v>174</v>
      </c>
      <c r="D3" s="28" t="s">
        <v>175</v>
      </c>
      <c r="E3" s="28" t="s">
        <v>176</v>
      </c>
      <c r="F3" s="46" t="s">
        <v>177</v>
      </c>
    </row>
    <row r="4" spans="1:6" s="51" customFormat="1" ht="112">
      <c r="A4" s="47" t="s">
        <v>178</v>
      </c>
      <c r="B4" s="19" t="s">
        <v>179</v>
      </c>
      <c r="C4" s="48" t="s">
        <v>180</v>
      </c>
      <c r="D4" s="18" t="s">
        <v>181</v>
      </c>
      <c r="E4" s="49" t="s">
        <v>100</v>
      </c>
      <c r="F4" s="50" t="s">
        <v>101</v>
      </c>
    </row>
    <row r="5" spans="1:6" s="26" customFormat="1" ht="70">
      <c r="A5" s="47" t="s">
        <v>182</v>
      </c>
      <c r="B5" s="19" t="s">
        <v>183</v>
      </c>
      <c r="C5" s="48" t="s">
        <v>184</v>
      </c>
      <c r="D5" s="18" t="s">
        <v>185</v>
      </c>
      <c r="E5" s="49" t="s">
        <v>100</v>
      </c>
      <c r="F5" s="50" t="s">
        <v>101</v>
      </c>
    </row>
    <row r="6" spans="1:6" s="26" customFormat="1" ht="70">
      <c r="A6" s="47" t="s">
        <v>186</v>
      </c>
      <c r="B6" s="19" t="s">
        <v>187</v>
      </c>
      <c r="C6" s="19" t="s">
        <v>188</v>
      </c>
      <c r="D6" s="18" t="s">
        <v>185</v>
      </c>
      <c r="E6" s="49" t="s">
        <v>100</v>
      </c>
      <c r="F6" s="50" t="s">
        <v>101</v>
      </c>
    </row>
    <row r="7" spans="1:6" s="26" customFormat="1" ht="42">
      <c r="A7" s="52" t="s">
        <v>189</v>
      </c>
      <c r="B7" s="53" t="s">
        <v>190</v>
      </c>
      <c r="C7" s="53" t="s">
        <v>191</v>
      </c>
      <c r="D7" s="18" t="s">
        <v>185</v>
      </c>
      <c r="E7" s="49" t="s">
        <v>100</v>
      </c>
      <c r="F7" s="50" t="s">
        <v>101</v>
      </c>
    </row>
    <row r="8" spans="1:6" s="26" customFormat="1" ht="56">
      <c r="A8" s="47" t="s">
        <v>192</v>
      </c>
      <c r="B8" s="53" t="s">
        <v>193</v>
      </c>
      <c r="C8" s="53" t="s">
        <v>194</v>
      </c>
      <c r="D8" s="18" t="s">
        <v>185</v>
      </c>
      <c r="E8" s="49" t="s">
        <v>100</v>
      </c>
      <c r="F8" s="50" t="s">
        <v>101</v>
      </c>
    </row>
    <row r="9" spans="1:6" s="26" customFormat="1" ht="28">
      <c r="A9" s="47" t="s">
        <v>195</v>
      </c>
      <c r="B9" s="53" t="s">
        <v>196</v>
      </c>
      <c r="C9" s="53" t="s">
        <v>197</v>
      </c>
      <c r="D9" s="18" t="s">
        <v>185</v>
      </c>
      <c r="E9" s="49" t="s">
        <v>100</v>
      </c>
      <c r="F9" s="50" t="s">
        <v>101</v>
      </c>
    </row>
    <row r="10" spans="1:6" s="26" customFormat="1" ht="28">
      <c r="A10" s="47" t="s">
        <v>198</v>
      </c>
      <c r="B10" s="53" t="s">
        <v>199</v>
      </c>
      <c r="C10" s="53" t="s">
        <v>200</v>
      </c>
      <c r="D10" s="18" t="s">
        <v>181</v>
      </c>
      <c r="E10" s="49" t="s">
        <v>100</v>
      </c>
      <c r="F10" s="50" t="s">
        <v>101</v>
      </c>
    </row>
    <row r="11" spans="1:6" s="26" customFormat="1" ht="140">
      <c r="A11" s="47" t="s">
        <v>201</v>
      </c>
      <c r="B11" s="53" t="s">
        <v>202</v>
      </c>
      <c r="C11" s="53" t="s">
        <v>203</v>
      </c>
      <c r="D11" s="18" t="s">
        <v>185</v>
      </c>
      <c r="E11" s="49" t="s">
        <v>100</v>
      </c>
      <c r="F11" s="50" t="s">
        <v>101</v>
      </c>
    </row>
    <row r="12" spans="1:6" s="26" customFormat="1" ht="28">
      <c r="A12" s="47" t="s">
        <v>204</v>
      </c>
      <c r="B12" s="53" t="s">
        <v>205</v>
      </c>
      <c r="C12" s="53" t="s">
        <v>206</v>
      </c>
      <c r="D12" s="18" t="s">
        <v>181</v>
      </c>
      <c r="E12" s="49" t="s">
        <v>100</v>
      </c>
      <c r="F12" s="50" t="s">
        <v>101</v>
      </c>
    </row>
    <row r="13" spans="1:6" s="26" customFormat="1" ht="28">
      <c r="A13" s="47" t="s">
        <v>207</v>
      </c>
      <c r="B13" s="53" t="s">
        <v>208</v>
      </c>
      <c r="C13" s="53" t="s">
        <v>209</v>
      </c>
      <c r="D13" s="18" t="s">
        <v>181</v>
      </c>
      <c r="E13" s="49" t="s">
        <v>100</v>
      </c>
      <c r="F13" s="50" t="s">
        <v>101</v>
      </c>
    </row>
    <row r="14" spans="1:6" s="26" customFormat="1" ht="42">
      <c r="A14" s="47" t="s">
        <v>210</v>
      </c>
      <c r="B14" s="53" t="s">
        <v>211</v>
      </c>
      <c r="C14" s="53" t="s">
        <v>212</v>
      </c>
      <c r="D14" s="18" t="s">
        <v>185</v>
      </c>
      <c r="E14" s="49" t="s">
        <v>100</v>
      </c>
      <c r="F14" s="50" t="s">
        <v>101</v>
      </c>
    </row>
    <row r="15" spans="1:6" s="26" customFormat="1" ht="28">
      <c r="A15" s="47" t="s">
        <v>213</v>
      </c>
      <c r="B15" s="19" t="s">
        <v>214</v>
      </c>
      <c r="C15" s="36" t="s">
        <v>215</v>
      </c>
      <c r="D15" s="49" t="s">
        <v>181</v>
      </c>
      <c r="E15" s="49" t="s">
        <v>100</v>
      </c>
      <c r="F15" s="50" t="s">
        <v>101</v>
      </c>
    </row>
    <row r="16" spans="1:6" s="26" customFormat="1" ht="42">
      <c r="A16" s="54" t="s">
        <v>216</v>
      </c>
      <c r="B16" s="21" t="s">
        <v>217</v>
      </c>
      <c r="C16" s="3" t="s">
        <v>218</v>
      </c>
      <c r="D16" s="18" t="s">
        <v>185</v>
      </c>
      <c r="E16" s="55" t="s">
        <v>100</v>
      </c>
      <c r="F16" s="56" t="s">
        <v>101</v>
      </c>
    </row>
    <row r="17" spans="1:6" s="26" customFormat="1" ht="56">
      <c r="A17" s="54" t="s">
        <v>219</v>
      </c>
      <c r="B17" s="19" t="s">
        <v>220</v>
      </c>
      <c r="C17" s="53" t="s">
        <v>221</v>
      </c>
      <c r="D17" s="18" t="s">
        <v>185</v>
      </c>
      <c r="E17" s="55" t="s">
        <v>100</v>
      </c>
      <c r="F17" s="56" t="s">
        <v>101</v>
      </c>
    </row>
    <row r="18" spans="1:6" s="26" customFormat="1" ht="14">
      <c r="A18" s="22" t="s">
        <v>90</v>
      </c>
      <c r="E18" s="45"/>
    </row>
    <row r="19" spans="1:6" s="26" customFormat="1" ht="31.5" customHeight="1">
      <c r="B19" s="286" t="s">
        <v>91</v>
      </c>
      <c r="C19" s="286"/>
      <c r="D19" s="286"/>
      <c r="E19" s="23"/>
      <c r="F19" s="23"/>
    </row>
    <row r="20" spans="1:6" s="26" customFormat="1" ht="14">
      <c r="E20" s="45"/>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1:6" s="26" customFormat="1" ht="14">
      <c r="E49" s="45"/>
    </row>
    <row r="50" spans="1:6" s="26" customFormat="1" ht="14">
      <c r="E50" s="45"/>
    </row>
    <row r="51" spans="1:6" s="26" customFormat="1" ht="14">
      <c r="E51" s="45"/>
    </row>
    <row r="52" spans="1:6" s="26" customFormat="1" ht="14">
      <c r="E52" s="45"/>
    </row>
    <row r="53" spans="1:6" s="26" customFormat="1" ht="14">
      <c r="E53" s="45"/>
    </row>
    <row r="54" spans="1:6" s="26" customFormat="1" ht="14">
      <c r="E54" s="45"/>
    </row>
    <row r="55" spans="1:6" s="26" customFormat="1" ht="14">
      <c r="E55" s="45"/>
    </row>
    <row r="56" spans="1:6" s="26" customFormat="1" ht="14">
      <c r="E56" s="45"/>
    </row>
    <row r="57" spans="1:6" s="26" customFormat="1" ht="14">
      <c r="E57" s="45"/>
    </row>
    <row r="58" spans="1:6" s="26" customFormat="1" ht="14">
      <c r="E58" s="45"/>
    </row>
    <row r="59" spans="1:6" s="26" customFormat="1" ht="14">
      <c r="E59" s="45"/>
    </row>
    <row r="60" spans="1:6" s="26" customFormat="1" ht="14">
      <c r="E60" s="45"/>
    </row>
    <row r="61" spans="1:6" s="26" customFormat="1" ht="14">
      <c r="E61" s="45"/>
    </row>
    <row r="62" spans="1:6" s="26" customFormat="1" ht="14">
      <c r="E62" s="45"/>
    </row>
    <row r="63" spans="1:6" s="26" customFormat="1" ht="14">
      <c r="E63" s="45"/>
    </row>
    <row r="64" spans="1:6">
      <c r="A64" s="26"/>
      <c r="B64" s="26"/>
      <c r="C64" s="26"/>
      <c r="D64" s="26"/>
      <c r="E64" s="45"/>
      <c r="F64" s="26"/>
    </row>
    <row r="65" spans="1:6">
      <c r="A65" s="26"/>
      <c r="B65" s="26"/>
      <c r="C65" s="26"/>
      <c r="D65" s="26"/>
      <c r="E65" s="45"/>
      <c r="F65" s="26"/>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topLeftCell="A101" zoomScale="60" zoomScaleNormal="60" workbookViewId="0">
      <selection activeCell="AB102" sqref="AB102"/>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44.1796875" customWidth="1"/>
    <col min="9" max="9" width="0.26953125" customWidth="1"/>
    <col min="10" max="12" width="0" style="57" hidden="1" customWidth="1"/>
    <col min="13" max="21" width="15.81640625" hidden="1" customWidth="1"/>
    <col min="22" max="22" width="15.1796875" hidden="1" customWidth="1"/>
    <col min="23" max="23" width="17.453125" hidden="1" customWidth="1"/>
    <col min="24" max="24" width="8.984375E-2" customWidth="1"/>
    <col min="25" max="25" width="14.54296875" bestFit="1" customWidth="1"/>
    <col min="26" max="26" width="35.81640625" style="58" customWidth="1"/>
    <col min="27" max="27" width="32.81640625" customWidth="1"/>
    <col min="28" max="28" width="28.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222</v>
      </c>
      <c r="B1" s="59"/>
      <c r="D1" s="59"/>
      <c r="E1" s="61"/>
      <c r="F1" s="59"/>
      <c r="G1" s="61"/>
      <c r="J1" s="59"/>
      <c r="K1" s="59"/>
      <c r="L1" s="59"/>
      <c r="Z1" s="61"/>
    </row>
    <row r="2" spans="1:45" s="60" customFormat="1" ht="14">
      <c r="A2" s="60" t="s">
        <v>223</v>
      </c>
      <c r="B2" s="59"/>
      <c r="D2" s="59"/>
      <c r="E2" s="61"/>
      <c r="F2" s="59"/>
      <c r="G2" s="61"/>
      <c r="J2" s="59"/>
      <c r="K2" s="59"/>
      <c r="L2" s="59"/>
      <c r="Z2" s="61"/>
    </row>
    <row r="3" spans="1:45" s="60" customFormat="1" ht="23.25" customHeight="1">
      <c r="A3" s="62"/>
      <c r="B3" s="63"/>
      <c r="C3" s="64"/>
      <c r="D3" s="65"/>
      <c r="E3" s="66"/>
      <c r="F3" s="287" t="s">
        <v>224</v>
      </c>
      <c r="G3" s="287"/>
      <c r="H3" s="287"/>
      <c r="I3" s="287"/>
      <c r="J3" s="288" t="s">
        <v>225</v>
      </c>
      <c r="K3" s="288"/>
      <c r="L3" s="288"/>
      <c r="M3" s="288"/>
      <c r="N3" s="288"/>
      <c r="O3" s="288"/>
      <c r="P3" s="288"/>
      <c r="Q3" s="288"/>
      <c r="R3" s="288"/>
      <c r="S3" s="288"/>
      <c r="T3" s="288"/>
      <c r="U3" s="288"/>
      <c r="V3" s="288"/>
      <c r="W3" s="288"/>
      <c r="X3" s="288"/>
      <c r="Y3" s="288"/>
      <c r="Z3" s="289" t="s">
        <v>226</v>
      </c>
      <c r="AA3" s="289"/>
      <c r="AB3" s="289"/>
      <c r="AC3" s="290" t="s">
        <v>227</v>
      </c>
      <c r="AD3" s="290"/>
      <c r="AE3" s="290"/>
      <c r="AF3" s="290"/>
      <c r="AG3" s="290"/>
      <c r="AH3" s="290"/>
      <c r="AI3" s="290"/>
      <c r="AJ3" s="290"/>
      <c r="AK3" s="290"/>
      <c r="AL3" s="290"/>
      <c r="AM3" s="290"/>
      <c r="AN3" s="290"/>
      <c r="AO3" s="290"/>
      <c r="AP3" s="290"/>
      <c r="AQ3" s="290"/>
      <c r="AR3" s="61"/>
      <c r="AS3" s="61"/>
    </row>
    <row r="4" spans="1:45" s="60" customFormat="1" ht="88.5" customHeight="1">
      <c r="A4" s="68" t="s">
        <v>228</v>
      </c>
      <c r="B4" s="69" t="s">
        <v>229</v>
      </c>
      <c r="C4" s="70" t="s">
        <v>230</v>
      </c>
      <c r="D4" s="71" t="s">
        <v>231</v>
      </c>
      <c r="E4" s="72" t="s">
        <v>232</v>
      </c>
      <c r="F4" s="73" t="s">
        <v>233</v>
      </c>
      <c r="G4" s="74" t="s">
        <v>40</v>
      </c>
      <c r="H4" s="74" t="s">
        <v>234</v>
      </c>
      <c r="I4" s="75" t="s">
        <v>235</v>
      </c>
      <c r="J4" s="76" t="s">
        <v>236</v>
      </c>
      <c r="K4" s="76" t="s">
        <v>237</v>
      </c>
      <c r="L4" s="76" t="s">
        <v>238</v>
      </c>
      <c r="M4" s="77" t="s">
        <v>239</v>
      </c>
      <c r="N4" s="77" t="s">
        <v>240</v>
      </c>
      <c r="O4" s="77" t="s">
        <v>241</v>
      </c>
      <c r="P4" s="77" t="s">
        <v>242</v>
      </c>
      <c r="Q4" s="77" t="s">
        <v>243</v>
      </c>
      <c r="R4" s="77" t="s">
        <v>244</v>
      </c>
      <c r="S4" s="77" t="s">
        <v>245</v>
      </c>
      <c r="T4" s="77" t="s">
        <v>246</v>
      </c>
      <c r="U4" s="77" t="s">
        <v>247</v>
      </c>
      <c r="V4" s="78" t="s">
        <v>248</v>
      </c>
      <c r="W4" s="78" t="s">
        <v>249</v>
      </c>
      <c r="X4" s="79" t="s">
        <v>250</v>
      </c>
      <c r="Y4" s="80" t="s">
        <v>251</v>
      </c>
      <c r="Z4" s="81" t="s">
        <v>252</v>
      </c>
      <c r="AA4" s="81" t="s">
        <v>253</v>
      </c>
      <c r="AB4" s="81" t="s">
        <v>254</v>
      </c>
      <c r="AC4" s="82" t="s">
        <v>255</v>
      </c>
      <c r="AD4" s="82" t="s">
        <v>256</v>
      </c>
      <c r="AE4" s="82" t="s">
        <v>257</v>
      </c>
      <c r="AF4" s="67" t="s">
        <v>258</v>
      </c>
      <c r="AG4" s="67" t="s">
        <v>259</v>
      </c>
      <c r="AH4" s="67" t="s">
        <v>260</v>
      </c>
      <c r="AI4" s="67" t="s">
        <v>261</v>
      </c>
      <c r="AJ4" s="67" t="s">
        <v>262</v>
      </c>
      <c r="AK4" s="67" t="s">
        <v>263</v>
      </c>
      <c r="AL4" s="67" t="s">
        <v>264</v>
      </c>
      <c r="AM4" s="67" t="s">
        <v>265</v>
      </c>
      <c r="AN4" s="67" t="s">
        <v>266</v>
      </c>
      <c r="AO4" s="67" t="s">
        <v>267</v>
      </c>
      <c r="AP4" s="67" t="s">
        <v>268</v>
      </c>
      <c r="AQ4" s="83" t="s">
        <v>269</v>
      </c>
      <c r="AR4" s="61"/>
      <c r="AS4" s="61"/>
    </row>
    <row r="5" spans="1:45" s="26" customFormat="1" ht="240.75" customHeight="1">
      <c r="A5" s="84">
        <v>1</v>
      </c>
      <c r="B5" s="85" t="s">
        <v>178</v>
      </c>
      <c r="C5" s="86" t="str">
        <f>IF(VLOOKUP(Table4[[#This Row],[T ID]],Table5[#All],5,FALSE())="No","Not in scope",VLOOKUP(Table4[[#This Row],[T ID]],Table5[#All],2,FALSE()))</f>
        <v>Deliver undirected malware
(CAPEC-185)</v>
      </c>
      <c r="D5" s="57" t="s">
        <v>126</v>
      </c>
      <c r="E5" s="86" t="str">
        <f>IF(VLOOKUP(Table4[[#This Row],[V ID]],Vulnerabilities[#All],3,FALSE())="No","Not in scope",VLOOKUP(Table4[[#This Row],[V ID]],Vulnerabilities[#All],2,FALSE()))</f>
        <v>Unprotected external USB Port on the tablet/devices.</v>
      </c>
      <c r="F5" s="87" t="s">
        <v>42</v>
      </c>
      <c r="G5" s="88" t="str">
        <f>VLOOKUP(Table4[[#This Row],[A ID]],Assets[#All],3,FALSE())</f>
        <v>Tablet Resources - web cam, microphone, OTG devices, Removable USB, Tablet Application, Network interfaces (Bluetooth, Wifi)</v>
      </c>
      <c r="H5" s="19" t="s">
        <v>270</v>
      </c>
      <c r="I5" s="19"/>
      <c r="J5" s="89" t="s">
        <v>271</v>
      </c>
      <c r="K5" s="89" t="s">
        <v>271</v>
      </c>
      <c r="L5" s="89" t="s">
        <v>271</v>
      </c>
      <c r="M5" s="90" t="s">
        <v>272</v>
      </c>
      <c r="N5" s="90" t="s">
        <v>271</v>
      </c>
      <c r="O5" s="90" t="s">
        <v>271</v>
      </c>
      <c r="P5" s="90" t="s">
        <v>273</v>
      </c>
      <c r="Q5" s="90" t="s">
        <v>274</v>
      </c>
      <c r="R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1">
        <f>(1 - ((1 - VLOOKUP(Table4[[#This Row],[Confidentiality]],'Reference - CVSSv3.0'!$B$15:$C$17,2,FALSE())) * (1 - VLOOKUP(Table4[[#This Row],[Integrity]],'Reference - CVSSv3.0'!$B$15:$C$17,2,FALSE())) *  (1 - VLOOKUP(Table4[[#This Row],[Availability]],'Reference - CVSSv3.0'!$B$15:$C$17,2,FALSE()))))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271</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275</v>
      </c>
      <c r="AA5" s="19" t="s">
        <v>276</v>
      </c>
      <c r="AB5" s="225" t="s">
        <v>464</v>
      </c>
      <c r="AC5" s="89"/>
      <c r="AD5" s="89"/>
      <c r="AE5" s="89"/>
      <c r="AF5" s="90"/>
      <c r="AG5" s="90"/>
      <c r="AH5" s="90"/>
      <c r="AI5" s="90"/>
      <c r="AJ5" s="90"/>
      <c r="AK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1" t="e">
        <f>(1 - ((1 - VLOOKUP(Table4[[#This Row],[ConfidentialityP]],'Reference - CVSSv3.0'!$B$15:$C$17,2,FALSE())) * (1 - VLOOKUP(Table4[[#This Row],[IntegrityP]],'Reference - CVSSv3.0'!$B$15:$C$17,2,FALSE())) *  (1 - VLOOKUP(Table4[[#This Row],[AvailabilityP]],'Reference - CVSSv3.0'!$B$15:$C$17,2,FALSE()))))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223</v>
      </c>
    </row>
    <row r="6" spans="1:45" s="26" customFormat="1" ht="266">
      <c r="A6" s="84">
        <v>2</v>
      </c>
      <c r="B6" s="85" t="s">
        <v>178</v>
      </c>
      <c r="C6" s="88" t="str">
        <f>IF(VLOOKUP(Table4[[#This Row],[T ID]],Table5[#All],5,FALSE())="No","Not in scope",VLOOKUP(Table4[[#This Row],[T ID]],Table5[#All],2,FALSE()))</f>
        <v>Deliver undirected malware
(CAPEC-185)</v>
      </c>
      <c r="D6" s="57" t="s">
        <v>126</v>
      </c>
      <c r="E6" s="88" t="str">
        <f>IF(VLOOKUP(Table4[[#This Row],[V ID]],Vulnerabilities[#All],3,FALSE())="No","Not in scope",VLOOKUP(Table4[[#This Row],[V ID]],Vulnerabilities[#All],2,FALSE()))</f>
        <v>Unprotected external USB Port on the tablet/devices.</v>
      </c>
      <c r="F6" s="94" t="s">
        <v>50</v>
      </c>
      <c r="G6" s="88" t="str">
        <f>VLOOKUP(Table4[[#This Row],[A ID]],Assets[#All],3,FALSE())</f>
        <v>Smart medic (Stryker device) System Component</v>
      </c>
      <c r="H6" s="19" t="s">
        <v>270</v>
      </c>
      <c r="I6" s="19"/>
      <c r="J6" s="89" t="s">
        <v>271</v>
      </c>
      <c r="K6" s="89" t="s">
        <v>271</v>
      </c>
      <c r="L6" s="89" t="s">
        <v>271</v>
      </c>
      <c r="M6" s="90" t="s">
        <v>272</v>
      </c>
      <c r="N6" s="90" t="s">
        <v>271</v>
      </c>
      <c r="O6" s="90" t="s">
        <v>271</v>
      </c>
      <c r="P6" s="90" t="s">
        <v>273</v>
      </c>
      <c r="Q6" s="90" t="s">
        <v>274</v>
      </c>
      <c r="R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1">
        <f>(1 - ((1 - VLOOKUP(Table4[[#This Row],[Confidentiality]],'Reference - CVSSv3.0'!$B$15:$C$17,2,FALSE())) * (1 - VLOOKUP(Table4[[#This Row],[Integrity]],'Reference - CVSSv3.0'!$B$15:$C$17,2,FALSE())) *  (1 - VLOOKUP(Table4[[#This Row],[Availability]],'Reference - CVSSv3.0'!$B$15:$C$17,2,FALSE()))))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271</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275</v>
      </c>
      <c r="AA6" s="19" t="s">
        <v>443</v>
      </c>
      <c r="AB6" s="225" t="s">
        <v>464</v>
      </c>
      <c r="AC6" s="36"/>
      <c r="AD6" s="36"/>
      <c r="AE6" s="36"/>
      <c r="AF6" s="90"/>
      <c r="AG6" s="90"/>
      <c r="AH6" s="90"/>
      <c r="AI6" s="90"/>
      <c r="AJ6" s="90"/>
      <c r="AK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1" t="e">
        <f>(1 - ((1 - VLOOKUP(Table4[[#This Row],[ConfidentialityP]],'Reference - CVSSv3.0'!$B$15:$C$17,2,FALSE())) * (1 - VLOOKUP(Table4[[#This Row],[IntegrityP]],'Reference - CVSSv3.0'!$B$15:$C$17,2,FALSE())) *  (1 - VLOOKUP(Table4[[#This Row],[AvailabilityP]],'Reference - CVSSv3.0'!$B$15:$C$17,2,FALSE()))))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266">
      <c r="A7" s="84">
        <v>3</v>
      </c>
      <c r="B7" s="85" t="s">
        <v>178</v>
      </c>
      <c r="C7" s="88" t="str">
        <f>IF(VLOOKUP(Table4[[#This Row],[T ID]],Table5[#All],5,FALSE())="No","Not in scope",VLOOKUP(Table4[[#This Row],[T ID]],Table5[#All],2,FALSE()))</f>
        <v>Deliver undirected malware
(CAPEC-185)</v>
      </c>
      <c r="D7" s="57" t="s">
        <v>102</v>
      </c>
      <c r="E7" s="88" t="str">
        <f>IF(VLOOKUP(Table4[[#This Row],[V ID]],Vulnerabilities[#All],3,FALSE())="No","Not in scope",VLOOKUP(Table4[[#This Row],[V ID]],Vulnerabilities[#All],2,FALSE()))</f>
        <v>External communications and exposure for communciation channels from and to application and devices like tablet and smartmedic device.</v>
      </c>
      <c r="F7" s="94" t="s">
        <v>50</v>
      </c>
      <c r="G7" s="88" t="str">
        <f>VLOOKUP(Table4[[#This Row],[A ID]],Assets[#All],3,FALSE())</f>
        <v>Smart medic (Stryker device) System Component</v>
      </c>
      <c r="H7" s="19" t="s">
        <v>270</v>
      </c>
      <c r="I7" s="19"/>
      <c r="J7" s="89" t="s">
        <v>271</v>
      </c>
      <c r="K7" s="89" t="s">
        <v>271</v>
      </c>
      <c r="L7" s="89" t="s">
        <v>271</v>
      </c>
      <c r="M7" s="90" t="s">
        <v>277</v>
      </c>
      <c r="N7" s="90" t="s">
        <v>271</v>
      </c>
      <c r="O7" s="90" t="s">
        <v>271</v>
      </c>
      <c r="P7" s="90" t="s">
        <v>273</v>
      </c>
      <c r="Q7" s="90" t="s">
        <v>274</v>
      </c>
      <c r="R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1">
        <f>(1 - ((1 - VLOOKUP(Table4[[#This Row],[Confidentiality]],'Reference - CVSSv3.0'!$B$15:$C$17,2,FALSE())) * (1 - VLOOKUP(Table4[[#This Row],[Integrity]],'Reference - CVSSv3.0'!$B$15:$C$17,2,FALSE())) *  (1 - VLOOKUP(Table4[[#This Row],[Availability]],'Reference - CVSSv3.0'!$B$15:$C$17,2,FALSE()))))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271</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275</v>
      </c>
      <c r="AA7" s="19" t="s">
        <v>443</v>
      </c>
      <c r="AB7" s="225" t="s">
        <v>464</v>
      </c>
      <c r="AC7" s="36"/>
      <c r="AD7" s="36"/>
      <c r="AE7" s="36"/>
      <c r="AF7" s="90"/>
      <c r="AG7" s="90"/>
      <c r="AH7" s="90"/>
      <c r="AI7" s="90"/>
      <c r="AJ7" s="90"/>
      <c r="AK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1" t="e">
        <f>(1 - ((1 - VLOOKUP(Table4[[#This Row],[ConfidentialityP]],'Reference - CVSSv3.0'!$B$15:$C$17,2,FALSE())) * (1 - VLOOKUP(Table4[[#This Row],[IntegrityP]],'Reference - CVSSv3.0'!$B$15:$C$17,2,FALSE())) *  (1 - VLOOKUP(Table4[[#This Row],[AvailabilityP]],'Reference - CVSSv3.0'!$B$15:$C$17,2,FALSE()))))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66">
      <c r="A8" s="84">
        <v>4</v>
      </c>
      <c r="B8" s="85" t="s">
        <v>178</v>
      </c>
      <c r="C8" s="88" t="str">
        <f>IF(VLOOKUP(Table4[[#This Row],[T ID]],Table5[#All],5,FALSE())="No","Not in scope",VLOOKUP(Table4[[#This Row],[T ID]],Table5[#All],2,FALSE()))</f>
        <v>Deliver undirected malware
(CAPEC-185)</v>
      </c>
      <c r="D8" s="57" t="s">
        <v>102</v>
      </c>
      <c r="E8" s="88" t="str">
        <f>IF(VLOOKUP(Table4[[#This Row],[V ID]],Vulnerabilities[#All],3,FALSE())="No","Not in scope",VLOOKUP(Table4[[#This Row],[V ID]],Vulnerabilities[#All],2,FALSE()))</f>
        <v>External communications and exposure for communciation channels from and to application and devices like tablet and smartmedic device.</v>
      </c>
      <c r="F8" s="87" t="s">
        <v>42</v>
      </c>
      <c r="G8" s="88" t="str">
        <f>VLOOKUP(Table4[[#This Row],[A ID]],Assets[#All],3,FALSE())</f>
        <v>Tablet Resources - web cam, microphone, OTG devices, Removable USB, Tablet Application, Network interfaces (Bluetooth, Wifi)</v>
      </c>
      <c r="H8" s="19" t="s">
        <v>270</v>
      </c>
      <c r="I8" s="19"/>
      <c r="J8" s="89" t="s">
        <v>271</v>
      </c>
      <c r="K8" s="89" t="s">
        <v>271</v>
      </c>
      <c r="L8" s="89" t="s">
        <v>271</v>
      </c>
      <c r="M8" s="90" t="s">
        <v>277</v>
      </c>
      <c r="N8" s="90" t="s">
        <v>271</v>
      </c>
      <c r="O8" s="90" t="s">
        <v>271</v>
      </c>
      <c r="P8" s="90" t="s">
        <v>273</v>
      </c>
      <c r="Q8" s="90" t="s">
        <v>274</v>
      </c>
      <c r="R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1">
        <f>(1 - ((1 - VLOOKUP(Table4[[#This Row],[Confidentiality]],'Reference - CVSSv3.0'!$B$15:$C$17,2,FALSE())) * (1 - VLOOKUP(Table4[[#This Row],[Integrity]],'Reference - CVSSv3.0'!$B$15:$C$17,2,FALSE())) *  (1 - VLOOKUP(Table4[[#This Row],[Availability]],'Reference - CVSSv3.0'!$B$15:$C$17,2,FALSE()))))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271</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275</v>
      </c>
      <c r="AA8" s="19" t="s">
        <v>276</v>
      </c>
      <c r="AB8" s="225" t="s">
        <v>464</v>
      </c>
      <c r="AC8" s="36"/>
      <c r="AD8" s="36"/>
      <c r="AE8" s="36"/>
      <c r="AF8" s="90"/>
      <c r="AG8" s="90"/>
      <c r="AH8" s="90"/>
      <c r="AI8" s="90"/>
      <c r="AJ8" s="90"/>
      <c r="AK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1" t="e">
        <f>(1 - ((1 - VLOOKUP(Table4[[#This Row],[ConfidentialityP]],'Reference - CVSSv3.0'!$B$15:$C$17,2,FALSE())) * (1 - VLOOKUP(Table4[[#This Row],[IntegrityP]],'Reference - CVSSv3.0'!$B$15:$C$17,2,FALSE())) *  (1 - VLOOKUP(Table4[[#This Row],[AvailabilityP]],'Reference - CVSSv3.0'!$B$15:$C$17,2,FALSE()))))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266">
      <c r="A9" s="84">
        <v>5</v>
      </c>
      <c r="B9" s="85" t="s">
        <v>178</v>
      </c>
      <c r="C9" s="88" t="str">
        <f>IF(VLOOKUP(Table4[[#This Row],[T ID]],Table5[#All],5,FALSE())="No","Not in scope",VLOOKUP(Table4[[#This Row],[T ID]],Table5[#All],2,FALSE()))</f>
        <v>Deliver undirected malware
(CAPEC-185)</v>
      </c>
      <c r="D9" s="57" t="s">
        <v>146</v>
      </c>
      <c r="E9" s="88" t="str">
        <f>IF(VLOOKUP(Table4[[#This Row],[V ID]],Vulnerabilities[#All],3,FALSE())="No","Not in scope",VLOOKUP(Table4[[#This Row],[V ID]],Vulnerabilities[#All],2,FALSE()))</f>
        <v>Legacy system identification if any</v>
      </c>
      <c r="F9" s="94" t="s">
        <v>50</v>
      </c>
      <c r="G9" s="88" t="str">
        <f>VLOOKUP(Table4[[#This Row],[A ID]],Assets[#All],3,FALSE())</f>
        <v>Smart medic (Stryker device) System Component</v>
      </c>
      <c r="H9" s="19" t="s">
        <v>270</v>
      </c>
      <c r="I9" s="19"/>
      <c r="J9" s="89" t="s">
        <v>271</v>
      </c>
      <c r="K9" s="89" t="s">
        <v>271</v>
      </c>
      <c r="L9" s="89" t="s">
        <v>271</v>
      </c>
      <c r="M9" s="90" t="s">
        <v>272</v>
      </c>
      <c r="N9" s="90" t="s">
        <v>271</v>
      </c>
      <c r="O9" s="90" t="s">
        <v>271</v>
      </c>
      <c r="P9" s="90" t="s">
        <v>278</v>
      </c>
      <c r="Q9" s="90" t="s">
        <v>274</v>
      </c>
      <c r="R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1">
        <f>(1 - ((1 - VLOOKUP(Table4[[#This Row],[Confidentiality]],'Reference - CVSSv3.0'!$B$15:$C$17,2,FALSE())) * (1 - VLOOKUP(Table4[[#This Row],[Integrity]],'Reference - CVSSv3.0'!$B$15:$C$17,2,FALSE())) *  (1 - VLOOKUP(Table4[[#This Row],[Availability]],'Reference - CVSSv3.0'!$B$15:$C$17,2,FALSE()))))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271</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275</v>
      </c>
      <c r="AA9" s="19" t="s">
        <v>443</v>
      </c>
      <c r="AB9" s="225" t="s">
        <v>464</v>
      </c>
      <c r="AC9" s="36"/>
      <c r="AD9" s="36"/>
      <c r="AE9" s="36"/>
      <c r="AF9" s="90"/>
      <c r="AG9" s="90"/>
      <c r="AH9" s="90"/>
      <c r="AI9" s="90"/>
      <c r="AJ9" s="90"/>
      <c r="AK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1" t="e">
        <f>(1 - ((1 - VLOOKUP(Table4[[#This Row],[ConfidentialityP]],'Reference - CVSSv3.0'!$B$15:$C$17,2,FALSE())) * (1 - VLOOKUP(Table4[[#This Row],[IntegrityP]],'Reference - CVSSv3.0'!$B$15:$C$17,2,FALSE())) *  (1 - VLOOKUP(Table4[[#This Row],[AvailabilityP]],'Reference - CVSSv3.0'!$B$15:$C$17,2,FALSE()))))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66">
      <c r="A10" s="84">
        <v>6</v>
      </c>
      <c r="B10" s="85" t="s">
        <v>178</v>
      </c>
      <c r="C10" s="88" t="str">
        <f>IF(VLOOKUP(Table4[[#This Row],[T ID]],Table5[#All],5,FALSE())="No","Not in scope",VLOOKUP(Table4[[#This Row],[T ID]],Table5[#All],2,FALSE()))</f>
        <v>Deliver undirected malware
(CAPEC-185)</v>
      </c>
      <c r="D10" s="57" t="s">
        <v>146</v>
      </c>
      <c r="E10" s="88" t="str">
        <f>IF(VLOOKUP(Table4[[#This Row],[V ID]],Vulnerabilities[#All],3,FALSE())="No","Not in scope",VLOOKUP(Table4[[#This Row],[V ID]],Vulnerabilities[#All],2,FALSE()))</f>
        <v>Legacy system identification if any</v>
      </c>
      <c r="F10" s="87" t="s">
        <v>42</v>
      </c>
      <c r="G10" s="88" t="str">
        <f>VLOOKUP(Table4[[#This Row],[A ID]],Assets[#All],3,FALSE())</f>
        <v>Tablet Resources - web cam, microphone, OTG devices, Removable USB, Tablet Application, Network interfaces (Bluetooth, Wifi)</v>
      </c>
      <c r="H10" s="19" t="s">
        <v>270</v>
      </c>
      <c r="I10" s="19"/>
      <c r="J10" s="89" t="s">
        <v>271</v>
      </c>
      <c r="K10" s="89" t="s">
        <v>271</v>
      </c>
      <c r="L10" s="89" t="s">
        <v>271</v>
      </c>
      <c r="M10" s="90" t="s">
        <v>272</v>
      </c>
      <c r="N10" s="90" t="s">
        <v>271</v>
      </c>
      <c r="O10" s="90" t="s">
        <v>271</v>
      </c>
      <c r="P10" s="90" t="s">
        <v>278</v>
      </c>
      <c r="Q10" s="90" t="s">
        <v>274</v>
      </c>
      <c r="R1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1">
        <f>(1 - ((1 - VLOOKUP(Table4[[#This Row],[Confidentiality]],'Reference - CVSSv3.0'!$B$15:$C$17,2,FALSE())) * (1 - VLOOKUP(Table4[[#This Row],[Integrity]],'Reference - CVSSv3.0'!$B$15:$C$17,2,FALSE())) *  (1 - VLOOKUP(Table4[[#This Row],[Availability]],'Reference - CVSSv3.0'!$B$15:$C$17,2,FALSE()))))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271</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275</v>
      </c>
      <c r="AA10" s="19" t="s">
        <v>276</v>
      </c>
      <c r="AB10" s="225" t="s">
        <v>464</v>
      </c>
      <c r="AC10" s="36"/>
      <c r="AD10" s="36"/>
      <c r="AE10" s="36"/>
      <c r="AF10" s="90"/>
      <c r="AG10" s="90"/>
      <c r="AH10" s="90"/>
      <c r="AI10" s="90"/>
      <c r="AJ10" s="90"/>
      <c r="AK1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1" t="e">
        <f>(1 - ((1 - VLOOKUP(Table4[[#This Row],[ConfidentialityP]],'Reference - CVSSv3.0'!$B$15:$C$17,2,FALSE())) * (1 - VLOOKUP(Table4[[#This Row],[IntegrityP]],'Reference - CVSSv3.0'!$B$15:$C$17,2,FALSE())) *  (1 - VLOOKUP(Table4[[#This Row],[AvailabilityP]],'Reference - CVSSv3.0'!$B$15:$C$17,2,FALSE()))))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c r="A11" s="84">
        <v>7</v>
      </c>
      <c r="B11" s="85" t="s">
        <v>178</v>
      </c>
      <c r="C11" s="88" t="str">
        <f>IF(VLOOKUP(Table4[[#This Row],[T ID]],Table5[#All],5,FALSE())="No","Not in scope",VLOOKUP(Table4[[#This Row],[T ID]],Table5[#All],2,FALSE()))</f>
        <v>Deliver undirected malware
(CAPEC-185)</v>
      </c>
      <c r="D11" s="57" t="s">
        <v>115</v>
      </c>
      <c r="E11" s="88" t="str">
        <f>IF(VLOOKUP(Table4[[#This Row],[V ID]],Vulnerabilities[#All],3,FALSE())="No","Not in scope",VLOOKUP(Table4[[#This Row],[V ID]],Vulnerabilities[#All],2,FALSE()))</f>
        <v>Ineffective patch management of firware, OS and applications thoughout the information system plan</v>
      </c>
      <c r="F11" s="94" t="s">
        <v>57</v>
      </c>
      <c r="G11" s="88" t="str">
        <f>VLOOKUP(Table4[[#This Row],[A ID]],Assets[#All],3,FALSE())</f>
        <v>Device Maintainence tool (Hardware/Software)</v>
      </c>
      <c r="H11" s="19" t="s">
        <v>270</v>
      </c>
      <c r="I11" s="19"/>
      <c r="J11" s="89" t="s">
        <v>271</v>
      </c>
      <c r="K11" s="89" t="s">
        <v>271</v>
      </c>
      <c r="L11" s="89" t="s">
        <v>271</v>
      </c>
      <c r="M11" s="90" t="s">
        <v>279</v>
      </c>
      <c r="N11" s="90" t="s">
        <v>271</v>
      </c>
      <c r="O11" s="90" t="s">
        <v>271</v>
      </c>
      <c r="P11" s="90" t="s">
        <v>278</v>
      </c>
      <c r="Q11" s="90" t="s">
        <v>274</v>
      </c>
      <c r="R1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1">
        <f>(1 - ((1 - VLOOKUP(Table4[[#This Row],[Confidentiality]],'Reference - CVSSv3.0'!$B$15:$C$17,2,FALSE())) * (1 - VLOOKUP(Table4[[#This Row],[Integrity]],'Reference - CVSSv3.0'!$B$15:$C$17,2,FALSE())) *  (1 - VLOOKUP(Table4[[#This Row],[Availability]],'Reference - CVSSv3.0'!$B$15:$C$17,2,FALSE()))))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271</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275</v>
      </c>
      <c r="AA11" s="229" t="s">
        <v>446</v>
      </c>
      <c r="AB11" s="225" t="s">
        <v>465</v>
      </c>
      <c r="AC11" s="36"/>
      <c r="AD11" s="36"/>
      <c r="AE11" s="36"/>
      <c r="AF11" s="90"/>
      <c r="AG11" s="90"/>
      <c r="AH11" s="90"/>
      <c r="AI11" s="90"/>
      <c r="AJ11" s="90"/>
      <c r="AK1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1" t="e">
        <f>(1 - ((1 - VLOOKUP(Table4[[#This Row],[ConfidentialityP]],'Reference - CVSSv3.0'!$B$15:$C$17,2,FALSE())) * (1 - VLOOKUP(Table4[[#This Row],[IntegrityP]],'Reference - CVSSv3.0'!$B$15:$C$17,2,FALSE())) *  (1 - VLOOKUP(Table4[[#This Row],[AvailabilityP]],'Reference - CVSSv3.0'!$B$15:$C$17,2,FALSE()))))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178</v>
      </c>
      <c r="C12" s="88" t="str">
        <f>IF(VLOOKUP(Table4[[#This Row],[T ID]],Table5[#All],5,FALSE())="No","Not in scope",VLOOKUP(Table4[[#This Row],[T ID]],Table5[#All],2,FALSE()))</f>
        <v>Deliver undirected malware
(CAPEC-185)</v>
      </c>
      <c r="D12" s="57" t="s">
        <v>115</v>
      </c>
      <c r="E12" s="88" t="str">
        <f>IF(VLOOKUP(Table4[[#This Row],[V ID]],Vulnerabilities[#All],3,FALSE())="No","Not in scope",VLOOKUP(Table4[[#This Row],[V ID]],Vulnerabilities[#All],2,FALSE()))</f>
        <v>Ineffective patch management of firware, OS and applications thoughout the information system plan</v>
      </c>
      <c r="F12" s="87" t="s">
        <v>42</v>
      </c>
      <c r="G12" s="88" t="str">
        <f>VLOOKUP(Table4[[#This Row],[A ID]],Assets[#All],3,FALSE())</f>
        <v>Tablet Resources - web cam, microphone, OTG devices, Removable USB, Tablet Application, Network interfaces (Bluetooth, Wifi)</v>
      </c>
      <c r="H12" s="19" t="s">
        <v>270</v>
      </c>
      <c r="I12" s="19"/>
      <c r="J12" s="89" t="s">
        <v>271</v>
      </c>
      <c r="K12" s="89" t="s">
        <v>271</v>
      </c>
      <c r="L12" s="89" t="s">
        <v>271</v>
      </c>
      <c r="M12" s="90" t="s">
        <v>279</v>
      </c>
      <c r="N12" s="90" t="s">
        <v>271</v>
      </c>
      <c r="O12" s="90" t="s">
        <v>271</v>
      </c>
      <c r="P12" s="90" t="s">
        <v>278</v>
      </c>
      <c r="Q12" s="90" t="s">
        <v>274</v>
      </c>
      <c r="R1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1">
        <f>(1 - ((1 - VLOOKUP(Table4[[#This Row],[Confidentiality]],'Reference - CVSSv3.0'!$B$15:$C$17,2,FALSE())) * (1 - VLOOKUP(Table4[[#This Row],[Integrity]],'Reference - CVSSv3.0'!$B$15:$C$17,2,FALSE())) *  (1 - VLOOKUP(Table4[[#This Row],[Availability]],'Reference - CVSSv3.0'!$B$15:$C$17,2,FALSE()))))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271</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275</v>
      </c>
      <c r="AA12" s="19" t="s">
        <v>276</v>
      </c>
      <c r="AB12" s="225" t="s">
        <v>464</v>
      </c>
      <c r="AC12" s="36"/>
      <c r="AD12" s="36"/>
      <c r="AE12" s="36"/>
      <c r="AF12" s="90"/>
      <c r="AG12" s="90"/>
      <c r="AH12" s="90"/>
      <c r="AI12" s="90"/>
      <c r="AJ12" s="90"/>
      <c r="AK1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1" t="e">
        <f>(1 - ((1 - VLOOKUP(Table4[[#This Row],[ConfidentialityP]],'Reference - CVSSv3.0'!$B$15:$C$17,2,FALSE())) * (1 - VLOOKUP(Table4[[#This Row],[IntegrityP]],'Reference - CVSSv3.0'!$B$15:$C$17,2,FALSE())) *  (1 - VLOOKUP(Table4[[#This Row],[AvailabilityP]],'Reference - CVSSv3.0'!$B$15:$C$17,2,FALSE()))))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266">
      <c r="A13" s="84">
        <v>9</v>
      </c>
      <c r="B13" s="85" t="s">
        <v>178</v>
      </c>
      <c r="C13" s="88" t="str">
        <f>IF(VLOOKUP(Table4[[#This Row],[T ID]],Table5[#All],5,FALSE())="No","Not in scope",VLOOKUP(Table4[[#This Row],[T ID]],Table5[#All],2,FALSE()))</f>
        <v>Deliver undirected malware
(CAPEC-185)</v>
      </c>
      <c r="D13" s="57" t="s">
        <v>115</v>
      </c>
      <c r="E13" s="88" t="str">
        <f>IF(VLOOKUP(Table4[[#This Row],[V ID]],Vulnerabilities[#All],3,FALSE())="No","Not in scope",VLOOKUP(Table4[[#This Row],[V ID]],Vulnerabilities[#All],2,FALSE()))</f>
        <v>Ineffective patch management of firware, OS and applications thoughout the information system plan</v>
      </c>
      <c r="F13" s="94" t="s">
        <v>50</v>
      </c>
      <c r="G13" s="88" t="str">
        <f>VLOOKUP(Table4[[#This Row],[A ID]],Assets[#All],3,FALSE())</f>
        <v>Smart medic (Stryker device) System Component</v>
      </c>
      <c r="H13" s="19" t="s">
        <v>270</v>
      </c>
      <c r="I13" s="19"/>
      <c r="J13" s="89" t="s">
        <v>271</v>
      </c>
      <c r="K13" s="89" t="s">
        <v>271</v>
      </c>
      <c r="L13" s="89" t="s">
        <v>271</v>
      </c>
      <c r="M13" s="90" t="s">
        <v>279</v>
      </c>
      <c r="N13" s="90" t="s">
        <v>271</v>
      </c>
      <c r="O13" s="90" t="s">
        <v>271</v>
      </c>
      <c r="P13" s="90" t="s">
        <v>278</v>
      </c>
      <c r="Q13" s="90" t="s">
        <v>274</v>
      </c>
      <c r="R1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1">
        <f>(1 - ((1 - VLOOKUP(Table4[[#This Row],[Confidentiality]],'Reference - CVSSv3.0'!$B$15:$C$17,2,FALSE())) * (1 - VLOOKUP(Table4[[#This Row],[Integrity]],'Reference - CVSSv3.0'!$B$15:$C$17,2,FALSE())) *  (1 - VLOOKUP(Table4[[#This Row],[Availability]],'Reference - CVSSv3.0'!$B$15:$C$17,2,FALSE()))))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271</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275</v>
      </c>
      <c r="AA13" s="19" t="s">
        <v>443</v>
      </c>
      <c r="AB13" s="225" t="s">
        <v>464</v>
      </c>
      <c r="AC13" s="36"/>
      <c r="AD13" s="36"/>
      <c r="AE13" s="36"/>
      <c r="AF13" s="90"/>
      <c r="AG13" s="90"/>
      <c r="AH13" s="90"/>
      <c r="AI13" s="90"/>
      <c r="AJ13" s="90"/>
      <c r="AK1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1" t="e">
        <f>(1 - ((1 - VLOOKUP(Table4[[#This Row],[ConfidentialityP]],'Reference - CVSSv3.0'!$B$15:$C$17,2,FALSE())) * (1 - VLOOKUP(Table4[[#This Row],[IntegrityP]],'Reference - CVSSv3.0'!$B$15:$C$17,2,FALSE())) *  (1 - VLOOKUP(Table4[[#This Row],[AvailabilityP]],'Reference - CVSSv3.0'!$B$15:$C$17,2,FALSE()))))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c r="A14" s="84">
        <v>10</v>
      </c>
      <c r="B14" s="85" t="s">
        <v>178</v>
      </c>
      <c r="C14" s="88" t="str">
        <f>IF(VLOOKUP(Table4[[#This Row],[T ID]],Table5[#All],5,FALSE())="No","Not in scope",VLOOKUP(Table4[[#This Row],[T ID]],Table5[#All],2,FALSE()))</f>
        <v>Deliver undirected malware
(CAPEC-185)</v>
      </c>
      <c r="D14" s="57" t="s">
        <v>117</v>
      </c>
      <c r="E14" s="88" t="str">
        <f>IF(VLOOKUP(Table4[[#This Row],[V ID]],Vulnerabilities[#All],3,FALSE())="No","Not in scope",VLOOKUP(Table4[[#This Row],[V ID]],Vulnerabilities[#All],2,FALSE()))</f>
        <v xml:space="preserve">Lack of plan for periodic Software Vulnerability Management </v>
      </c>
      <c r="F14" s="94" t="s">
        <v>57</v>
      </c>
      <c r="G14" s="88" t="str">
        <f>VLOOKUP(Table4[[#This Row],[A ID]],Assets[#All],3,FALSE())</f>
        <v>Device Maintainence tool (Hardware/Software)</v>
      </c>
      <c r="H14" s="19" t="s">
        <v>270</v>
      </c>
      <c r="I14" s="19"/>
      <c r="J14" s="89" t="s">
        <v>271</v>
      </c>
      <c r="K14" s="89" t="s">
        <v>271</v>
      </c>
      <c r="L14" s="89" t="s">
        <v>271</v>
      </c>
      <c r="M14" s="90" t="s">
        <v>279</v>
      </c>
      <c r="N14" s="90" t="s">
        <v>271</v>
      </c>
      <c r="O14" s="90" t="s">
        <v>271</v>
      </c>
      <c r="P14" s="90" t="s">
        <v>278</v>
      </c>
      <c r="Q14" s="90" t="s">
        <v>274</v>
      </c>
      <c r="R1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1">
        <f>(1 - ((1 - VLOOKUP(Table4[[#This Row],[Confidentiality]],'Reference - CVSSv3.0'!$B$15:$C$17,2,FALSE())) * (1 - VLOOKUP(Table4[[#This Row],[Integrity]],'Reference - CVSSv3.0'!$B$15:$C$17,2,FALSE())) *  (1 - VLOOKUP(Table4[[#This Row],[Availability]],'Reference - CVSSv3.0'!$B$15:$C$17,2,FALSE()))))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271</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275</v>
      </c>
      <c r="AA14" s="229" t="s">
        <v>446</v>
      </c>
      <c r="AB14" s="225" t="s">
        <v>465</v>
      </c>
      <c r="AC14" s="36"/>
      <c r="AD14" s="36"/>
      <c r="AE14" s="36"/>
      <c r="AF14" s="90"/>
      <c r="AG14" s="90"/>
      <c r="AH14" s="90"/>
      <c r="AI14" s="90"/>
      <c r="AJ14" s="90"/>
      <c r="AK1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1" t="e">
        <f>(1 - ((1 - VLOOKUP(Table4[[#This Row],[ConfidentialityP]],'Reference - CVSSv3.0'!$B$15:$C$17,2,FALSE())) * (1 - VLOOKUP(Table4[[#This Row],[IntegrityP]],'Reference - CVSSv3.0'!$B$15:$C$17,2,FALSE())) *  (1 - VLOOKUP(Table4[[#This Row],[AvailabilityP]],'Reference - CVSSv3.0'!$B$15:$C$17,2,FALSE()))))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66">
      <c r="A15" s="84">
        <v>11</v>
      </c>
      <c r="B15" s="85" t="s">
        <v>178</v>
      </c>
      <c r="C15" s="88" t="str">
        <f>IF(VLOOKUP(Table4[[#This Row],[T ID]],Table5[#All],5,FALSE())="No","Not in scope",VLOOKUP(Table4[[#This Row],[T ID]],Table5[#All],2,FALSE()))</f>
        <v>Deliver undirected malware
(CAPEC-185)</v>
      </c>
      <c r="D15" s="57" t="s">
        <v>117</v>
      </c>
      <c r="E15" s="88" t="str">
        <f>IF(VLOOKUP(Table4[[#This Row],[V ID]],Vulnerabilities[#All],3,FALSE())="No","Not in scope",VLOOKUP(Table4[[#This Row],[V ID]],Vulnerabilities[#All],2,FALSE()))</f>
        <v xml:space="preserve">Lack of plan for periodic Software Vulnerability Management </v>
      </c>
      <c r="F15" s="87" t="s">
        <v>42</v>
      </c>
      <c r="G15" s="88" t="str">
        <f>VLOOKUP(Table4[[#This Row],[A ID]],Assets[#All],3,FALSE())</f>
        <v>Tablet Resources - web cam, microphone, OTG devices, Removable USB, Tablet Application, Network interfaces (Bluetooth, Wifi)</v>
      </c>
      <c r="H15" s="19" t="s">
        <v>270</v>
      </c>
      <c r="I15" s="19"/>
      <c r="J15" s="89" t="s">
        <v>271</v>
      </c>
      <c r="K15" s="89" t="s">
        <v>271</v>
      </c>
      <c r="L15" s="89" t="s">
        <v>271</v>
      </c>
      <c r="M15" s="90" t="s">
        <v>279</v>
      </c>
      <c r="N15" s="90" t="s">
        <v>271</v>
      </c>
      <c r="O15" s="90" t="s">
        <v>271</v>
      </c>
      <c r="P15" s="90" t="s">
        <v>278</v>
      </c>
      <c r="Q15" s="90" t="s">
        <v>274</v>
      </c>
      <c r="R1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1">
        <f>(1 - ((1 - VLOOKUP(Table4[[#This Row],[Confidentiality]],'Reference - CVSSv3.0'!$B$15:$C$17,2,FALSE())) * (1 - VLOOKUP(Table4[[#This Row],[Integrity]],'Reference - CVSSv3.0'!$B$15:$C$17,2,FALSE())) *  (1 - VLOOKUP(Table4[[#This Row],[Availability]],'Reference - CVSSv3.0'!$B$15:$C$17,2,FALSE()))))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271</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275</v>
      </c>
      <c r="AA15" s="19" t="s">
        <v>276</v>
      </c>
      <c r="AB15" s="225" t="s">
        <v>464</v>
      </c>
      <c r="AC15" s="36"/>
      <c r="AD15" s="36"/>
      <c r="AE15" s="36"/>
      <c r="AF15" s="90"/>
      <c r="AG15" s="90"/>
      <c r="AH15" s="90"/>
      <c r="AI15" s="90"/>
      <c r="AJ15" s="90"/>
      <c r="AK1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1" t="e">
        <f>(1 - ((1 - VLOOKUP(Table4[[#This Row],[ConfidentialityP]],'Reference - CVSSv3.0'!$B$15:$C$17,2,FALSE())) * (1 - VLOOKUP(Table4[[#This Row],[IntegrityP]],'Reference - CVSSv3.0'!$B$15:$C$17,2,FALSE())) *  (1 - VLOOKUP(Table4[[#This Row],[AvailabilityP]],'Reference - CVSSv3.0'!$B$15:$C$17,2,FALSE()))))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266">
      <c r="A16" s="84">
        <v>12</v>
      </c>
      <c r="B16" s="85" t="s">
        <v>178</v>
      </c>
      <c r="C16" s="88" t="str">
        <f>IF(VLOOKUP(Table4[[#This Row],[T ID]],Table5[#All],5,FALSE())="No","Not in scope",VLOOKUP(Table4[[#This Row],[T ID]],Table5[#All],2,FALSE()))</f>
        <v>Deliver undirected malware
(CAPEC-185)</v>
      </c>
      <c r="D16" s="57" t="s">
        <v>117</v>
      </c>
      <c r="E16" s="88" t="str">
        <f>IF(VLOOKUP(Table4[[#This Row],[V ID]],Vulnerabilities[#All],3,FALSE())="No","Not in scope",VLOOKUP(Table4[[#This Row],[V ID]],Vulnerabilities[#All],2,FALSE()))</f>
        <v xml:space="preserve">Lack of plan for periodic Software Vulnerability Management </v>
      </c>
      <c r="F16" s="94" t="s">
        <v>50</v>
      </c>
      <c r="G16" s="88" t="str">
        <f>VLOOKUP(Table4[[#This Row],[A ID]],Assets[#All],3,FALSE())</f>
        <v>Smart medic (Stryker device) System Component</v>
      </c>
      <c r="H16" s="19" t="s">
        <v>270</v>
      </c>
      <c r="I16" s="19"/>
      <c r="J16" s="89" t="s">
        <v>271</v>
      </c>
      <c r="K16" s="89" t="s">
        <v>271</v>
      </c>
      <c r="L16" s="89" t="s">
        <v>271</v>
      </c>
      <c r="M16" s="90" t="s">
        <v>279</v>
      </c>
      <c r="N16" s="90" t="s">
        <v>271</v>
      </c>
      <c r="O16" s="90" t="s">
        <v>271</v>
      </c>
      <c r="P16" s="90" t="s">
        <v>278</v>
      </c>
      <c r="Q16" s="90" t="s">
        <v>274</v>
      </c>
      <c r="R1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1">
        <f>(1 - ((1 - VLOOKUP(Table4[[#This Row],[Confidentiality]],'Reference - CVSSv3.0'!$B$15:$C$17,2,FALSE())) * (1 - VLOOKUP(Table4[[#This Row],[Integrity]],'Reference - CVSSv3.0'!$B$15:$C$17,2,FALSE())) *  (1 - VLOOKUP(Table4[[#This Row],[Availability]],'Reference - CVSSv3.0'!$B$15:$C$17,2,FALSE()))))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271</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275</v>
      </c>
      <c r="AA16" s="19" t="s">
        <v>443</v>
      </c>
      <c r="AB16" s="225" t="s">
        <v>464</v>
      </c>
      <c r="AC16" s="36"/>
      <c r="AD16" s="36"/>
      <c r="AE16" s="36"/>
      <c r="AF16" s="90"/>
      <c r="AG16" s="90"/>
      <c r="AH16" s="90"/>
      <c r="AI16" s="90"/>
      <c r="AJ16" s="90"/>
      <c r="AK1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1" t="e">
        <f>(1 - ((1 - VLOOKUP(Table4[[#This Row],[ConfidentialityP]],'Reference - CVSSv3.0'!$B$15:$C$17,2,FALSE())) * (1 - VLOOKUP(Table4[[#This Row],[IntegrityP]],'Reference - CVSSv3.0'!$B$15:$C$17,2,FALSE())) *  (1 - VLOOKUP(Table4[[#This Row],[AvailabilityP]],'Reference - CVSSv3.0'!$B$15:$C$17,2,FALSE()))))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66">
      <c r="A17" s="84">
        <v>13</v>
      </c>
      <c r="B17" s="85" t="s">
        <v>178</v>
      </c>
      <c r="C17" s="88" t="str">
        <f>IF(VLOOKUP(Table4[[#This Row],[T ID]],Table5[#All],5,FALSE())="No","Not in scope",VLOOKUP(Table4[[#This Row],[T ID]],Table5[#All],2,FALSE()))</f>
        <v>Deliver undirected malware
(CAPEC-185)</v>
      </c>
      <c r="D17" s="57" t="s">
        <v>124</v>
      </c>
      <c r="E17" s="88" t="str">
        <f>IF(VLOOKUP(Table4[[#This Row],[V ID]],Vulnerabilities[#All],3,FALSE())="No","Not in scope",VLOOKUP(Table4[[#This Row],[V ID]],Vulnerabilities[#All],2,FALSE()))</f>
        <v>Unprotected network port(s) on network devices and connection points</v>
      </c>
      <c r="F17" s="94" t="s">
        <v>42</v>
      </c>
      <c r="G17" s="88" t="str">
        <f>VLOOKUP(Table4[[#This Row],[A ID]],Assets[#All],3,FALSE())</f>
        <v>Tablet Resources - web cam, microphone, OTG devices, Removable USB, Tablet Application, Network interfaces (Bluetooth, Wifi)</v>
      </c>
      <c r="H17" s="19" t="s">
        <v>270</v>
      </c>
      <c r="I17" s="19"/>
      <c r="J17" s="89" t="s">
        <v>278</v>
      </c>
      <c r="K17" s="89" t="s">
        <v>278</v>
      </c>
      <c r="L17" s="89" t="s">
        <v>280</v>
      </c>
      <c r="M17" s="90" t="s">
        <v>277</v>
      </c>
      <c r="N17" s="90" t="s">
        <v>271</v>
      </c>
      <c r="O17" s="90" t="s">
        <v>280</v>
      </c>
      <c r="P17" s="90" t="s">
        <v>278</v>
      </c>
      <c r="Q17" s="90" t="s">
        <v>274</v>
      </c>
      <c r="R1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1">
        <f>(1 - ((1 - VLOOKUP(Table4[[#This Row],[Confidentiality]],'Reference - CVSSv3.0'!$B$15:$C$17,2,FALSE())) * (1 - VLOOKUP(Table4[[#This Row],[Integrity]],'Reference - CVSSv3.0'!$B$15:$C$17,2,FALSE())) *  (1 - VLOOKUP(Table4[[#This Row],[Availability]],'Reference - CVSSv3.0'!$B$15:$C$17,2,FALSE()))))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271</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275</v>
      </c>
      <c r="AA17" s="19" t="s">
        <v>276</v>
      </c>
      <c r="AB17" s="225" t="s">
        <v>464</v>
      </c>
      <c r="AC17" s="36"/>
      <c r="AD17" s="36"/>
      <c r="AE17" s="36"/>
      <c r="AF17" s="90"/>
      <c r="AG17" s="90"/>
      <c r="AH17" s="90"/>
      <c r="AI17" s="90"/>
      <c r="AJ17" s="90"/>
      <c r="AK1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1" t="e">
        <f>(1 - ((1 - VLOOKUP(Table4[[#This Row],[ConfidentialityP]],'Reference - CVSSv3.0'!$B$15:$C$17,2,FALSE())) * (1 - VLOOKUP(Table4[[#This Row],[IntegrityP]],'Reference - CVSSv3.0'!$B$15:$C$17,2,FALSE())) *  (1 - VLOOKUP(Table4[[#This Row],[AvailabilityP]],'Reference - CVSSv3.0'!$B$15:$C$17,2,FALSE()))))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266">
      <c r="A18" s="84">
        <v>14</v>
      </c>
      <c r="B18" s="85" t="s">
        <v>178</v>
      </c>
      <c r="C18" s="88" t="str">
        <f>IF(VLOOKUP(Table4[[#This Row],[T ID]],Table5[#All],5,FALSE())="No","Not in scope",VLOOKUP(Table4[[#This Row],[T ID]],Table5[#All],2,FALSE()))</f>
        <v>Deliver undirected malware
(CAPEC-185)</v>
      </c>
      <c r="D18" s="57" t="s">
        <v>124</v>
      </c>
      <c r="E18" s="88" t="str">
        <f>IF(VLOOKUP(Table4[[#This Row],[V ID]],Vulnerabilities[#All],3,FALSE())="No","Not in scope",VLOOKUP(Table4[[#This Row],[V ID]],Vulnerabilities[#All],2,FALSE()))</f>
        <v>Unprotected network port(s) on network devices and connection points</v>
      </c>
      <c r="F18" s="94" t="s">
        <v>50</v>
      </c>
      <c r="G18" s="88" t="str">
        <f>VLOOKUP(Table4[[#This Row],[A ID]],Assets[#All],3,FALSE())</f>
        <v>Smart medic (Stryker device) System Component</v>
      </c>
      <c r="H18" s="19" t="s">
        <v>270</v>
      </c>
      <c r="I18" s="19"/>
      <c r="J18" s="89" t="s">
        <v>278</v>
      </c>
      <c r="K18" s="89" t="s">
        <v>278</v>
      </c>
      <c r="L18" s="89" t="s">
        <v>280</v>
      </c>
      <c r="M18" s="90" t="s">
        <v>277</v>
      </c>
      <c r="N18" s="90" t="s">
        <v>271</v>
      </c>
      <c r="O18" s="90" t="s">
        <v>280</v>
      </c>
      <c r="P18" s="90" t="s">
        <v>278</v>
      </c>
      <c r="Q18" s="90" t="s">
        <v>274</v>
      </c>
      <c r="R1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1">
        <f>(1 - ((1 - VLOOKUP(Table4[[#This Row],[Confidentiality]],'Reference - CVSSv3.0'!$B$15:$C$17,2,FALSE())) * (1 - VLOOKUP(Table4[[#This Row],[Integrity]],'Reference - CVSSv3.0'!$B$15:$C$17,2,FALSE())) *  (1 - VLOOKUP(Table4[[#This Row],[Availability]],'Reference - CVSSv3.0'!$B$15:$C$17,2,FALSE()))))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271</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275</v>
      </c>
      <c r="AA18" s="19" t="s">
        <v>443</v>
      </c>
      <c r="AB18" s="225" t="s">
        <v>464</v>
      </c>
      <c r="AC18" s="36"/>
      <c r="AD18" s="36"/>
      <c r="AE18" s="36"/>
      <c r="AF18" s="90"/>
      <c r="AG18" s="90"/>
      <c r="AH18" s="90"/>
      <c r="AI18" s="90"/>
      <c r="AJ18" s="90"/>
      <c r="AK1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1" t="e">
        <f>(1 - ((1 - VLOOKUP(Table4[[#This Row],[ConfidentialityP]],'Reference - CVSSv3.0'!$B$15:$C$17,2,FALSE())) * (1 - VLOOKUP(Table4[[#This Row],[IntegrityP]],'Reference - CVSSv3.0'!$B$15:$C$17,2,FALSE())) *  (1 - VLOOKUP(Table4[[#This Row],[AvailabilityP]],'Reference - CVSSv3.0'!$B$15:$C$17,2,FALSE()))))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80">
      <c r="A19" s="84">
        <v>15</v>
      </c>
      <c r="B19" s="85" t="s">
        <v>178</v>
      </c>
      <c r="C19" s="88" t="str">
        <f>IF(VLOOKUP(Table4[[#This Row],[T ID]],Table5[#All],5,FALSE())="No","Not in scope",VLOOKUP(Table4[[#This Row],[T ID]],Table5[#All],2,FALSE()))</f>
        <v>Deliver undirected malware
(CAPEC-185)</v>
      </c>
      <c r="D19" s="57" t="s">
        <v>133</v>
      </c>
      <c r="E19" s="88" t="str">
        <f>IF(VLOOKUP(Table4[[#This Row],[V ID]],Vulnerabilities[#All],3,FALSE())="No","Not in scope",VLOOKUP(Table4[[#This Row],[V ID]],Vulnerabilities[#All],2,FALSE()))</f>
        <v>Unencrypted data at rest in all possible locations</v>
      </c>
      <c r="F19" s="94" t="s">
        <v>42</v>
      </c>
      <c r="G19" s="88" t="str">
        <f>VLOOKUP(Table4[[#This Row],[A ID]],Assets[#All],3,FALSE())</f>
        <v>Tablet Resources - web cam, microphone, OTG devices, Removable USB, Tablet Application, Network interfaces (Bluetooth, Wifi)</v>
      </c>
      <c r="H19" s="19" t="s">
        <v>270</v>
      </c>
      <c r="I19" s="19"/>
      <c r="J19" s="89" t="s">
        <v>271</v>
      </c>
      <c r="K19" s="89" t="s">
        <v>271</v>
      </c>
      <c r="L19" s="89" t="s">
        <v>271</v>
      </c>
      <c r="M19" s="90" t="s">
        <v>279</v>
      </c>
      <c r="N19" s="90" t="s">
        <v>271</v>
      </c>
      <c r="O19" s="90" t="s">
        <v>271</v>
      </c>
      <c r="P19" s="90" t="s">
        <v>278</v>
      </c>
      <c r="Q19" s="90" t="s">
        <v>274</v>
      </c>
      <c r="R1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1">
        <f>(1 - ((1 - VLOOKUP(Table4[[#This Row],[Confidentiality]],'Reference - CVSSv3.0'!$B$15:$C$17,2,FALSE())) * (1 - VLOOKUP(Table4[[#This Row],[Integrity]],'Reference - CVSSv3.0'!$B$15:$C$17,2,FALSE())) *  (1 - VLOOKUP(Table4[[#This Row],[Availability]],'Reference - CVSSv3.0'!$B$15:$C$17,2,FALSE()))))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271</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275</v>
      </c>
      <c r="AA19" s="19" t="s">
        <v>276</v>
      </c>
      <c r="AB19" s="225" t="s">
        <v>466</v>
      </c>
      <c r="AC19" s="36"/>
      <c r="AD19" s="36"/>
      <c r="AE19" s="36"/>
      <c r="AF19" s="90"/>
      <c r="AG19" s="90"/>
      <c r="AH19" s="90"/>
      <c r="AI19" s="90"/>
      <c r="AJ19" s="90"/>
      <c r="AK1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1" t="e">
        <f>(1 - ((1 - VLOOKUP(Table4[[#This Row],[ConfidentialityP]],'Reference - CVSSv3.0'!$B$15:$C$17,2,FALSE())) * (1 - VLOOKUP(Table4[[#This Row],[IntegrityP]],'Reference - CVSSv3.0'!$B$15:$C$17,2,FALSE())) *  (1 - VLOOKUP(Table4[[#This Row],[AvailabilityP]],'Reference - CVSSv3.0'!$B$15:$C$17,2,FALSE()))))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266">
      <c r="A20" s="97">
        <v>16</v>
      </c>
      <c r="B20" s="85" t="s">
        <v>178</v>
      </c>
      <c r="C20" s="88" t="str">
        <f>IF(VLOOKUP(Table4[[#This Row],[T ID]],Table5[#All],5,FALSE())="No","Not in scope",VLOOKUP(Table4[[#This Row],[T ID]],Table5[#All],2,FALSE()))</f>
        <v>Deliver undirected malware
(CAPEC-185)</v>
      </c>
      <c r="D20" s="57" t="s">
        <v>135</v>
      </c>
      <c r="E20" s="88" t="str">
        <f>IF(VLOOKUP(Table4[[#This Row],[V ID]],Vulnerabilities[#All],3,FALSE())="No","Not in scope",VLOOKUP(Table4[[#This Row],[V ID]],Vulnerabilities[#All],2,FALSE()))</f>
        <v>Unencrypted data in transit in all flowchannels</v>
      </c>
      <c r="F20" s="94" t="s">
        <v>50</v>
      </c>
      <c r="G20" s="88" t="str">
        <f>VLOOKUP(Table4[[#This Row],[A ID]],Assets[#All],3,FALSE())</f>
        <v>Smart medic (Stryker device) System Component</v>
      </c>
      <c r="H20" s="19" t="s">
        <v>270</v>
      </c>
      <c r="I20" s="19"/>
      <c r="J20" s="89" t="s">
        <v>278</v>
      </c>
      <c r="K20" s="89" t="s">
        <v>278</v>
      </c>
      <c r="L20" s="89" t="s">
        <v>280</v>
      </c>
      <c r="M20" s="90" t="s">
        <v>277</v>
      </c>
      <c r="N20" s="90" t="s">
        <v>271</v>
      </c>
      <c r="O20" s="90" t="s">
        <v>280</v>
      </c>
      <c r="P20" s="90" t="s">
        <v>278</v>
      </c>
      <c r="Q20" s="90" t="s">
        <v>274</v>
      </c>
      <c r="R2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1">
        <f>(1 - ((1 - VLOOKUP(Table4[[#This Row],[Confidentiality]],'Reference - CVSSv3.0'!$B$15:$C$17,2,FALSE())) * (1 - VLOOKUP(Table4[[#This Row],[Integrity]],'Reference - CVSSv3.0'!$B$15:$C$17,2,FALSE())) *  (1 - VLOOKUP(Table4[[#This Row],[Availability]],'Reference - CVSSv3.0'!$B$15:$C$17,2,FALSE()))))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271</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275</v>
      </c>
      <c r="AA20" s="19" t="s">
        <v>443</v>
      </c>
      <c r="AB20" s="225" t="s">
        <v>464</v>
      </c>
      <c r="AC20" s="36"/>
      <c r="AD20" s="36"/>
      <c r="AE20" s="36"/>
      <c r="AF20" s="90"/>
      <c r="AG20" s="90"/>
      <c r="AH20" s="90"/>
      <c r="AI20" s="90"/>
      <c r="AJ20" s="90"/>
      <c r="AK2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1" t="e">
        <f>(1 - ((1 - VLOOKUP(Table4[[#This Row],[ConfidentialityP]],'Reference - CVSSv3.0'!$B$15:$C$17,2,FALSE())) * (1 - VLOOKUP(Table4[[#This Row],[IntegrityP]],'Reference - CVSSv3.0'!$B$15:$C$17,2,FALSE())) *  (1 - VLOOKUP(Table4[[#This Row],[AvailabilityP]],'Reference - CVSSv3.0'!$B$15:$C$17,2,FALSE()))))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66">
      <c r="A21" s="97">
        <v>17</v>
      </c>
      <c r="B21" s="85" t="s">
        <v>178</v>
      </c>
      <c r="C21" s="88" t="str">
        <f>IF(VLOOKUP(Table4[[#This Row],[T ID]],Table5[#All],5,FALSE())="No","Not in scope",VLOOKUP(Table4[[#This Row],[T ID]],Table5[#All],2,FALSE()))</f>
        <v>Deliver undirected malware
(CAPEC-185)</v>
      </c>
      <c r="D21" s="57" t="s">
        <v>135</v>
      </c>
      <c r="E21" s="88" t="str">
        <f>IF(VLOOKUP(Table4[[#This Row],[V ID]],Vulnerabilities[#All],3,FALSE())="No","Not in scope",VLOOKUP(Table4[[#This Row],[V ID]],Vulnerabilities[#All],2,FALSE()))</f>
        <v>Unencrypted data in transit in all flowchannels</v>
      </c>
      <c r="F21" s="94" t="s">
        <v>42</v>
      </c>
      <c r="G21" s="88" t="str">
        <f>VLOOKUP(Table4[[#This Row],[A ID]],Assets[#All],3,FALSE())</f>
        <v>Tablet Resources - web cam, microphone, OTG devices, Removable USB, Tablet Application, Network interfaces (Bluetooth, Wifi)</v>
      </c>
      <c r="H21" s="19" t="s">
        <v>270</v>
      </c>
      <c r="I21" s="19"/>
      <c r="J21" s="89" t="s">
        <v>278</v>
      </c>
      <c r="K21" s="89" t="s">
        <v>278</v>
      </c>
      <c r="L21" s="89" t="s">
        <v>280</v>
      </c>
      <c r="M21" s="90" t="s">
        <v>277</v>
      </c>
      <c r="N21" s="90" t="s">
        <v>271</v>
      </c>
      <c r="O21" s="90" t="s">
        <v>280</v>
      </c>
      <c r="P21" s="90" t="s">
        <v>278</v>
      </c>
      <c r="Q21" s="90" t="s">
        <v>274</v>
      </c>
      <c r="R2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1">
        <f>(1 - ((1 - VLOOKUP(Table4[[#This Row],[Confidentiality]],'Reference - CVSSv3.0'!$B$15:$C$17,2,FALSE())) * (1 - VLOOKUP(Table4[[#This Row],[Integrity]],'Reference - CVSSv3.0'!$B$15:$C$17,2,FALSE())) *  (1 - VLOOKUP(Table4[[#This Row],[Availability]],'Reference - CVSSv3.0'!$B$15:$C$17,2,FALSE()))))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271</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275</v>
      </c>
      <c r="AA21" s="19" t="s">
        <v>276</v>
      </c>
      <c r="AB21" s="225" t="s">
        <v>464</v>
      </c>
      <c r="AC21" s="36"/>
      <c r="AD21" s="36"/>
      <c r="AE21" s="36"/>
      <c r="AF21" s="90"/>
      <c r="AG21" s="90"/>
      <c r="AH21" s="90"/>
      <c r="AI21" s="90"/>
      <c r="AJ21" s="90"/>
      <c r="AK2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1" t="e">
        <f>(1 - ((1 - VLOOKUP(Table4[[#This Row],[ConfidentialityP]],'Reference - CVSSv3.0'!$B$15:$C$17,2,FALSE())) * (1 - VLOOKUP(Table4[[#This Row],[IntegrityP]],'Reference - CVSSv3.0'!$B$15:$C$17,2,FALSE())) *  (1 - VLOOKUP(Table4[[#This Row],[AvailabilityP]],'Reference - CVSSv3.0'!$B$15:$C$17,2,FALSE()))))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c r="A22" s="84">
        <v>18</v>
      </c>
      <c r="B22" s="85" t="s">
        <v>178</v>
      </c>
      <c r="C22" s="88" t="str">
        <f>IF(VLOOKUP(Table4[[#This Row],[T ID]],Table5[#All],5,FALSE())="No","Not in scope",VLOOKUP(Table4[[#This Row],[T ID]],Table5[#All],2,FALSE()))</f>
        <v>Deliver undirected malware
(CAPEC-185)</v>
      </c>
      <c r="D22" s="57" t="s">
        <v>148</v>
      </c>
      <c r="E22" s="88" t="str">
        <f>IF(VLOOKUP(Table4[[#This Row],[V ID]],Vulnerabilities[#All],3,FALSE())="No","Not in scope",VLOOKUP(Table4[[#This Row],[V ID]],Vulnerabilities[#All],2,FALSE()))</f>
        <v>Outdated  - Software/Hardware</v>
      </c>
      <c r="F22" s="94" t="s">
        <v>57</v>
      </c>
      <c r="G22" s="88" t="str">
        <f>VLOOKUP(Table4[[#This Row],[A ID]],Assets[#All],3,FALSE())</f>
        <v>Device Maintainence tool (Hardware/Software)</v>
      </c>
      <c r="H22" s="19" t="s">
        <v>270</v>
      </c>
      <c r="I22" s="19"/>
      <c r="J22" s="89" t="s">
        <v>271</v>
      </c>
      <c r="K22" s="89" t="s">
        <v>271</v>
      </c>
      <c r="L22" s="89" t="s">
        <v>271</v>
      </c>
      <c r="M22" s="90" t="s">
        <v>272</v>
      </c>
      <c r="N22" s="90" t="s">
        <v>271</v>
      </c>
      <c r="O22" s="90" t="s">
        <v>271</v>
      </c>
      <c r="P22" s="90" t="s">
        <v>278</v>
      </c>
      <c r="Q22" s="90" t="s">
        <v>274</v>
      </c>
      <c r="R2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1">
        <f>(1 - ((1 - VLOOKUP(Table4[[#This Row],[Confidentiality]],'Reference - CVSSv3.0'!$B$15:$C$17,2,FALSE())) * (1 - VLOOKUP(Table4[[#This Row],[Integrity]],'Reference - CVSSv3.0'!$B$15:$C$17,2,FALSE())) *  (1 - VLOOKUP(Table4[[#This Row],[Availability]],'Reference - CVSSv3.0'!$B$15:$C$17,2,FALSE()))))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281</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275</v>
      </c>
      <c r="AA22" s="229" t="s">
        <v>446</v>
      </c>
      <c r="AB22" s="225" t="s">
        <v>465</v>
      </c>
      <c r="AC22" s="36"/>
      <c r="AD22" s="36"/>
      <c r="AE22" s="36"/>
      <c r="AF22" s="90"/>
      <c r="AG22" s="90"/>
      <c r="AH22" s="90"/>
      <c r="AI22" s="90"/>
      <c r="AJ22" s="90"/>
      <c r="AK2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1" t="e">
        <f>(1 - ((1 - VLOOKUP(Table4[[#This Row],[ConfidentialityP]],'Reference - CVSSv3.0'!$B$15:$C$17,2,FALSE())) * (1 - VLOOKUP(Table4[[#This Row],[IntegrityP]],'Reference - CVSSv3.0'!$B$15:$C$17,2,FALSE())) *  (1 - VLOOKUP(Table4[[#This Row],[AvailabilityP]],'Reference - CVSSv3.0'!$B$15:$C$17,2,FALSE()))))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266">
      <c r="A23" s="84">
        <v>19</v>
      </c>
      <c r="B23" s="85" t="s">
        <v>178</v>
      </c>
      <c r="C23" s="88" t="str">
        <f>IF(VLOOKUP(Table4[[#This Row],[T ID]],Table5[#All],5,FALSE())="No","Not in scope",VLOOKUP(Table4[[#This Row],[T ID]],Table5[#All],2,FALSE()))</f>
        <v>Deliver undirected malware
(CAPEC-185)</v>
      </c>
      <c r="D23" s="57" t="s">
        <v>148</v>
      </c>
      <c r="E23" s="88" t="str">
        <f>IF(VLOOKUP(Table4[[#This Row],[V ID]],Vulnerabilities[#All],3,FALSE())="No","Not in scope",VLOOKUP(Table4[[#This Row],[V ID]],Vulnerabilities[#All],2,FALSE()))</f>
        <v>Outdated  - Software/Hardware</v>
      </c>
      <c r="F23" s="94" t="s">
        <v>50</v>
      </c>
      <c r="G23" s="88" t="str">
        <f>VLOOKUP(Table4[[#This Row],[A ID]],Assets[#All],3,FALSE())</f>
        <v>Smart medic (Stryker device) System Component</v>
      </c>
      <c r="H23" s="19" t="s">
        <v>270</v>
      </c>
      <c r="I23" s="19"/>
      <c r="J23" s="89" t="s">
        <v>271</v>
      </c>
      <c r="K23" s="89" t="s">
        <v>271</v>
      </c>
      <c r="L23" s="89" t="s">
        <v>271</v>
      </c>
      <c r="M23" s="90" t="s">
        <v>272</v>
      </c>
      <c r="N23" s="90" t="s">
        <v>271</v>
      </c>
      <c r="O23" s="90" t="s">
        <v>271</v>
      </c>
      <c r="P23" s="90" t="s">
        <v>278</v>
      </c>
      <c r="Q23" s="90" t="s">
        <v>274</v>
      </c>
      <c r="R2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1">
        <f>(1 - ((1 - VLOOKUP(Table4[[#This Row],[Confidentiality]],'Reference - CVSSv3.0'!$B$15:$C$17,2,FALSE())) * (1 - VLOOKUP(Table4[[#This Row],[Integrity]],'Reference - CVSSv3.0'!$B$15:$C$17,2,FALSE())) *  (1 - VLOOKUP(Table4[[#This Row],[Availability]],'Reference - CVSSv3.0'!$B$15:$C$17,2,FALSE()))))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281</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275</v>
      </c>
      <c r="AA23" s="19" t="s">
        <v>443</v>
      </c>
      <c r="AB23" s="225" t="s">
        <v>464</v>
      </c>
      <c r="AC23" s="36"/>
      <c r="AD23" s="36"/>
      <c r="AE23" s="36"/>
      <c r="AF23" s="90"/>
      <c r="AG23" s="90"/>
      <c r="AH23" s="90"/>
      <c r="AI23" s="90"/>
      <c r="AJ23" s="90"/>
      <c r="AK2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1" t="e">
        <f>(1 - ((1 - VLOOKUP(Table4[[#This Row],[ConfidentialityP]],'Reference - CVSSv3.0'!$B$15:$C$17,2,FALSE())) * (1 - VLOOKUP(Table4[[#This Row],[IntegrityP]],'Reference - CVSSv3.0'!$B$15:$C$17,2,FALSE())) *  (1 - VLOOKUP(Table4[[#This Row],[AvailabilityP]],'Reference - CVSSv3.0'!$B$15:$C$17,2,FALSE()))))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66">
      <c r="A24" s="84">
        <v>20</v>
      </c>
      <c r="B24" s="85" t="s">
        <v>178</v>
      </c>
      <c r="C24" s="88" t="str">
        <f>IF(VLOOKUP(Table4[[#This Row],[T ID]],Table5[#All],5,FALSE())="No","Not in scope",VLOOKUP(Table4[[#This Row],[T ID]],Table5[#All],2,FALSE()))</f>
        <v>Deliver undirected malware
(CAPEC-185)</v>
      </c>
      <c r="D24" s="57" t="s">
        <v>148</v>
      </c>
      <c r="E24" s="88" t="str">
        <f>IF(VLOOKUP(Table4[[#This Row],[V ID]],Vulnerabilities[#All],3,FALSE())="No","Not in scope",VLOOKUP(Table4[[#This Row],[V ID]],Vulnerabilities[#All],2,FALSE()))</f>
        <v>Outdated  - Software/Hardware</v>
      </c>
      <c r="F24" s="94" t="s">
        <v>42</v>
      </c>
      <c r="G24" s="88" t="str">
        <f>VLOOKUP(Table4[[#This Row],[A ID]],Assets[#All],3,FALSE())</f>
        <v>Tablet Resources - web cam, microphone, OTG devices, Removable USB, Tablet Application, Network interfaces (Bluetooth, Wifi)</v>
      </c>
      <c r="H24" s="19" t="s">
        <v>270</v>
      </c>
      <c r="I24" s="19"/>
      <c r="J24" s="89" t="s">
        <v>271</v>
      </c>
      <c r="K24" s="89" t="s">
        <v>271</v>
      </c>
      <c r="L24" s="89" t="s">
        <v>271</v>
      </c>
      <c r="M24" s="90" t="s">
        <v>272</v>
      </c>
      <c r="N24" s="90" t="s">
        <v>271</v>
      </c>
      <c r="O24" s="90" t="s">
        <v>271</v>
      </c>
      <c r="P24" s="90" t="s">
        <v>278</v>
      </c>
      <c r="Q24" s="90" t="s">
        <v>274</v>
      </c>
      <c r="R2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1">
        <f>(1 - ((1 - VLOOKUP(Table4[[#This Row],[Confidentiality]],'Reference - CVSSv3.0'!$B$15:$C$17,2,FALSE())) * (1 - VLOOKUP(Table4[[#This Row],[Integrity]],'Reference - CVSSv3.0'!$B$15:$C$17,2,FALSE())) *  (1 - VLOOKUP(Table4[[#This Row],[Availability]],'Reference - CVSSv3.0'!$B$15:$C$17,2,FALSE()))))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271</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275</v>
      </c>
      <c r="AA24" s="19" t="s">
        <v>276</v>
      </c>
      <c r="AB24" s="225" t="s">
        <v>464</v>
      </c>
      <c r="AC24" s="36"/>
      <c r="AD24" s="36"/>
      <c r="AE24" s="36"/>
      <c r="AF24" s="90"/>
      <c r="AG24" s="90"/>
      <c r="AH24" s="90"/>
      <c r="AI24" s="90"/>
      <c r="AJ24" s="90"/>
      <c r="AK2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1" t="e">
        <f>(1 - ((1 - VLOOKUP(Table4[[#This Row],[ConfidentialityP]],'Reference - CVSSv3.0'!$B$15:$C$17,2,FALSE())) * (1 - VLOOKUP(Table4[[#This Row],[IntegrityP]],'Reference - CVSSv3.0'!$B$15:$C$17,2,FALSE())) *  (1 - VLOOKUP(Table4[[#This Row],[AvailabilityP]],'Reference - CVSSv3.0'!$B$15:$C$17,2,FALSE()))))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c r="A25" s="84">
        <v>21</v>
      </c>
      <c r="B25" s="85" t="s">
        <v>182</v>
      </c>
      <c r="C25" s="86" t="str">
        <f>IF(VLOOKUP(Table4[[#This Row],[T ID]],Table5[#All],5,FALSE())="No","Not in scope",VLOOKUP(Table4[[#This Row],[T ID]],Table5[#All],2,FALSE()))</f>
        <v>Deliver directed malware
(CAPEC-185)</v>
      </c>
      <c r="D25" s="57" t="s">
        <v>144</v>
      </c>
      <c r="E25" s="86" t="str">
        <f>IF(VLOOKUP(Table4[[#This Row],[V ID]],Vulnerabilities[#All],3,FALSE())="No","Not in scope",VLOOKUP(Table4[[#This Row],[V ID]],Vulnerabilities[#All],2,FALSE()))</f>
        <v>InSecure Configuration for Software/OS on Mobile Devices, Laptops, Workstations, and Servers</v>
      </c>
      <c r="F25" s="94" t="s">
        <v>57</v>
      </c>
      <c r="G25" s="88" t="str">
        <f>VLOOKUP(Table4[[#This Row],[A ID]],Assets[#All],3,FALSE())</f>
        <v>Device Maintainence tool (Hardware/Software)</v>
      </c>
      <c r="H25" s="19" t="s">
        <v>270</v>
      </c>
      <c r="I25" s="19"/>
      <c r="J25" s="89" t="s">
        <v>278</v>
      </c>
      <c r="K25" s="89" t="s">
        <v>278</v>
      </c>
      <c r="L25" s="89" t="s">
        <v>280</v>
      </c>
      <c r="M25" s="90" t="s">
        <v>279</v>
      </c>
      <c r="N25" s="90" t="s">
        <v>271</v>
      </c>
      <c r="O25" s="90" t="s">
        <v>280</v>
      </c>
      <c r="P25" s="90" t="s">
        <v>273</v>
      </c>
      <c r="Q25" s="90" t="s">
        <v>274</v>
      </c>
      <c r="R2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1">
        <f>(1 - ((1 - VLOOKUP(Table4[[#This Row],[Confidentiality]],'Reference - CVSSv3.0'!$B$15:$C$17,2,FALSE())) * (1 - VLOOKUP(Table4[[#This Row],[Integrity]],'Reference - CVSSv3.0'!$B$15:$C$17,2,FALSE())) *  (1 - VLOOKUP(Table4[[#This Row],[Availability]],'Reference - CVSSv3.0'!$B$15:$C$17,2,FALSE()))))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281</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275</v>
      </c>
      <c r="AA25" s="229" t="s">
        <v>446</v>
      </c>
      <c r="AB25" s="225" t="s">
        <v>465</v>
      </c>
      <c r="AC25" s="89"/>
      <c r="AD25" s="89"/>
      <c r="AE25" s="89"/>
      <c r="AF25" s="90"/>
      <c r="AG25" s="90"/>
      <c r="AH25" s="90"/>
      <c r="AI25" s="90"/>
      <c r="AJ25" s="90"/>
      <c r="AK2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1" t="e">
        <f>(1 - ((1 - VLOOKUP(Table4[[#This Row],[ConfidentialityP]],'Reference - CVSSv3.0'!$B$15:$C$17,2,FALSE())) * (1 - VLOOKUP(Table4[[#This Row],[IntegrityP]],'Reference - CVSSv3.0'!$B$15:$C$17,2,FALSE())) *  (1 - VLOOKUP(Table4[[#This Row],[AvailabilityP]],'Reference - CVSSv3.0'!$B$15:$C$17,2,FALSE()))))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t="s">
        <v>282</v>
      </c>
    </row>
    <row r="26" spans="1:43" s="26" customFormat="1" ht="266">
      <c r="A26" s="84">
        <v>22</v>
      </c>
      <c r="B26" s="85" t="s">
        <v>182</v>
      </c>
      <c r="C26" s="88" t="str">
        <f>IF(VLOOKUP(Table4[[#This Row],[T ID]],Table5[#All],5,FALSE())="No","Not in scope",VLOOKUP(Table4[[#This Row],[T ID]],Table5[#All],2,FALSE()))</f>
        <v>Deliver directed malware
(CAPEC-185)</v>
      </c>
      <c r="D26" s="57" t="s">
        <v>144</v>
      </c>
      <c r="E26" s="88" t="str">
        <f>IF(VLOOKUP(Table4[[#This Row],[V ID]],Vulnerabilities[#All],3,FALSE())="No","Not in scope",VLOOKUP(Table4[[#This Row],[V ID]],Vulnerabilities[#All],2,FALSE()))</f>
        <v>InSecure Configuration for Software/OS on Mobile Devices, Laptops, Workstations, and Servers</v>
      </c>
      <c r="F26" s="94" t="s">
        <v>50</v>
      </c>
      <c r="G26" s="88" t="str">
        <f>VLOOKUP(Table4[[#This Row],[A ID]],Assets[#All],3,FALSE())</f>
        <v>Smart medic (Stryker device) System Component</v>
      </c>
      <c r="H26" s="19" t="s">
        <v>270</v>
      </c>
      <c r="I26" s="19"/>
      <c r="J26" s="89" t="s">
        <v>278</v>
      </c>
      <c r="K26" s="89" t="s">
        <v>278</v>
      </c>
      <c r="L26" s="89" t="s">
        <v>280</v>
      </c>
      <c r="M26" s="90" t="s">
        <v>279</v>
      </c>
      <c r="N26" s="90" t="s">
        <v>271</v>
      </c>
      <c r="O26" s="90" t="s">
        <v>280</v>
      </c>
      <c r="P26" s="90" t="s">
        <v>273</v>
      </c>
      <c r="Q26" s="90" t="s">
        <v>274</v>
      </c>
      <c r="R2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1">
        <f>(1 - ((1 - VLOOKUP(Table4[[#This Row],[Confidentiality]],'Reference - CVSSv3.0'!$B$15:$C$17,2,FALSE())) * (1 - VLOOKUP(Table4[[#This Row],[Integrity]],'Reference - CVSSv3.0'!$B$15:$C$17,2,FALSE())) *  (1 - VLOOKUP(Table4[[#This Row],[Availability]],'Reference - CVSSv3.0'!$B$15:$C$17,2,FALSE()))))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281</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275</v>
      </c>
      <c r="AA26" s="19" t="s">
        <v>443</v>
      </c>
      <c r="AB26" s="225" t="s">
        <v>464</v>
      </c>
      <c r="AC26" s="36"/>
      <c r="AD26" s="36"/>
      <c r="AE26" s="36"/>
      <c r="AF26" s="90"/>
      <c r="AG26" s="90"/>
      <c r="AH26" s="90"/>
      <c r="AI26" s="90"/>
      <c r="AJ26" s="90"/>
      <c r="AK2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1" t="e">
        <f>(1 - ((1 - VLOOKUP(Table4[[#This Row],[ConfidentialityP]],'Reference - CVSSv3.0'!$B$15:$C$17,2,FALSE())) * (1 - VLOOKUP(Table4[[#This Row],[IntegrityP]],'Reference - CVSSv3.0'!$B$15:$C$17,2,FALSE())) *  (1 - VLOOKUP(Table4[[#This Row],[AvailabilityP]],'Reference - CVSSv3.0'!$B$15:$C$17,2,FALSE()))))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66">
      <c r="A27" s="84">
        <v>23</v>
      </c>
      <c r="B27" s="85" t="s">
        <v>182</v>
      </c>
      <c r="C27" s="88" t="str">
        <f>IF(VLOOKUP(Table4[[#This Row],[T ID]],Table5[#All],5,FALSE())="No","Not in scope",VLOOKUP(Table4[[#This Row],[T ID]],Table5[#All],2,FALSE()))</f>
        <v>Deliver directed malware
(CAPEC-185)</v>
      </c>
      <c r="D27" s="57" t="s">
        <v>144</v>
      </c>
      <c r="E27" s="88" t="str">
        <f>IF(VLOOKUP(Table4[[#This Row],[V ID]],Vulnerabilities[#All],3,FALSE())="No","Not in scope",VLOOKUP(Table4[[#This Row],[V ID]],Vulnerabilities[#All],2,FALSE()))</f>
        <v>InSecure Configuration for Software/OS on Mobile Devices, Laptops, Workstations, and Servers</v>
      </c>
      <c r="F27" s="94" t="s">
        <v>42</v>
      </c>
      <c r="G27" s="88" t="str">
        <f>VLOOKUP(Table4[[#This Row],[A ID]],Assets[#All],3,FALSE())</f>
        <v>Tablet Resources - web cam, microphone, OTG devices, Removable USB, Tablet Application, Network interfaces (Bluetooth, Wifi)</v>
      </c>
      <c r="H27" s="19" t="s">
        <v>270</v>
      </c>
      <c r="I27" s="19"/>
      <c r="J27" s="89" t="s">
        <v>271</v>
      </c>
      <c r="K27" s="89" t="s">
        <v>271</v>
      </c>
      <c r="L27" s="89" t="s">
        <v>271</v>
      </c>
      <c r="M27" s="90" t="s">
        <v>279</v>
      </c>
      <c r="N27" s="90" t="s">
        <v>271</v>
      </c>
      <c r="O27" s="90" t="s">
        <v>271</v>
      </c>
      <c r="P27" s="90" t="s">
        <v>273</v>
      </c>
      <c r="Q27" s="90" t="s">
        <v>274</v>
      </c>
      <c r="R2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1">
        <f>(1 - ((1 - VLOOKUP(Table4[[#This Row],[Confidentiality]],'Reference - CVSSv3.0'!$B$15:$C$17,2,FALSE())) * (1 - VLOOKUP(Table4[[#This Row],[Integrity]],'Reference - CVSSv3.0'!$B$15:$C$17,2,FALSE())) *  (1 - VLOOKUP(Table4[[#This Row],[Availability]],'Reference - CVSSv3.0'!$B$15:$C$17,2,FALSE()))))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271</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275</v>
      </c>
      <c r="AA27" s="19" t="s">
        <v>276</v>
      </c>
      <c r="AB27" s="225" t="s">
        <v>464</v>
      </c>
      <c r="AC27" s="36"/>
      <c r="AD27" s="36"/>
      <c r="AE27" s="36"/>
      <c r="AF27" s="90"/>
      <c r="AG27" s="90"/>
      <c r="AH27" s="90"/>
      <c r="AI27" s="90"/>
      <c r="AJ27" s="90"/>
      <c r="AK2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1" t="e">
        <f>(1 - ((1 - VLOOKUP(Table4[[#This Row],[ConfidentialityP]],'Reference - CVSSv3.0'!$B$15:$C$17,2,FALSE())) * (1 - VLOOKUP(Table4[[#This Row],[IntegrityP]],'Reference - CVSSv3.0'!$B$15:$C$17,2,FALSE())) *  (1 - VLOOKUP(Table4[[#This Row],[AvailabilityP]],'Reference - CVSSv3.0'!$B$15:$C$17,2,FALSE()))))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280">
      <c r="A28" s="84">
        <v>24</v>
      </c>
      <c r="B28" s="85" t="s">
        <v>182</v>
      </c>
      <c r="C28" s="88" t="str">
        <f>IF(VLOOKUP(Table4[[#This Row],[T ID]],Table5[#All],5,FALSE())="No","Not in scope",VLOOKUP(Table4[[#This Row],[T ID]],Table5[#All],2,FALSE()))</f>
        <v>Deliver directed malware
(CAPEC-185)</v>
      </c>
      <c r="D28" s="57" t="s">
        <v>126</v>
      </c>
      <c r="E28" s="88" t="str">
        <f>IF(VLOOKUP(Table4[[#This Row],[V ID]],Vulnerabilities[#All],3,FALSE())="No","Not in scope",VLOOKUP(Table4[[#This Row],[V ID]],Vulnerabilities[#All],2,FALSE()))</f>
        <v>Unprotected external USB Port on the tablet/devices.</v>
      </c>
      <c r="F28" s="94" t="s">
        <v>66</v>
      </c>
      <c r="G28" s="88" t="str">
        <f>VLOOKUP(Table4[[#This Row],[A ID]],Assets[#All],3,FALSE())</f>
        <v>Wireless Network device (Scope of HDO)</v>
      </c>
      <c r="H28" s="19" t="s">
        <v>270</v>
      </c>
      <c r="I28" s="19"/>
      <c r="J28" s="89" t="s">
        <v>271</v>
      </c>
      <c r="K28" s="89" t="s">
        <v>271</v>
      </c>
      <c r="L28" s="89" t="s">
        <v>271</v>
      </c>
      <c r="M28" s="90" t="s">
        <v>272</v>
      </c>
      <c r="N28" s="90" t="s">
        <v>271</v>
      </c>
      <c r="O28" s="90" t="s">
        <v>271</v>
      </c>
      <c r="P28" s="90" t="s">
        <v>273</v>
      </c>
      <c r="Q28" s="90" t="s">
        <v>274</v>
      </c>
      <c r="R2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1">
        <f>(1 - ((1 - VLOOKUP(Table4[[#This Row],[Confidentiality]],'Reference - CVSSv3.0'!$B$15:$C$17,2,FALSE())) * (1 - VLOOKUP(Table4[[#This Row],[Integrity]],'Reference - CVSSv3.0'!$B$15:$C$17,2,FALSE())) *  (1 - VLOOKUP(Table4[[#This Row],[Availability]],'Reference - CVSSv3.0'!$B$15:$C$17,2,FALSE()))))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281</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283</v>
      </c>
      <c r="AA28" s="19" t="s">
        <v>284</v>
      </c>
      <c r="AB28" s="225" t="s">
        <v>467</v>
      </c>
      <c r="AC28" s="36"/>
      <c r="AD28" s="36"/>
      <c r="AE28" s="36"/>
      <c r="AF28" s="90"/>
      <c r="AG28" s="90"/>
      <c r="AH28" s="90"/>
      <c r="AI28" s="90"/>
      <c r="AJ28" s="90"/>
      <c r="AK2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1" t="e">
        <f>(1 - ((1 - VLOOKUP(Table4[[#This Row],[ConfidentialityP]],'Reference - CVSSv3.0'!$B$15:$C$17,2,FALSE())) * (1 - VLOOKUP(Table4[[#This Row],[IntegrityP]],'Reference - CVSSv3.0'!$B$15:$C$17,2,FALSE())) *  (1 - VLOOKUP(Table4[[#This Row],[AvailabilityP]],'Reference - CVSSv3.0'!$B$15:$C$17,2,FALSE()))))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66">
      <c r="A29" s="84">
        <v>25</v>
      </c>
      <c r="B29" s="85" t="s">
        <v>182</v>
      </c>
      <c r="C29" s="88" t="str">
        <f>IF(VLOOKUP(Table4[[#This Row],[T ID]],Table5[#All],5,FALSE())="No","Not in scope",VLOOKUP(Table4[[#This Row],[T ID]],Table5[#All],2,FALSE()))</f>
        <v>Deliver directed malware
(CAPEC-185)</v>
      </c>
      <c r="D29" s="57" t="s">
        <v>126</v>
      </c>
      <c r="E29" s="88" t="str">
        <f>IF(VLOOKUP(Table4[[#This Row],[V ID]],Vulnerabilities[#All],3,FALSE())="No","Not in scope",VLOOKUP(Table4[[#This Row],[V ID]],Vulnerabilities[#All],2,FALSE()))</f>
        <v>Unprotected external USB Port on the tablet/devices.</v>
      </c>
      <c r="F29" s="94" t="s">
        <v>42</v>
      </c>
      <c r="G29" s="88" t="str">
        <f>VLOOKUP(Table4[[#This Row],[A ID]],Assets[#All],3,FALSE())</f>
        <v>Tablet Resources - web cam, microphone, OTG devices, Removable USB, Tablet Application, Network interfaces (Bluetooth, Wifi)</v>
      </c>
      <c r="H29" s="19" t="s">
        <v>270</v>
      </c>
      <c r="I29" s="19"/>
      <c r="J29" s="89" t="s">
        <v>271</v>
      </c>
      <c r="K29" s="89" t="s">
        <v>271</v>
      </c>
      <c r="L29" s="89" t="s">
        <v>271</v>
      </c>
      <c r="M29" s="90" t="s">
        <v>272</v>
      </c>
      <c r="N29" s="90" t="s">
        <v>271</v>
      </c>
      <c r="O29" s="90" t="s">
        <v>271</v>
      </c>
      <c r="P29" s="90" t="s">
        <v>273</v>
      </c>
      <c r="Q29" s="90" t="s">
        <v>274</v>
      </c>
      <c r="R2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1">
        <f>(1 - ((1 - VLOOKUP(Table4[[#This Row],[Confidentiality]],'Reference - CVSSv3.0'!$B$15:$C$17,2,FALSE())) * (1 - VLOOKUP(Table4[[#This Row],[Integrity]],'Reference - CVSSv3.0'!$B$15:$C$17,2,FALSE())) *  (1 - VLOOKUP(Table4[[#This Row],[Availability]],'Reference - CVSSv3.0'!$B$15:$C$17,2,FALSE()))))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281</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275</v>
      </c>
      <c r="AA29" s="19" t="s">
        <v>276</v>
      </c>
      <c r="AB29" s="225" t="s">
        <v>464</v>
      </c>
      <c r="AC29" s="36"/>
      <c r="AD29" s="36"/>
      <c r="AE29" s="36"/>
      <c r="AF29" s="90"/>
      <c r="AG29" s="90"/>
      <c r="AH29" s="90"/>
      <c r="AI29" s="90"/>
      <c r="AJ29" s="90"/>
      <c r="AK2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1" t="e">
        <f>(1 - ((1 - VLOOKUP(Table4[[#This Row],[ConfidentialityP]],'Reference - CVSSv3.0'!$B$15:$C$17,2,FALSE())) * (1 - VLOOKUP(Table4[[#This Row],[IntegrityP]],'Reference - CVSSv3.0'!$B$15:$C$17,2,FALSE())) *  (1 - VLOOKUP(Table4[[#This Row],[AvailabilityP]],'Reference - CVSSv3.0'!$B$15:$C$17,2,FALSE()))))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54" customFormat="1" ht="196">
      <c r="A30" s="245">
        <v>26</v>
      </c>
      <c r="B30" s="246" t="s">
        <v>182</v>
      </c>
      <c r="C30" s="247" t="str">
        <f>IF(VLOOKUP(Table4[[#This Row],[T ID]],Table5[#All],5,FALSE())="No","Not in scope",VLOOKUP(Table4[[#This Row],[T ID]],Table5[#All],2,FALSE()))</f>
        <v>Deliver directed malware
(CAPEC-185)</v>
      </c>
      <c r="D30" s="248" t="s">
        <v>126</v>
      </c>
      <c r="E30" s="247" t="str">
        <f>IF(VLOOKUP(Table4[[#This Row],[V ID]],Vulnerabilities[#All],3,FALSE())="No","Not in scope",VLOOKUP(Table4[[#This Row],[V ID]],Vulnerabilities[#All],2,FALSE()))</f>
        <v>Unprotected external USB Port on the tablet/devices.</v>
      </c>
      <c r="F30" s="249" t="s">
        <v>75</v>
      </c>
      <c r="G30" s="247" t="str">
        <f>VLOOKUP(Table4[[#This Row],[A ID]],Assets[#All],3,FALSE())</f>
        <v>Smart medic app (Stryker Admin Web Application)</v>
      </c>
      <c r="H30" s="247" t="s">
        <v>270</v>
      </c>
      <c r="I30" s="247"/>
      <c r="J30" s="240" t="s">
        <v>271</v>
      </c>
      <c r="K30" s="240" t="s">
        <v>271</v>
      </c>
      <c r="L30" s="240" t="s">
        <v>271</v>
      </c>
      <c r="M30" s="240" t="s">
        <v>272</v>
      </c>
      <c r="N30" s="240" t="s">
        <v>271</v>
      </c>
      <c r="O30" s="240" t="s">
        <v>271</v>
      </c>
      <c r="P30" s="240" t="s">
        <v>273</v>
      </c>
      <c r="Q30" s="240" t="s">
        <v>274</v>
      </c>
      <c r="R30" s="24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242">
        <f>(1 - ((1 - VLOOKUP(Table4[[#This Row],[Confidentiality]],'Reference - CVSSv3.0'!$B$15:$C$17,2,FALSE())) * (1 - VLOOKUP(Table4[[#This Row],[Integrity]],'Reference - CVSSv3.0'!$B$15:$C$17,2,FALSE())) *  (1 - VLOOKUP(Table4[[#This Row],[Availability]],'Reference - CVSSv3.0'!$B$15:$C$17,2,FALSE()))))</f>
        <v>0.52544799999999992</v>
      </c>
      <c r="T30" s="242">
        <f>IF(Table4[[#This Row],[Scope]]="Unchanged",6.42*Table4[[#This Row],[ISC Base]],IF(Table4[[#This Row],[Scope]]="Changed",7.52*(Table4[[#This Row],[ISC Base]] - 0.029) - 3.25 * POWER(Table4[[#This Row],[ISC Base]] - 0.02,15),NA()))</f>
        <v>3.3733761599999994</v>
      </c>
      <c r="U30" s="242">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39" t="s">
        <v>271</v>
      </c>
      <c r="W30" s="242">
        <f>VLOOKUP(Table4[[#This Row],[Threat Event Initiation]],NIST_Scale_LOAI[],2,FALSE())</f>
        <v>0.2</v>
      </c>
      <c r="X30" s="24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47" t="s">
        <v>275</v>
      </c>
      <c r="AA30" s="247" t="s">
        <v>453</v>
      </c>
      <c r="AB30" s="225" t="s">
        <v>468</v>
      </c>
      <c r="AC30" s="250"/>
      <c r="AD30" s="250"/>
      <c r="AE30" s="250"/>
      <c r="AF30" s="251"/>
      <c r="AG30" s="251"/>
      <c r="AH30" s="251"/>
      <c r="AI30" s="251"/>
      <c r="AJ30" s="251"/>
      <c r="AK30" s="24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42" t="e">
        <f>(1 - ((1 - VLOOKUP(Table4[[#This Row],[ConfidentialityP]],'Reference - CVSSv3.0'!$B$15:$C$17,2,FALSE())) * (1 - VLOOKUP(Table4[[#This Row],[IntegrityP]],'Reference - CVSSv3.0'!$B$15:$C$17,2,FALSE())) *  (1 - VLOOKUP(Table4[[#This Row],[AvailabilityP]],'Reference - CVSSv3.0'!$B$15:$C$17,2,FALSE()))))</f>
        <v>#N/A</v>
      </c>
      <c r="AM30" s="242" t="e">
        <f>IF(Table4[[#This Row],[ScopeP]]="Unchanged",6.42*Table4[[#This Row],[ISC BaseP]],IF(Table4[[#This Row],[ScopeP]]="Changed",7.52*(Table4[[#This Row],[ISC BaseP]] - 0.029) - 3.25 * POWER(Table4[[#This Row],[ISC BaseP]] - 0.02,15),NA()))</f>
        <v>#N/A</v>
      </c>
      <c r="AN30" s="25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5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50"/>
    </row>
    <row r="31" spans="1:43" s="26" customFormat="1" ht="205.4" customHeight="1">
      <c r="A31" s="84">
        <v>27</v>
      </c>
      <c r="B31" s="85" t="s">
        <v>182</v>
      </c>
      <c r="C31" s="88" t="str">
        <f>IF(VLOOKUP(Table4[[#This Row],[T ID]],Table5[#All],5,FALSE())="No","Not in scope",VLOOKUP(Table4[[#This Row],[T ID]],Table5[#All],2,FALSE()))</f>
        <v>Deliver directed malware
(CAPEC-185)</v>
      </c>
      <c r="D31" s="57" t="s">
        <v>102</v>
      </c>
      <c r="E31" s="88" t="str">
        <f>IF(VLOOKUP(Table4[[#This Row],[V ID]],Vulnerabilities[#All],3,FALSE())="No","Not in scope",VLOOKUP(Table4[[#This Row],[V ID]],Vulnerabilities[#All],2,FALSE()))</f>
        <v>External communications and exposure for communciation channels from and to application and devices like tablet and smartmedic device.</v>
      </c>
      <c r="F31" s="94" t="s">
        <v>42</v>
      </c>
      <c r="G31" s="88" t="str">
        <f>VLOOKUP(Table4[[#This Row],[A ID]],Assets[#All],3,FALSE())</f>
        <v>Tablet Resources - web cam, microphone, OTG devices, Removable USB, Tablet Application, Network interfaces (Bluetooth, Wifi)</v>
      </c>
      <c r="H31" s="19" t="s">
        <v>270</v>
      </c>
      <c r="I31" s="19"/>
      <c r="J31" s="89" t="s">
        <v>278</v>
      </c>
      <c r="K31" s="89" t="s">
        <v>278</v>
      </c>
      <c r="L31" s="89" t="s">
        <v>280</v>
      </c>
      <c r="M31" s="90" t="s">
        <v>277</v>
      </c>
      <c r="N31" s="90" t="s">
        <v>271</v>
      </c>
      <c r="O31" s="90" t="s">
        <v>280</v>
      </c>
      <c r="P31" s="90" t="s">
        <v>273</v>
      </c>
      <c r="Q31" s="90" t="s">
        <v>274</v>
      </c>
      <c r="R3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1">
        <f>(1 - ((1 - VLOOKUP(Table4[[#This Row],[Confidentiality]],'Reference - CVSSv3.0'!$B$15:$C$17,2,FALSE())) * (1 - VLOOKUP(Table4[[#This Row],[Integrity]],'Reference - CVSSv3.0'!$B$15:$C$17,2,FALSE())) *  (1 - VLOOKUP(Table4[[#This Row],[Availability]],'Reference - CVSSv3.0'!$B$15:$C$17,2,FALSE()))))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281</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25" t="s">
        <v>428</v>
      </c>
      <c r="AA31" s="269" t="s">
        <v>429</v>
      </c>
      <c r="AB31" s="225" t="s">
        <v>464</v>
      </c>
      <c r="AC31" s="36"/>
      <c r="AD31" s="36"/>
      <c r="AE31" s="36"/>
      <c r="AF31" s="90"/>
      <c r="AG31" s="90"/>
      <c r="AH31" s="90"/>
      <c r="AI31" s="90"/>
      <c r="AJ31" s="90"/>
      <c r="AK3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1" t="e">
        <f>(1 - ((1 - VLOOKUP(Table4[[#This Row],[ConfidentialityP]],'Reference - CVSSv3.0'!$B$15:$C$17,2,FALSE())) * (1 - VLOOKUP(Table4[[#This Row],[IntegrityP]],'Reference - CVSSv3.0'!$B$15:$C$17,2,FALSE())) *  (1 - VLOOKUP(Table4[[#This Row],[AvailabilityP]],'Reference - CVSSv3.0'!$B$15:$C$17,2,FALSE()))))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c r="A32" s="84">
        <v>28</v>
      </c>
      <c r="B32" s="85" t="s">
        <v>182</v>
      </c>
      <c r="C32" s="88" t="str">
        <f>IF(VLOOKUP(Table4[[#This Row],[T ID]],Table5[#All],5,FALSE())="No","Not in scope",VLOOKUP(Table4[[#This Row],[T ID]],Table5[#All],2,FALSE()))</f>
        <v>Deliver directed malware
(CAPEC-185)</v>
      </c>
      <c r="D32" s="57" t="s">
        <v>115</v>
      </c>
      <c r="E32" s="88" t="str">
        <f>IF(VLOOKUP(Table4[[#This Row],[V ID]],Vulnerabilities[#All],3,FALSE())="No","Not in scope",VLOOKUP(Table4[[#This Row],[V ID]],Vulnerabilities[#All],2,FALSE()))</f>
        <v>Ineffective patch management of firware, OS and applications thoughout the information system plan</v>
      </c>
      <c r="F32" s="94" t="s">
        <v>57</v>
      </c>
      <c r="G32" s="88" t="str">
        <f>VLOOKUP(Table4[[#This Row],[A ID]],Assets[#All],3,FALSE())</f>
        <v>Device Maintainence tool (Hardware/Software)</v>
      </c>
      <c r="H32" s="19" t="s">
        <v>270</v>
      </c>
      <c r="I32" s="19"/>
      <c r="J32" s="89" t="s">
        <v>271</v>
      </c>
      <c r="K32" s="89" t="s">
        <v>271</v>
      </c>
      <c r="L32" s="89" t="s">
        <v>271</v>
      </c>
      <c r="M32" s="90" t="s">
        <v>279</v>
      </c>
      <c r="N32" s="90" t="s">
        <v>271</v>
      </c>
      <c r="O32" s="90" t="s">
        <v>271</v>
      </c>
      <c r="P32" s="90" t="s">
        <v>278</v>
      </c>
      <c r="Q32" s="90" t="s">
        <v>274</v>
      </c>
      <c r="R3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1">
        <f>(1 - ((1 - VLOOKUP(Table4[[#This Row],[Confidentiality]],'Reference - CVSSv3.0'!$B$15:$C$17,2,FALSE())) * (1 - VLOOKUP(Table4[[#This Row],[Integrity]],'Reference - CVSSv3.0'!$B$15:$C$17,2,FALSE())) *  (1 - VLOOKUP(Table4[[#This Row],[Availability]],'Reference - CVSSv3.0'!$B$15:$C$17,2,FALSE()))))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271</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275</v>
      </c>
      <c r="AA32" s="229" t="s">
        <v>446</v>
      </c>
      <c r="AB32" s="225" t="s">
        <v>465</v>
      </c>
      <c r="AC32" s="36"/>
      <c r="AD32" s="36"/>
      <c r="AE32" s="36"/>
      <c r="AF32" s="90"/>
      <c r="AG32" s="90"/>
      <c r="AH32" s="90"/>
      <c r="AI32" s="90"/>
      <c r="AJ32" s="90"/>
      <c r="AK3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1" t="e">
        <f>(1 - ((1 - VLOOKUP(Table4[[#This Row],[ConfidentialityP]],'Reference - CVSSv3.0'!$B$15:$C$17,2,FALSE())) * (1 - VLOOKUP(Table4[[#This Row],[IntegrityP]],'Reference - CVSSv3.0'!$B$15:$C$17,2,FALSE())) *  (1 - VLOOKUP(Table4[[#This Row],[AvailabilityP]],'Reference - CVSSv3.0'!$B$15:$C$17,2,FALSE()))))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266">
      <c r="A33" s="84">
        <v>29</v>
      </c>
      <c r="B33" s="85" t="s">
        <v>182</v>
      </c>
      <c r="C33" s="88" t="str">
        <f>IF(VLOOKUP(Table4[[#This Row],[T ID]],Table5[#All],5,FALSE())="No","Not in scope",VLOOKUP(Table4[[#This Row],[T ID]],Table5[#All],2,FALSE()))</f>
        <v>Deliver directed malware
(CAPEC-185)</v>
      </c>
      <c r="D33" s="57" t="s">
        <v>115</v>
      </c>
      <c r="E33" s="88" t="str">
        <f>IF(VLOOKUP(Table4[[#This Row],[V ID]],Vulnerabilities[#All],3,FALSE())="No","Not in scope",VLOOKUP(Table4[[#This Row],[V ID]],Vulnerabilities[#All],2,FALSE()))</f>
        <v>Ineffective patch management of firware, OS and applications thoughout the information system plan</v>
      </c>
      <c r="F33" s="94" t="s">
        <v>50</v>
      </c>
      <c r="G33" s="88" t="str">
        <f>VLOOKUP(Table4[[#This Row],[A ID]],Assets[#All],3,FALSE())</f>
        <v>Smart medic (Stryker device) System Component</v>
      </c>
      <c r="H33" s="19" t="s">
        <v>270</v>
      </c>
      <c r="I33" s="19"/>
      <c r="J33" s="89" t="s">
        <v>271</v>
      </c>
      <c r="K33" s="89" t="s">
        <v>271</v>
      </c>
      <c r="L33" s="89" t="s">
        <v>271</v>
      </c>
      <c r="M33" s="90" t="s">
        <v>279</v>
      </c>
      <c r="N33" s="90" t="s">
        <v>271</v>
      </c>
      <c r="O33" s="90" t="s">
        <v>271</v>
      </c>
      <c r="P33" s="90" t="s">
        <v>278</v>
      </c>
      <c r="Q33" s="90" t="s">
        <v>274</v>
      </c>
      <c r="R3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1">
        <f>(1 - ((1 - VLOOKUP(Table4[[#This Row],[Confidentiality]],'Reference - CVSSv3.0'!$B$15:$C$17,2,FALSE())) * (1 - VLOOKUP(Table4[[#This Row],[Integrity]],'Reference - CVSSv3.0'!$B$15:$C$17,2,FALSE())) *  (1 - VLOOKUP(Table4[[#This Row],[Availability]],'Reference - CVSSv3.0'!$B$15:$C$17,2,FALSE()))))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271</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275</v>
      </c>
      <c r="AA33" s="19" t="s">
        <v>444</v>
      </c>
      <c r="AB33" s="225" t="s">
        <v>464</v>
      </c>
      <c r="AC33" s="36"/>
      <c r="AD33" s="36"/>
      <c r="AE33" s="36"/>
      <c r="AF33" s="90"/>
      <c r="AG33" s="90"/>
      <c r="AH33" s="90"/>
      <c r="AI33" s="90"/>
      <c r="AJ33" s="90"/>
      <c r="AK3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1" t="e">
        <f>(1 - ((1 - VLOOKUP(Table4[[#This Row],[ConfidentialityP]],'Reference - CVSSv3.0'!$B$15:$C$17,2,FALSE())) * (1 - VLOOKUP(Table4[[#This Row],[IntegrityP]],'Reference - CVSSv3.0'!$B$15:$C$17,2,FALSE())) *  (1 - VLOOKUP(Table4[[#This Row],[AvailabilityP]],'Reference - CVSSv3.0'!$B$15:$C$17,2,FALSE()))))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66">
      <c r="A34" s="84">
        <v>30</v>
      </c>
      <c r="B34" s="85" t="s">
        <v>182</v>
      </c>
      <c r="C34" s="88" t="str">
        <f>IF(VLOOKUP(Table4[[#This Row],[T ID]],Table5[#All],5,FALSE())="No","Not in scope",VLOOKUP(Table4[[#This Row],[T ID]],Table5[#All],2,FALSE()))</f>
        <v>Deliver directed malware
(CAPEC-185)</v>
      </c>
      <c r="D34" s="57" t="s">
        <v>115</v>
      </c>
      <c r="E34" s="88" t="str">
        <f>IF(VLOOKUP(Table4[[#This Row],[V ID]],Vulnerabilities[#All],3,FALSE())="No","Not in scope",VLOOKUP(Table4[[#This Row],[V ID]],Vulnerabilities[#All],2,FALSE()))</f>
        <v>Ineffective patch management of firware, OS and applications thoughout the information system plan</v>
      </c>
      <c r="F34" s="94" t="s">
        <v>42</v>
      </c>
      <c r="G34" s="88" t="str">
        <f>VLOOKUP(Table4[[#This Row],[A ID]],Assets[#All],3,FALSE())</f>
        <v>Tablet Resources - web cam, microphone, OTG devices, Removable USB, Tablet Application, Network interfaces (Bluetooth, Wifi)</v>
      </c>
      <c r="H34" s="19" t="s">
        <v>270</v>
      </c>
      <c r="I34" s="19"/>
      <c r="J34" s="89" t="s">
        <v>271</v>
      </c>
      <c r="K34" s="89" t="s">
        <v>271</v>
      </c>
      <c r="L34" s="89" t="s">
        <v>271</v>
      </c>
      <c r="M34" s="90" t="s">
        <v>279</v>
      </c>
      <c r="N34" s="90" t="s">
        <v>271</v>
      </c>
      <c r="O34" s="90" t="s">
        <v>271</v>
      </c>
      <c r="P34" s="90" t="s">
        <v>278</v>
      </c>
      <c r="Q34" s="90" t="s">
        <v>274</v>
      </c>
      <c r="R3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1">
        <f>(1 - ((1 - VLOOKUP(Table4[[#This Row],[Confidentiality]],'Reference - CVSSv3.0'!$B$15:$C$17,2,FALSE())) * (1 - VLOOKUP(Table4[[#This Row],[Integrity]],'Reference - CVSSv3.0'!$B$15:$C$17,2,FALSE())) *  (1 - VLOOKUP(Table4[[#This Row],[Availability]],'Reference - CVSSv3.0'!$B$15:$C$17,2,FALSE()))))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271</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275</v>
      </c>
      <c r="AA34" s="19" t="s">
        <v>276</v>
      </c>
      <c r="AB34" s="225" t="s">
        <v>464</v>
      </c>
      <c r="AC34" s="36"/>
      <c r="AD34" s="36"/>
      <c r="AE34" s="36"/>
      <c r="AF34" s="90"/>
      <c r="AG34" s="90"/>
      <c r="AH34" s="90"/>
      <c r="AI34" s="90"/>
      <c r="AJ34" s="90"/>
      <c r="AK3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1" t="e">
        <f>(1 - ((1 - VLOOKUP(Table4[[#This Row],[ConfidentialityP]],'Reference - CVSSv3.0'!$B$15:$C$17,2,FALSE())) * (1 - VLOOKUP(Table4[[#This Row],[IntegrityP]],'Reference - CVSSv3.0'!$B$15:$C$17,2,FALSE())) *  (1 - VLOOKUP(Table4[[#This Row],[AvailabilityP]],'Reference - CVSSv3.0'!$B$15:$C$17,2,FALSE()))))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182</v>
      </c>
      <c r="C35" s="88" t="str">
        <f>IF(VLOOKUP(Table4[[#This Row],[T ID]],Table5[#All],5,FALSE())="No","Not in scope",VLOOKUP(Table4[[#This Row],[T ID]],Table5[#All],2,FALSE()))</f>
        <v>Deliver directed malware
(CAPEC-185)</v>
      </c>
      <c r="D35" s="57" t="s">
        <v>124</v>
      </c>
      <c r="E35" s="88" t="str">
        <f>IF(VLOOKUP(Table4[[#This Row],[V ID]],Vulnerabilities[#All],3,FALSE())="No","Not in scope",VLOOKUP(Table4[[#This Row],[V ID]],Vulnerabilities[#All],2,FALSE()))</f>
        <v>Unprotected network port(s) on network devices and connection points</v>
      </c>
      <c r="F35" s="94" t="s">
        <v>50</v>
      </c>
      <c r="G35" s="88" t="str">
        <f>VLOOKUP(Table4[[#This Row],[A ID]],Assets[#All],3,FALSE())</f>
        <v>Smart medic (Stryker device) System Component</v>
      </c>
      <c r="H35" s="19" t="s">
        <v>285</v>
      </c>
      <c r="I35" s="19"/>
      <c r="J35" s="89" t="s">
        <v>278</v>
      </c>
      <c r="K35" s="89" t="s">
        <v>278</v>
      </c>
      <c r="L35" s="89" t="s">
        <v>280</v>
      </c>
      <c r="M35" s="90" t="s">
        <v>277</v>
      </c>
      <c r="N35" s="90" t="s">
        <v>271</v>
      </c>
      <c r="O35" s="90" t="s">
        <v>280</v>
      </c>
      <c r="P35" s="90" t="s">
        <v>278</v>
      </c>
      <c r="Q35" s="90" t="s">
        <v>274</v>
      </c>
      <c r="R3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1">
        <f>(1 - ((1 - VLOOKUP(Table4[[#This Row],[Confidentiality]],'Reference - CVSSv3.0'!$B$15:$C$17,2,FALSE())) * (1 - VLOOKUP(Table4[[#This Row],[Integrity]],'Reference - CVSSv3.0'!$B$15:$C$17,2,FALSE())) *  (1 - VLOOKUP(Table4[[#This Row],[Availability]],'Reference - CVSSv3.0'!$B$15:$C$17,2,FALSE()))))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281</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25" t="s">
        <v>430</v>
      </c>
      <c r="AA35" s="98" t="s">
        <v>445</v>
      </c>
      <c r="AB35" s="225" t="s">
        <v>464</v>
      </c>
      <c r="AC35" s="36"/>
      <c r="AD35" s="36"/>
      <c r="AE35" s="36"/>
      <c r="AF35" s="90"/>
      <c r="AG35" s="90"/>
      <c r="AH35" s="90"/>
      <c r="AI35" s="90"/>
      <c r="AJ35" s="90"/>
      <c r="AK3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1" t="e">
        <f>(1 - ((1 - VLOOKUP(Table4[[#This Row],[ConfidentialityP]],'Reference - CVSSv3.0'!$B$15:$C$17,2,FALSE())) * (1 - VLOOKUP(Table4[[#This Row],[IntegrityP]],'Reference - CVSSv3.0'!$B$15:$C$17,2,FALSE())) *  (1 - VLOOKUP(Table4[[#This Row],[AvailabilityP]],'Reference - CVSSv3.0'!$B$15:$C$17,2,FALSE()))))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66">
      <c r="A36" s="84">
        <v>32</v>
      </c>
      <c r="B36" s="85" t="s">
        <v>182</v>
      </c>
      <c r="C36" s="88" t="str">
        <f>IF(VLOOKUP(Table4[[#This Row],[T ID]],Table5[#All],5,FALSE())="No","Not in scope",VLOOKUP(Table4[[#This Row],[T ID]],Table5[#All],2,FALSE()))</f>
        <v>Deliver directed malware
(CAPEC-185)</v>
      </c>
      <c r="D36" s="57" t="s">
        <v>124</v>
      </c>
      <c r="E36" s="88" t="str">
        <f>IF(VLOOKUP(Table4[[#This Row],[V ID]],Vulnerabilities[#All],3,FALSE())="No","Not in scope",VLOOKUP(Table4[[#This Row],[V ID]],Vulnerabilities[#All],2,FALSE()))</f>
        <v>Unprotected network port(s) on network devices and connection points</v>
      </c>
      <c r="F36" s="94" t="s">
        <v>42</v>
      </c>
      <c r="G36" s="88" t="str">
        <f>VLOOKUP(Table4[[#This Row],[A ID]],Assets[#All],3,FALSE())</f>
        <v>Tablet Resources - web cam, microphone, OTG devices, Removable USB, Tablet Application, Network interfaces (Bluetooth, Wifi)</v>
      </c>
      <c r="H36" s="19" t="s">
        <v>285</v>
      </c>
      <c r="I36" s="19"/>
      <c r="J36" s="89" t="s">
        <v>278</v>
      </c>
      <c r="K36" s="89" t="s">
        <v>278</v>
      </c>
      <c r="L36" s="89" t="s">
        <v>280</v>
      </c>
      <c r="M36" s="90" t="s">
        <v>277</v>
      </c>
      <c r="N36" s="90" t="s">
        <v>271</v>
      </c>
      <c r="O36" s="90" t="s">
        <v>280</v>
      </c>
      <c r="P36" s="90" t="s">
        <v>278</v>
      </c>
      <c r="Q36" s="90" t="s">
        <v>274</v>
      </c>
      <c r="R3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1">
        <f>(1 - ((1 - VLOOKUP(Table4[[#This Row],[Confidentiality]],'Reference - CVSSv3.0'!$B$15:$C$17,2,FALSE())) * (1 - VLOOKUP(Table4[[#This Row],[Integrity]],'Reference - CVSSv3.0'!$B$15:$C$17,2,FALSE())) *  (1 - VLOOKUP(Table4[[#This Row],[Availability]],'Reference - CVSSv3.0'!$B$15:$C$17,2,FALSE()))))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271</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275</v>
      </c>
      <c r="AA36" s="19" t="s">
        <v>276</v>
      </c>
      <c r="AB36" s="225" t="s">
        <v>464</v>
      </c>
      <c r="AC36" s="36"/>
      <c r="AD36" s="36"/>
      <c r="AE36" s="36"/>
      <c r="AF36" s="90"/>
      <c r="AG36" s="90"/>
      <c r="AH36" s="90"/>
      <c r="AI36" s="90"/>
      <c r="AJ36" s="90"/>
      <c r="AK3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1" t="e">
        <f>(1 - ((1 - VLOOKUP(Table4[[#This Row],[ConfidentialityP]],'Reference - CVSSv3.0'!$B$15:$C$17,2,FALSE())) * (1 - VLOOKUP(Table4[[#This Row],[IntegrityP]],'Reference - CVSSv3.0'!$B$15:$C$17,2,FALSE())) *  (1 - VLOOKUP(Table4[[#This Row],[AvailabilityP]],'Reference - CVSSv3.0'!$B$15:$C$17,2,FALSE()))))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182</v>
      </c>
      <c r="C37" s="88" t="str">
        <f>IF(VLOOKUP(Table4[[#This Row],[T ID]],Table5[#All],5,FALSE())="No","Not in scope",VLOOKUP(Table4[[#This Row],[T ID]],Table5[#All],2,FALSE()))</f>
        <v>Deliver directed malware
(CAPEC-185)</v>
      </c>
      <c r="D37" s="57" t="s">
        <v>144</v>
      </c>
      <c r="E37" s="88" t="str">
        <f>IF(VLOOKUP(Table4[[#This Row],[V ID]],Vulnerabilities[#All],3,FALSE())="No","Not in scope",VLOOKUP(Table4[[#This Row],[V ID]],Vulnerabilities[#All],2,FALSE()))</f>
        <v>InSecure Configuration for Software/OS on Mobile Devices, Laptops, Workstations, and Servers</v>
      </c>
      <c r="F37" s="94" t="s">
        <v>75</v>
      </c>
      <c r="G37" s="88" t="str">
        <f>VLOOKUP(Table4[[#This Row],[A ID]],Assets[#All],3,FALSE())</f>
        <v>Smart medic app (Stryker Admin Web Application)</v>
      </c>
      <c r="H37" s="19" t="s">
        <v>285</v>
      </c>
      <c r="I37" s="19"/>
      <c r="J37" s="89" t="s">
        <v>278</v>
      </c>
      <c r="K37" s="89" t="s">
        <v>278</v>
      </c>
      <c r="L37" s="89" t="s">
        <v>280</v>
      </c>
      <c r="M37" s="90" t="s">
        <v>279</v>
      </c>
      <c r="N37" s="90" t="s">
        <v>280</v>
      </c>
      <c r="O37" s="90" t="s">
        <v>280</v>
      </c>
      <c r="P37" s="90" t="s">
        <v>273</v>
      </c>
      <c r="Q37" s="90" t="s">
        <v>274</v>
      </c>
      <c r="R3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1">
        <f>(1 - ((1 - VLOOKUP(Table4[[#This Row],[Confidentiality]],'Reference - CVSSv3.0'!$B$15:$C$17,2,FALSE())) * (1 - VLOOKUP(Table4[[#This Row],[Integrity]],'Reference - CVSSv3.0'!$B$15:$C$17,2,FALSE())) *  (1 - VLOOKUP(Table4[[#This Row],[Availability]],'Reference - CVSSv3.0'!$B$15:$C$17,2,FALSE()))))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281</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25" t="s">
        <v>286</v>
      </c>
      <c r="AA37" s="270" t="s">
        <v>452</v>
      </c>
      <c r="AB37" s="225" t="s">
        <v>468</v>
      </c>
      <c r="AC37" s="36"/>
      <c r="AD37" s="36"/>
      <c r="AE37" s="36"/>
      <c r="AF37" s="90"/>
      <c r="AG37" s="90"/>
      <c r="AH37" s="90"/>
      <c r="AI37" s="90"/>
      <c r="AJ37" s="90"/>
      <c r="AK3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1" t="e">
        <f>(1 - ((1 - VLOOKUP(Table4[[#This Row],[ConfidentialityP]],'Reference - CVSSv3.0'!$B$15:$C$17,2,FALSE())) * (1 - VLOOKUP(Table4[[#This Row],[IntegrityP]],'Reference - CVSSv3.0'!$B$15:$C$17,2,FALSE())) *  (1 - VLOOKUP(Table4[[#This Row],[AvailabilityP]],'Reference - CVSSv3.0'!$B$15:$C$17,2,FALSE()))))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66">
      <c r="A38" s="84">
        <v>34</v>
      </c>
      <c r="B38" s="85" t="s">
        <v>182</v>
      </c>
      <c r="C38" s="88" t="str">
        <f>IF(VLOOKUP(Table4[[#This Row],[T ID]],Table5[#All],5,FALSE())="No","Not in scope",VLOOKUP(Table4[[#This Row],[T ID]],Table5[#All],2,FALSE()))</f>
        <v>Deliver directed malware
(CAPEC-185)</v>
      </c>
      <c r="D38" s="57" t="s">
        <v>144</v>
      </c>
      <c r="E38" s="88" t="str">
        <f>IF(VLOOKUP(Table4[[#This Row],[V ID]],Vulnerabilities[#All],3,FALSE())="No","Not in scope",VLOOKUP(Table4[[#This Row],[V ID]],Vulnerabilities[#All],2,FALSE()))</f>
        <v>InSecure Configuration for Software/OS on Mobile Devices, Laptops, Workstations, and Servers</v>
      </c>
      <c r="F38" s="94" t="s">
        <v>42</v>
      </c>
      <c r="G38" s="88" t="str">
        <f>VLOOKUP(Table4[[#This Row],[A ID]],Assets[#All],3,FALSE())</f>
        <v>Tablet Resources - web cam, microphone, OTG devices, Removable USB, Tablet Application, Network interfaces (Bluetooth, Wifi)</v>
      </c>
      <c r="H38" s="19" t="s">
        <v>285</v>
      </c>
      <c r="I38" s="19"/>
      <c r="J38" s="89" t="s">
        <v>271</v>
      </c>
      <c r="K38" s="89" t="s">
        <v>271</v>
      </c>
      <c r="L38" s="89" t="s">
        <v>271</v>
      </c>
      <c r="M38" s="90" t="s">
        <v>279</v>
      </c>
      <c r="N38" s="90" t="s">
        <v>271</v>
      </c>
      <c r="O38" s="90" t="s">
        <v>271</v>
      </c>
      <c r="P38" s="90" t="s">
        <v>273</v>
      </c>
      <c r="Q38" s="90" t="s">
        <v>274</v>
      </c>
      <c r="R3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1">
        <f>(1 - ((1 - VLOOKUP(Table4[[#This Row],[Confidentiality]],'Reference - CVSSv3.0'!$B$15:$C$17,2,FALSE())) * (1 - VLOOKUP(Table4[[#This Row],[Integrity]],'Reference - CVSSv3.0'!$B$15:$C$17,2,FALSE())) *  (1 - VLOOKUP(Table4[[#This Row],[Availability]],'Reference - CVSSv3.0'!$B$15:$C$17,2,FALSE()))))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271</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275</v>
      </c>
      <c r="AA38" s="19" t="s">
        <v>276</v>
      </c>
      <c r="AB38" s="225" t="s">
        <v>464</v>
      </c>
      <c r="AC38" s="36"/>
      <c r="AD38" s="36"/>
      <c r="AE38" s="36"/>
      <c r="AF38" s="90"/>
      <c r="AG38" s="90"/>
      <c r="AH38" s="90"/>
      <c r="AI38" s="90"/>
      <c r="AJ38" s="90"/>
      <c r="AK3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1" t="e">
        <f>(1 - ((1 - VLOOKUP(Table4[[#This Row],[ConfidentialityP]],'Reference - CVSSv3.0'!$B$15:$C$17,2,FALSE())) * (1 - VLOOKUP(Table4[[#This Row],[IntegrityP]],'Reference - CVSSv3.0'!$B$15:$C$17,2,FALSE())) *  (1 - VLOOKUP(Table4[[#This Row],[AvailabilityP]],'Reference - CVSSv3.0'!$B$15:$C$17,2,FALSE()))))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80">
      <c r="A39" s="84">
        <v>35</v>
      </c>
      <c r="B39" s="85" t="s">
        <v>182</v>
      </c>
      <c r="C39" s="86" t="str">
        <f>IF(VLOOKUP(Table4[[#This Row],[T ID]],Table5[#All],5,FALSE())="No","Not in scope",VLOOKUP(Table4[[#This Row],[T ID]],Table5[#All],2,FALSE()))</f>
        <v>Deliver directed malware
(CAPEC-185)</v>
      </c>
      <c r="D39" s="57" t="s">
        <v>133</v>
      </c>
      <c r="E39" s="86" t="str">
        <f>IF(VLOOKUP(Table4[[#This Row],[V ID]],Vulnerabilities[#All],3,FALSE())="No","Not in scope",VLOOKUP(Table4[[#This Row],[V ID]],Vulnerabilities[#All],2,FALSE()))</f>
        <v>Unencrypted data at rest in all possible locations</v>
      </c>
      <c r="F39" s="87" t="s">
        <v>42</v>
      </c>
      <c r="G39" s="88" t="str">
        <f>VLOOKUP(Table4[[#This Row],[A ID]],Assets[#All],3,FALSE())</f>
        <v>Tablet Resources - web cam, microphone, OTG devices, Removable USB, Tablet Application, Network interfaces (Bluetooth, Wifi)</v>
      </c>
      <c r="H39" s="19" t="s">
        <v>285</v>
      </c>
      <c r="I39" s="19"/>
      <c r="J39" s="89" t="s">
        <v>271</v>
      </c>
      <c r="K39" s="89" t="s">
        <v>271</v>
      </c>
      <c r="L39" s="89" t="s">
        <v>271</v>
      </c>
      <c r="M39" s="90" t="s">
        <v>279</v>
      </c>
      <c r="N39" s="90" t="s">
        <v>271</v>
      </c>
      <c r="O39" s="90" t="s">
        <v>271</v>
      </c>
      <c r="P39" s="90" t="s">
        <v>278</v>
      </c>
      <c r="Q39" s="90" t="s">
        <v>274</v>
      </c>
      <c r="R39"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1">
        <f>(1 - ((1 - VLOOKUP(Table4[[#This Row],[Confidentiality]],'Reference - CVSSv3.0'!$B$15:$C$17,2,FALSE())) * (1 - VLOOKUP(Table4[[#This Row],[Integrity]],'Reference - CVSSv3.0'!$B$15:$C$17,2,FALSE())) *  (1 - VLOOKUP(Table4[[#This Row],[Availability]],'Reference - CVSSv3.0'!$B$15:$C$17,2,FALSE()))))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271</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275</v>
      </c>
      <c r="AA39" s="19" t="s">
        <v>276</v>
      </c>
      <c r="AB39" s="225" t="s">
        <v>466</v>
      </c>
      <c r="AC39" s="89"/>
      <c r="AD39" s="89"/>
      <c r="AE39" s="89"/>
      <c r="AF39" s="90"/>
      <c r="AG39" s="90"/>
      <c r="AH39" s="90"/>
      <c r="AI39" s="90"/>
      <c r="AJ39" s="90"/>
      <c r="AK3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1" t="e">
        <f>(1 - ((1 - VLOOKUP(Table4[[#This Row],[ConfidentialityP]],'Reference - CVSSv3.0'!$B$15:$C$17,2,FALSE())) * (1 - VLOOKUP(Table4[[#This Row],[IntegrityP]],'Reference - CVSSv3.0'!$B$15:$C$17,2,FALSE())) *  (1 - VLOOKUP(Table4[[#This Row],[AvailabilityP]],'Reference - CVSSv3.0'!$B$15:$C$17,2,FALSE()))))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80">
      <c r="A40" s="84">
        <v>36</v>
      </c>
      <c r="B40" s="85" t="s">
        <v>182</v>
      </c>
      <c r="C40" s="88" t="str">
        <f>IF(VLOOKUP(Table4[[#This Row],[T ID]],Table5[#All],5,FALSE())="No","Not in scope",VLOOKUP(Table4[[#This Row],[T ID]],Table5[#All],2,FALSE()))</f>
        <v>Deliver directed malware
(CAPEC-185)</v>
      </c>
      <c r="D40" s="57" t="s">
        <v>133</v>
      </c>
      <c r="E40" s="88" t="str">
        <f>IF(VLOOKUP(Table4[[#This Row],[V ID]],Vulnerabilities[#All],3,FALSE())="No","Not in scope",VLOOKUP(Table4[[#This Row],[V ID]],Vulnerabilities[#All],2,FALSE()))</f>
        <v>Unencrypted data at rest in all possible locations</v>
      </c>
      <c r="F40" s="100" t="s">
        <v>46</v>
      </c>
      <c r="G40" s="88" t="str">
        <f>VLOOKUP(Table4[[#This Row],[A ID]],Assets[#All],3,FALSE())</f>
        <v>Tablet OS/network details &amp; Tablet Application</v>
      </c>
      <c r="H40" s="19" t="s">
        <v>285</v>
      </c>
      <c r="I40" s="19"/>
      <c r="J40" s="89" t="s">
        <v>271</v>
      </c>
      <c r="K40" s="89" t="s">
        <v>271</v>
      </c>
      <c r="L40" s="89" t="s">
        <v>271</v>
      </c>
      <c r="M40" s="90" t="s">
        <v>279</v>
      </c>
      <c r="N40" s="90" t="s">
        <v>271</v>
      </c>
      <c r="O40" s="90" t="s">
        <v>271</v>
      </c>
      <c r="P40" s="90" t="s">
        <v>278</v>
      </c>
      <c r="Q40" s="90" t="s">
        <v>274</v>
      </c>
      <c r="R4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1">
        <f>(1 - ((1 - VLOOKUP(Table4[[#This Row],[Confidentiality]],'Reference - CVSSv3.0'!$B$15:$C$17,2,FALSE())) * (1 - VLOOKUP(Table4[[#This Row],[Integrity]],'Reference - CVSSv3.0'!$B$15:$C$17,2,FALSE())) *  (1 - VLOOKUP(Table4[[#This Row],[Availability]],'Reference - CVSSv3.0'!$B$15:$C$17,2,FALSE()))))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271</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275</v>
      </c>
      <c r="AA40" s="19" t="s">
        <v>287</v>
      </c>
      <c r="AB40" s="225" t="s">
        <v>466</v>
      </c>
      <c r="AC40" s="36"/>
      <c r="AD40" s="36"/>
      <c r="AE40" s="36"/>
      <c r="AF40" s="90"/>
      <c r="AG40" s="90"/>
      <c r="AH40" s="90"/>
      <c r="AI40" s="90"/>
      <c r="AJ40" s="90"/>
      <c r="AK4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1" t="e">
        <f>(1 - ((1 - VLOOKUP(Table4[[#This Row],[ConfidentialityP]],'Reference - CVSSv3.0'!$B$15:$C$17,2,FALSE())) * (1 - VLOOKUP(Table4[[#This Row],[IntegrityP]],'Reference - CVSSv3.0'!$B$15:$C$17,2,FALSE())) *  (1 - VLOOKUP(Table4[[#This Row],[AvailabilityP]],'Reference - CVSSv3.0'!$B$15:$C$17,2,FALSE()))))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182</v>
      </c>
      <c r="C41" s="88" t="str">
        <f>IF(VLOOKUP(Table4[[#This Row],[T ID]],Table5[#All],5,FALSE())="No","Not in scope",VLOOKUP(Table4[[#This Row],[T ID]],Table5[#All],2,FALSE()))</f>
        <v>Deliver directed malware
(CAPEC-185)</v>
      </c>
      <c r="D41" s="57" t="s">
        <v>133</v>
      </c>
      <c r="E41" s="88" t="str">
        <f>IF(VLOOKUP(Table4[[#This Row],[V ID]],Vulnerabilities[#All],3,FALSE())="No","Not in scope",VLOOKUP(Table4[[#This Row],[V ID]],Vulnerabilities[#All],2,FALSE()))</f>
        <v>Unencrypted data at rest in all possible locations</v>
      </c>
      <c r="F41" s="94" t="s">
        <v>75</v>
      </c>
      <c r="G41" s="88" t="str">
        <f>VLOOKUP(Table4[[#This Row],[A ID]],Assets[#All],3,FALSE())</f>
        <v>Smart medic app (Stryker Admin Web Application)</v>
      </c>
      <c r="H41" s="19" t="s">
        <v>285</v>
      </c>
      <c r="I41" s="19"/>
      <c r="J41" s="89" t="s">
        <v>271</v>
      </c>
      <c r="K41" s="89" t="s">
        <v>271</v>
      </c>
      <c r="L41" s="89" t="s">
        <v>271</v>
      </c>
      <c r="M41" s="90" t="s">
        <v>279</v>
      </c>
      <c r="N41" s="90" t="s">
        <v>271</v>
      </c>
      <c r="O41" s="90" t="s">
        <v>271</v>
      </c>
      <c r="P41" s="90" t="s">
        <v>278</v>
      </c>
      <c r="Q41" s="90" t="s">
        <v>274</v>
      </c>
      <c r="R4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1">
        <f>(1 - ((1 - VLOOKUP(Table4[[#This Row],[Confidentiality]],'Reference - CVSSv3.0'!$B$15:$C$17,2,FALSE())) * (1 - VLOOKUP(Table4[[#This Row],[Integrity]],'Reference - CVSSv3.0'!$B$15:$C$17,2,FALSE())) *  (1 - VLOOKUP(Table4[[#This Row],[Availability]],'Reference - CVSSv3.0'!$B$15:$C$17,2,FALSE()))))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271</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288</v>
      </c>
      <c r="AA41" s="99" t="s">
        <v>442</v>
      </c>
      <c r="AB41" s="225" t="s">
        <v>469</v>
      </c>
      <c r="AC41" s="36"/>
      <c r="AD41" s="36"/>
      <c r="AE41" s="36"/>
      <c r="AF41" s="90"/>
      <c r="AG41" s="90"/>
      <c r="AH41" s="90"/>
      <c r="AI41" s="90"/>
      <c r="AJ41" s="90"/>
      <c r="AK4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1" t="e">
        <f>(1 - ((1 - VLOOKUP(Table4[[#This Row],[ConfidentialityP]],'Reference - CVSSv3.0'!$B$15:$C$17,2,FALSE())) * (1 - VLOOKUP(Table4[[#This Row],[IntegrityP]],'Reference - CVSSv3.0'!$B$15:$C$17,2,FALSE())) *  (1 - VLOOKUP(Table4[[#This Row],[AvailabilityP]],'Reference - CVSSv3.0'!$B$15:$C$17,2,FALSE()))))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66">
      <c r="A42" s="84">
        <v>38</v>
      </c>
      <c r="B42" s="85" t="s">
        <v>186</v>
      </c>
      <c r="C42" s="88" t="str">
        <f>IF(VLOOKUP(Table4[[#This Row],[T ID]],Table5[#All],5,FALSE())="No","Not in scope",VLOOKUP(Table4[[#This Row],[T ID]],Table5[#All],2,FALSE()))</f>
        <v>Gaining Access
([S]TRID[E])</v>
      </c>
      <c r="D42" s="57" t="s">
        <v>124</v>
      </c>
      <c r="E42" s="88" t="str">
        <f>IF(VLOOKUP(Table4[[#This Row],[V ID]],Vulnerabilities[#All],3,FALSE())="No","Not in scope",VLOOKUP(Table4[[#This Row],[V ID]],Vulnerabilities[#All],2,FALSE()))</f>
        <v>Unprotected network port(s) on network devices and connection points</v>
      </c>
      <c r="F42" s="100" t="s">
        <v>46</v>
      </c>
      <c r="G42" s="88" t="str">
        <f>VLOOKUP(Table4[[#This Row],[A ID]],Assets[#All],3,FALSE())</f>
        <v>Tablet OS/network details &amp; Tablet Application</v>
      </c>
      <c r="H42" s="19" t="s">
        <v>289</v>
      </c>
      <c r="I42" s="19"/>
      <c r="J42" s="89" t="s">
        <v>278</v>
      </c>
      <c r="K42" s="89" t="s">
        <v>278</v>
      </c>
      <c r="L42" s="89" t="s">
        <v>271</v>
      </c>
      <c r="M42" s="90" t="s">
        <v>277</v>
      </c>
      <c r="N42" s="90" t="s">
        <v>271</v>
      </c>
      <c r="O42" s="90" t="s">
        <v>271</v>
      </c>
      <c r="P42" s="90" t="s">
        <v>278</v>
      </c>
      <c r="Q42" s="90" t="s">
        <v>274</v>
      </c>
      <c r="R4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1">
        <f>(1 - ((1 - VLOOKUP(Table4[[#This Row],[Confidentiality]],'Reference - CVSSv3.0'!$B$15:$C$17,2,FALSE())) * (1 - VLOOKUP(Table4[[#This Row],[Integrity]],'Reference - CVSSv3.0'!$B$15:$C$17,2,FALSE())) *  (1 - VLOOKUP(Table4[[#This Row],[Availability]],'Reference - CVSSv3.0'!$B$15:$C$17,2,FALSE()))))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271</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275</v>
      </c>
      <c r="AA42" s="19" t="s">
        <v>276</v>
      </c>
      <c r="AB42" s="225" t="s">
        <v>464</v>
      </c>
      <c r="AC42" s="36"/>
      <c r="AD42" s="36"/>
      <c r="AE42" s="36"/>
      <c r="AF42" s="90"/>
      <c r="AG42" s="90"/>
      <c r="AH42" s="90"/>
      <c r="AI42" s="90"/>
      <c r="AJ42" s="90"/>
      <c r="AK4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1" t="e">
        <f>(1 - ((1 - VLOOKUP(Table4[[#This Row],[ConfidentialityP]],'Reference - CVSSv3.0'!$B$15:$C$17,2,FALSE())) * (1 - VLOOKUP(Table4[[#This Row],[IntegrityP]],'Reference - CVSSv3.0'!$B$15:$C$17,2,FALSE())) *  (1 - VLOOKUP(Table4[[#This Row],[AvailabilityP]],'Reference - CVSSv3.0'!$B$15:$C$17,2,FALSE()))))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08">
      <c r="A43" s="84">
        <v>39</v>
      </c>
      <c r="B43" s="85" t="s">
        <v>186</v>
      </c>
      <c r="C43" s="88" t="str">
        <f>IF(VLOOKUP(Table4[[#This Row],[T ID]],Table5[#All],5,FALSE())="No","Not in scope",VLOOKUP(Table4[[#This Row],[T ID]],Table5[#All],2,FALSE()))</f>
        <v>Gaining Access
([S]TRID[E])</v>
      </c>
      <c r="D43" s="57" t="s">
        <v>124</v>
      </c>
      <c r="E43" s="88" t="str">
        <f>IF(VLOOKUP(Table4[[#This Row],[V ID]],Vulnerabilities[#All],3,FALSE())="No","Not in scope",VLOOKUP(Table4[[#This Row],[V ID]],Vulnerabilities[#All],2,FALSE()))</f>
        <v>Unprotected network port(s) on network devices and connection points</v>
      </c>
      <c r="F43" s="94" t="s">
        <v>75</v>
      </c>
      <c r="G43" s="88" t="str">
        <f>VLOOKUP(Table4[[#This Row],[A ID]],Assets[#All],3,FALSE())</f>
        <v>Smart medic app (Stryker Admin Web Application)</v>
      </c>
      <c r="H43" s="19" t="s">
        <v>289</v>
      </c>
      <c r="I43" s="19"/>
      <c r="J43" s="89" t="s">
        <v>278</v>
      </c>
      <c r="K43" s="89" t="s">
        <v>271</v>
      </c>
      <c r="L43" s="89" t="s">
        <v>280</v>
      </c>
      <c r="M43" s="90" t="s">
        <v>277</v>
      </c>
      <c r="N43" s="90" t="s">
        <v>271</v>
      </c>
      <c r="O43" s="90" t="s">
        <v>280</v>
      </c>
      <c r="P43" s="90" t="s">
        <v>278</v>
      </c>
      <c r="Q43" s="90" t="s">
        <v>274</v>
      </c>
      <c r="R4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1">
        <f>(1 - ((1 - VLOOKUP(Table4[[#This Row],[Confidentiality]],'Reference - CVSSv3.0'!$B$15:$C$17,2,FALSE())) * (1 - VLOOKUP(Table4[[#This Row],[Integrity]],'Reference - CVSSv3.0'!$B$15:$C$17,2,FALSE())) *  (1 - VLOOKUP(Table4[[#This Row],[Availability]],'Reference - CVSSv3.0'!$B$15:$C$17,2,FALSE()))))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271</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25" t="s">
        <v>431</v>
      </c>
      <c r="AA43" s="99" t="s">
        <v>432</v>
      </c>
      <c r="AB43" s="225" t="s">
        <v>468</v>
      </c>
      <c r="AC43" s="36"/>
      <c r="AD43" s="36"/>
      <c r="AE43" s="36"/>
      <c r="AF43" s="90"/>
      <c r="AG43" s="90"/>
      <c r="AH43" s="90"/>
      <c r="AI43" s="90"/>
      <c r="AJ43" s="90"/>
      <c r="AK4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1" t="e">
        <f>(1 - ((1 - VLOOKUP(Table4[[#This Row],[ConfidentialityP]],'Reference - CVSSv3.0'!$B$15:$C$17,2,FALSE())) * (1 - VLOOKUP(Table4[[#This Row],[IntegrityP]],'Reference - CVSSv3.0'!$B$15:$C$17,2,FALSE())) *  (1 - VLOOKUP(Table4[[#This Row],[AvailabilityP]],'Reference - CVSSv3.0'!$B$15:$C$17,2,FALSE()))))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66">
      <c r="A44" s="84">
        <v>40</v>
      </c>
      <c r="B44" s="85" t="s">
        <v>186</v>
      </c>
      <c r="C44" s="86" t="str">
        <f>IF(VLOOKUP(Table4[[#This Row],[T ID]],Table5[#All],5,FALSE())="No","Not in scope",VLOOKUP(Table4[[#This Row],[T ID]],Table5[#All],2,FALSE()))</f>
        <v>Gaining Access
([S]TRID[E])</v>
      </c>
      <c r="D44" s="57" t="s">
        <v>124</v>
      </c>
      <c r="E44" s="86" t="str">
        <f>IF(VLOOKUP(Table4[[#This Row],[V ID]],Vulnerabilities[#All],3,FALSE())="No","Not in scope",VLOOKUP(Table4[[#This Row],[V ID]],Vulnerabilities[#All],2,FALSE()))</f>
        <v>Unprotected network port(s) on network devices and connection points</v>
      </c>
      <c r="F44" s="87" t="s">
        <v>42</v>
      </c>
      <c r="G44" s="88" t="str">
        <f>VLOOKUP(Table4[[#This Row],[A ID]],Assets[#All],3,FALSE())</f>
        <v>Tablet Resources - web cam, microphone, OTG devices, Removable USB, Tablet Application, Network interfaces (Bluetooth, Wifi)</v>
      </c>
      <c r="H44" s="19" t="s">
        <v>289</v>
      </c>
      <c r="I44" s="19"/>
      <c r="J44" s="89" t="s">
        <v>278</v>
      </c>
      <c r="K44" s="89" t="s">
        <v>271</v>
      </c>
      <c r="L44" s="89" t="s">
        <v>278</v>
      </c>
      <c r="M44" s="90" t="s">
        <v>277</v>
      </c>
      <c r="N44" s="90" t="s">
        <v>271</v>
      </c>
      <c r="O44" s="90" t="s">
        <v>271</v>
      </c>
      <c r="P44" s="90" t="s">
        <v>278</v>
      </c>
      <c r="Q44" s="90" t="s">
        <v>274</v>
      </c>
      <c r="R44"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1">
        <f>(1 - ((1 - VLOOKUP(Table4[[#This Row],[Confidentiality]],'Reference - CVSSv3.0'!$B$15:$C$17,2,FALSE())) * (1 - VLOOKUP(Table4[[#This Row],[Integrity]],'Reference - CVSSv3.0'!$B$15:$C$17,2,FALSE())) *  (1 - VLOOKUP(Table4[[#This Row],[Availability]],'Reference - CVSSv3.0'!$B$15:$C$17,2,FALSE()))))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271</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275</v>
      </c>
      <c r="AA44" s="19" t="s">
        <v>276</v>
      </c>
      <c r="AB44" s="225" t="s">
        <v>464</v>
      </c>
      <c r="AC44" s="89"/>
      <c r="AD44" s="89"/>
      <c r="AE44" s="89"/>
      <c r="AF44" s="90"/>
      <c r="AG44" s="90"/>
      <c r="AH44" s="90"/>
      <c r="AI44" s="90"/>
      <c r="AJ44" s="90"/>
      <c r="AK4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1" t="e">
        <f>(1 - ((1 - VLOOKUP(Table4[[#This Row],[ConfidentialityP]],'Reference - CVSSv3.0'!$B$15:$C$17,2,FALSE())) * (1 - VLOOKUP(Table4[[#This Row],[IntegrityP]],'Reference - CVSSv3.0'!$B$15:$C$17,2,FALSE())) *  (1 - VLOOKUP(Table4[[#This Row],[AvailabilityP]],'Reference - CVSSv3.0'!$B$15:$C$17,2,FALSE()))))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64">
      <c r="A45" s="84">
        <v>41</v>
      </c>
      <c r="B45" s="85" t="s">
        <v>186</v>
      </c>
      <c r="C45" s="86" t="str">
        <f>IF(VLOOKUP(Table4[[#This Row],[T ID]],Table5[#All],5,FALSE())="No","Not in scope",VLOOKUP(Table4[[#This Row],[T ID]],Table5[#All],2,FALSE()))</f>
        <v>Gaining Access
([S]TRID[E])</v>
      </c>
      <c r="D45" s="57" t="s">
        <v>98</v>
      </c>
      <c r="E45" s="86" t="str">
        <f>IF(VLOOKUP(Table4[[#This Row],[V ID]],Vulnerabilities[#All],3,FALSE())="No","Not in scope",VLOOKUP(Table4[[#This Row],[V ID]],Vulnerabilities[#All],2,FALSE()))</f>
        <v>Devices with default passwords needs to be checked for bruteforce attacks</v>
      </c>
      <c r="F45" s="100" t="s">
        <v>54</v>
      </c>
      <c r="G45" s="88" t="str">
        <f>VLOOKUP(Table4[[#This Row],[A ID]],Assets[#All],3,FALSE())</f>
        <v>Authentication/Authorisation method of all device(s)/app</v>
      </c>
      <c r="H45" s="19" t="s">
        <v>289</v>
      </c>
      <c r="I45" s="19"/>
      <c r="J45" s="89" t="s">
        <v>271</v>
      </c>
      <c r="K45" s="89" t="s">
        <v>278</v>
      </c>
      <c r="L45" s="89" t="s">
        <v>280</v>
      </c>
      <c r="M45" s="90" t="s">
        <v>272</v>
      </c>
      <c r="N45" s="90" t="s">
        <v>271</v>
      </c>
      <c r="O45" s="90" t="s">
        <v>271</v>
      </c>
      <c r="P45" s="90" t="s">
        <v>278</v>
      </c>
      <c r="Q45" s="90" t="s">
        <v>274</v>
      </c>
      <c r="R4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1">
        <f>(1 - ((1 - VLOOKUP(Table4[[#This Row],[Confidentiality]],'Reference - CVSSv3.0'!$B$15:$C$17,2,FALSE())) * (1 - VLOOKUP(Table4[[#This Row],[Integrity]],'Reference - CVSSv3.0'!$B$15:$C$17,2,FALSE())) *  (1 - VLOOKUP(Table4[[#This Row],[Availability]],'Reference - CVSSv3.0'!$B$15:$C$17,2,FALSE()))))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281</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290</v>
      </c>
      <c r="AA45" s="226" t="s">
        <v>449</v>
      </c>
      <c r="AB45" s="225" t="s">
        <v>470</v>
      </c>
      <c r="AC45" s="89"/>
      <c r="AD45" s="89"/>
      <c r="AE45" s="89"/>
      <c r="AF45" s="90"/>
      <c r="AG45" s="90"/>
      <c r="AH45" s="90"/>
      <c r="AI45" s="90"/>
      <c r="AJ45" s="90"/>
      <c r="AK4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1" t="e">
        <f>(1 - ((1 - VLOOKUP(Table4[[#This Row],[ConfidentialityP]],'Reference - CVSSv3.0'!$B$15:$C$17,2,FALSE())) * (1 - VLOOKUP(Table4[[#This Row],[IntegrityP]],'Reference - CVSSv3.0'!$B$15:$C$17,2,FALSE())) *  (1 - VLOOKUP(Table4[[#This Row],[AvailabilityP]],'Reference - CVSSv3.0'!$B$15:$C$17,2,FALSE()))))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22">
      <c r="A46" s="84">
        <v>42</v>
      </c>
      <c r="B46" s="85" t="s">
        <v>186</v>
      </c>
      <c r="C46" s="88" t="str">
        <f>IF(VLOOKUP(Table4[[#This Row],[T ID]],Table5[#All],5,FALSE())="No","Not in scope",VLOOKUP(Table4[[#This Row],[T ID]],Table5[#All],2,FALSE()))</f>
        <v>Gaining Access
([S]TRID[E])</v>
      </c>
      <c r="D46" s="57" t="s">
        <v>98</v>
      </c>
      <c r="E46" s="88" t="str">
        <f>IF(VLOOKUP(Table4[[#This Row],[V ID]],Vulnerabilities[#All],3,FALSE())="No","Not in scope",VLOOKUP(Table4[[#This Row],[V ID]],Vulnerabilities[#All],2,FALSE()))</f>
        <v>Devices with default passwords needs to be checked for bruteforce attacks</v>
      </c>
      <c r="F46" s="94" t="s">
        <v>63</v>
      </c>
      <c r="G46" s="88" t="str">
        <f>VLOOKUP(Table4[[#This Row],[A ID]],Assets[#All],3,FALSE())</f>
        <v>Interface/API Communication</v>
      </c>
      <c r="H46" s="19" t="s">
        <v>289</v>
      </c>
      <c r="I46" s="19"/>
      <c r="J46" s="89" t="s">
        <v>271</v>
      </c>
      <c r="K46" s="89" t="s">
        <v>278</v>
      </c>
      <c r="L46" s="89" t="s">
        <v>271</v>
      </c>
      <c r="M46" s="90" t="s">
        <v>272</v>
      </c>
      <c r="N46" s="90" t="s">
        <v>271</v>
      </c>
      <c r="O46" s="90" t="s">
        <v>271</v>
      </c>
      <c r="P46" s="90" t="s">
        <v>278</v>
      </c>
      <c r="Q46" s="90" t="s">
        <v>274</v>
      </c>
      <c r="R4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1">
        <f>(1 - ((1 - VLOOKUP(Table4[[#This Row],[Confidentiality]],'Reference - CVSSv3.0'!$B$15:$C$17,2,FALSE())) * (1 - VLOOKUP(Table4[[#This Row],[Integrity]],'Reference - CVSSv3.0'!$B$15:$C$17,2,FALSE())) *  (1 - VLOOKUP(Table4[[#This Row],[Availability]],'Reference - CVSSv3.0'!$B$15:$C$17,2,FALSE()))))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271</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3" t="s">
        <v>291</v>
      </c>
      <c r="AA46" s="99" t="s">
        <v>450</v>
      </c>
      <c r="AB46" s="225" t="s">
        <v>468</v>
      </c>
      <c r="AC46" s="36"/>
      <c r="AD46" s="36"/>
      <c r="AE46" s="36"/>
      <c r="AF46" s="90"/>
      <c r="AG46" s="90"/>
      <c r="AH46" s="90"/>
      <c r="AI46" s="90"/>
      <c r="AJ46" s="90"/>
      <c r="AK4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1" t="e">
        <f>(1 - ((1 - VLOOKUP(Table4[[#This Row],[ConfidentialityP]],'Reference - CVSSv3.0'!$B$15:$C$17,2,FALSE())) * (1 - VLOOKUP(Table4[[#This Row],[IntegrityP]],'Reference - CVSSv3.0'!$B$15:$C$17,2,FALSE())) *  (1 - VLOOKUP(Table4[[#This Row],[AvailabilityP]],'Reference - CVSSv3.0'!$B$15:$C$17,2,FALSE()))))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186</v>
      </c>
      <c r="C47" s="88" t="str">
        <f>IF(VLOOKUP(Table4[[#This Row],[T ID]],Table5[#All],5,FALSE())="No","Not in scope",VLOOKUP(Table4[[#This Row],[T ID]],Table5[#All],2,FALSE()))</f>
        <v>Gaining Access
([S]TRID[E])</v>
      </c>
      <c r="D47" s="57" t="s">
        <v>104</v>
      </c>
      <c r="E47" s="88" t="str">
        <f>IF(VLOOKUP(Table4[[#This Row],[V ID]],Vulnerabilities[#All],3,FALSE())="No","Not in scope",VLOOKUP(Table4[[#This Row],[V ID]],Vulnerabilities[#All],2,FALSE()))</f>
        <v>The password complexity or location vulnerability. Like weak passwords and hardcoded passwords.</v>
      </c>
      <c r="F47" s="100" t="s">
        <v>54</v>
      </c>
      <c r="G47" s="88" t="str">
        <f>VLOOKUP(Table4[[#This Row],[A ID]],Assets[#All],3,FALSE())</f>
        <v>Authentication/Authorisation method of all device(s)/app</v>
      </c>
      <c r="H47" s="19" t="s">
        <v>289</v>
      </c>
      <c r="I47" s="19"/>
      <c r="J47" s="89" t="s">
        <v>271</v>
      </c>
      <c r="K47" s="89" t="s">
        <v>278</v>
      </c>
      <c r="L47" s="89" t="s">
        <v>280</v>
      </c>
      <c r="M47" s="90" t="s">
        <v>279</v>
      </c>
      <c r="N47" s="90" t="s">
        <v>271</v>
      </c>
      <c r="O47" s="90" t="s">
        <v>271</v>
      </c>
      <c r="P47" s="90" t="s">
        <v>273</v>
      </c>
      <c r="Q47" s="90" t="s">
        <v>274</v>
      </c>
      <c r="R4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1">
        <f>(1 - ((1 - VLOOKUP(Table4[[#This Row],[Confidentiality]],'Reference - CVSSv3.0'!$B$15:$C$17,2,FALSE())) * (1 - VLOOKUP(Table4[[#This Row],[Integrity]],'Reference - CVSSv3.0'!$B$15:$C$17,2,FALSE())) *  (1 - VLOOKUP(Table4[[#This Row],[Availability]],'Reference - CVSSv3.0'!$B$15:$C$17,2,FALSE()))))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271</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292</v>
      </c>
      <c r="AA47" s="226" t="s">
        <v>433</v>
      </c>
      <c r="AB47" s="225" t="s">
        <v>470</v>
      </c>
      <c r="AC47" s="36"/>
      <c r="AD47" s="36"/>
      <c r="AE47" s="36"/>
      <c r="AF47" s="90"/>
      <c r="AG47" s="90"/>
      <c r="AH47" s="90"/>
      <c r="AI47" s="90"/>
      <c r="AJ47" s="90"/>
      <c r="AK4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1" t="e">
        <f>(1 - ((1 - VLOOKUP(Table4[[#This Row],[ConfidentialityP]],'Reference - CVSSv3.0'!$B$15:$C$17,2,FALSE())) * (1 - VLOOKUP(Table4[[#This Row],[IntegrityP]],'Reference - CVSSv3.0'!$B$15:$C$17,2,FALSE())) *  (1 - VLOOKUP(Table4[[#This Row],[AvailabilityP]],'Reference - CVSSv3.0'!$B$15:$C$17,2,FALSE()))))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186</v>
      </c>
      <c r="C48" s="88" t="str">
        <f>IF(VLOOKUP(Table4[[#This Row],[T ID]],Table5[#All],5,FALSE())="No","Not in scope",VLOOKUP(Table4[[#This Row],[T ID]],Table5[#All],2,FALSE()))</f>
        <v>Gaining Access
([S]TRID[E])</v>
      </c>
      <c r="D48" s="57" t="s">
        <v>106</v>
      </c>
      <c r="E48" s="88" t="str">
        <f>IF(VLOOKUP(Table4[[#This Row],[V ID]],Vulnerabilities[#All],3,FALSE())="No","Not in scope",VLOOKUP(Table4[[#This Row],[V ID]],Vulnerabilities[#All],2,FALSE()))</f>
        <v>Checking authentication modes for possible hacks and bypasses</v>
      </c>
      <c r="F48" s="100" t="s">
        <v>54</v>
      </c>
      <c r="G48" s="88" t="str">
        <f>VLOOKUP(Table4[[#This Row],[A ID]],Assets[#All],3,FALSE())</f>
        <v>Authentication/Authorisation method of all device(s)/app</v>
      </c>
      <c r="H48" s="19" t="s">
        <v>289</v>
      </c>
      <c r="I48" s="19"/>
      <c r="J48" s="89" t="s">
        <v>271</v>
      </c>
      <c r="K48" s="89" t="s">
        <v>271</v>
      </c>
      <c r="L48" s="89" t="s">
        <v>271</v>
      </c>
      <c r="M48" s="90" t="s">
        <v>272</v>
      </c>
      <c r="N48" s="90" t="s">
        <v>271</v>
      </c>
      <c r="O48" s="90" t="s">
        <v>271</v>
      </c>
      <c r="P48" s="90" t="s">
        <v>278</v>
      </c>
      <c r="Q48" s="90" t="s">
        <v>274</v>
      </c>
      <c r="R4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1">
        <f>(1 - ((1 - VLOOKUP(Table4[[#This Row],[Confidentiality]],'Reference - CVSSv3.0'!$B$15:$C$17,2,FALSE())) * (1 - VLOOKUP(Table4[[#This Row],[Integrity]],'Reference - CVSSv3.0'!$B$15:$C$17,2,FALSE())) *  (1 - VLOOKUP(Table4[[#This Row],[Availability]],'Reference - CVSSv3.0'!$B$15:$C$17,2,FALSE()))))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271</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294</v>
      </c>
      <c r="AA48" s="270" t="s">
        <v>434</v>
      </c>
      <c r="AB48" s="225" t="s">
        <v>470</v>
      </c>
      <c r="AC48" s="36"/>
      <c r="AD48" s="36"/>
      <c r="AE48" s="36"/>
      <c r="AF48" s="90"/>
      <c r="AG48" s="90"/>
      <c r="AH48" s="90"/>
      <c r="AI48" s="90"/>
      <c r="AJ48" s="90"/>
      <c r="AK4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1" t="e">
        <f>(1 - ((1 - VLOOKUP(Table4[[#This Row],[ConfidentialityP]],'Reference - CVSSv3.0'!$B$15:$C$17,2,FALSE())) * (1 - VLOOKUP(Table4[[#This Row],[IntegrityP]],'Reference - CVSSv3.0'!$B$15:$C$17,2,FALSE())) *  (1 - VLOOKUP(Table4[[#This Row],[AvailabilityP]],'Reference - CVSSv3.0'!$B$15:$C$17,2,FALSE()))))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50">
      <c r="A49" s="84">
        <v>45</v>
      </c>
      <c r="B49" s="85" t="s">
        <v>186</v>
      </c>
      <c r="C49" s="88" t="str">
        <f>IF(VLOOKUP(Table4[[#This Row],[T ID]],Table5[#All],5,FALSE())="No","Not in scope",VLOOKUP(Table4[[#This Row],[T ID]],Table5[#All],2,FALSE()))</f>
        <v>Gaining Access
([S]TRID[E])</v>
      </c>
      <c r="D49" s="57" t="s">
        <v>106</v>
      </c>
      <c r="E49" s="88" t="str">
        <f>IF(VLOOKUP(Table4[[#This Row],[V ID]],Vulnerabilities[#All],3,FALSE())="No","Not in scope",VLOOKUP(Table4[[#This Row],[V ID]],Vulnerabilities[#All],2,FALSE()))</f>
        <v>Checking authentication modes for possible hacks and bypasses</v>
      </c>
      <c r="F49" s="94" t="s">
        <v>75</v>
      </c>
      <c r="G49" s="88" t="str">
        <f>VLOOKUP(Table4[[#This Row],[A ID]],Assets[#All],3,FALSE())</f>
        <v>Smart medic app (Stryker Admin Web Application)</v>
      </c>
      <c r="H49" s="19" t="s">
        <v>289</v>
      </c>
      <c r="I49" s="19"/>
      <c r="J49" s="89" t="s">
        <v>271</v>
      </c>
      <c r="K49" s="89" t="s">
        <v>271</v>
      </c>
      <c r="L49" s="89" t="s">
        <v>271</v>
      </c>
      <c r="M49" s="90" t="s">
        <v>272</v>
      </c>
      <c r="N49" s="90" t="s">
        <v>271</v>
      </c>
      <c r="O49" s="90" t="s">
        <v>271</v>
      </c>
      <c r="P49" s="90" t="s">
        <v>278</v>
      </c>
      <c r="Q49" s="90" t="s">
        <v>274</v>
      </c>
      <c r="R4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1">
        <f>(1 - ((1 - VLOOKUP(Table4[[#This Row],[Confidentiality]],'Reference - CVSSv3.0'!$B$15:$C$17,2,FALSE())) * (1 - VLOOKUP(Table4[[#This Row],[Integrity]],'Reference - CVSSv3.0'!$B$15:$C$17,2,FALSE())) *  (1 - VLOOKUP(Table4[[#This Row],[Availability]],'Reference - CVSSv3.0'!$B$15:$C$17,2,FALSE()))))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271</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293</v>
      </c>
      <c r="AA49" s="270" t="s">
        <v>435</v>
      </c>
      <c r="AB49" s="225" t="s">
        <v>468</v>
      </c>
      <c r="AC49" s="36"/>
      <c r="AD49" s="36"/>
      <c r="AE49" s="36"/>
      <c r="AF49" s="90"/>
      <c r="AG49" s="90"/>
      <c r="AH49" s="90"/>
      <c r="AI49" s="90"/>
      <c r="AJ49" s="90"/>
      <c r="AK4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1" t="e">
        <f>(1 - ((1 - VLOOKUP(Table4[[#This Row],[ConfidentialityP]],'Reference - CVSSv3.0'!$B$15:$C$17,2,FALSE())) * (1 - VLOOKUP(Table4[[#This Row],[IntegrityP]],'Reference - CVSSv3.0'!$B$15:$C$17,2,FALSE())) *  (1 - VLOOKUP(Table4[[#This Row],[AvailabilityP]],'Reference - CVSSv3.0'!$B$15:$C$17,2,FALSE()))))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196">
      <c r="A50" s="84">
        <v>46</v>
      </c>
      <c r="B50" s="85" t="s">
        <v>186</v>
      </c>
      <c r="C50" s="88" t="str">
        <f>IF(VLOOKUP(Table4[[#This Row],[T ID]],Table5[#All],5,FALSE())="No","Not in scope",VLOOKUP(Table4[[#This Row],[T ID]],Table5[#All],2,FALSE()))</f>
        <v>Gaining Access
([S]TRID[E])</v>
      </c>
      <c r="D50" s="57" t="s">
        <v>106</v>
      </c>
      <c r="E50" s="88" t="str">
        <f>IF(VLOOKUP(Table4[[#This Row],[V ID]],Vulnerabilities[#All],3,FALSE())="No","Not in scope",VLOOKUP(Table4[[#This Row],[V ID]],Vulnerabilities[#All],2,FALSE()))</f>
        <v>Checking authentication modes for possible hacks and bypasses</v>
      </c>
      <c r="F50" s="94" t="s">
        <v>78</v>
      </c>
      <c r="G50" s="88" t="str">
        <f>VLOOKUP(Table4[[#This Row],[A ID]],Assets[#All],3,FALSE())</f>
        <v>Smart medic app (Azure Portal Administrator)</v>
      </c>
      <c r="H50" s="19" t="s">
        <v>289</v>
      </c>
      <c r="I50" s="19"/>
      <c r="J50" s="89" t="s">
        <v>271</v>
      </c>
      <c r="K50" s="89" t="s">
        <v>271</v>
      </c>
      <c r="L50" s="89" t="s">
        <v>271</v>
      </c>
      <c r="M50" s="90" t="s">
        <v>272</v>
      </c>
      <c r="N50" s="90" t="s">
        <v>271</v>
      </c>
      <c r="O50" s="90" t="s">
        <v>271</v>
      </c>
      <c r="P50" s="90" t="s">
        <v>278</v>
      </c>
      <c r="Q50" s="90" t="s">
        <v>274</v>
      </c>
      <c r="R5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1">
        <f>(1 - ((1 - VLOOKUP(Table4[[#This Row],[Confidentiality]],'Reference - CVSSv3.0'!$B$15:$C$17,2,FALSE())) * (1 - VLOOKUP(Table4[[#This Row],[Integrity]],'Reference - CVSSv3.0'!$B$15:$C$17,2,FALSE())) *  (1 - VLOOKUP(Table4[[#This Row],[Availability]],'Reference - CVSSv3.0'!$B$15:$C$17,2,FALSE()))))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271</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294</v>
      </c>
      <c r="AA50" s="225" t="s">
        <v>454</v>
      </c>
      <c r="AB50" s="225" t="s">
        <v>468</v>
      </c>
      <c r="AC50" s="36"/>
      <c r="AD50" s="36"/>
      <c r="AE50" s="36"/>
      <c r="AF50" s="90"/>
      <c r="AG50" s="90"/>
      <c r="AH50" s="90"/>
      <c r="AI50" s="90"/>
      <c r="AJ50" s="90"/>
      <c r="AK5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1" t="e">
        <f>(1 - ((1 - VLOOKUP(Table4[[#This Row],[ConfidentialityP]],'Reference - CVSSv3.0'!$B$15:$C$17,2,FALSE())) * (1 - VLOOKUP(Table4[[#This Row],[IntegrityP]],'Reference - CVSSv3.0'!$B$15:$C$17,2,FALSE())) *  (1 - VLOOKUP(Table4[[#This Row],[AvailabilityP]],'Reference - CVSSv3.0'!$B$15:$C$17,2,FALSE()))))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66">
      <c r="A51" s="84">
        <v>47</v>
      </c>
      <c r="B51" s="85" t="s">
        <v>186</v>
      </c>
      <c r="C51" s="88" t="str">
        <f>IF(VLOOKUP(Table4[[#This Row],[T ID]],Table5[#All],5,FALSE())="No","Not in scope",VLOOKUP(Table4[[#This Row],[T ID]],Table5[#All],2,FALSE()))</f>
        <v>Gaining Access
([S]TRID[E])</v>
      </c>
      <c r="D51" s="57" t="s">
        <v>126</v>
      </c>
      <c r="E51" s="88" t="str">
        <f>IF(VLOOKUP(Table4[[#This Row],[V ID]],Vulnerabilities[#All],3,FALSE())="No","Not in scope",VLOOKUP(Table4[[#This Row],[V ID]],Vulnerabilities[#All],2,FALSE()))</f>
        <v>Unprotected external USB Port on the tablet/devices.</v>
      </c>
      <c r="F51" s="94" t="s">
        <v>42</v>
      </c>
      <c r="G51" s="88" t="str">
        <f>VLOOKUP(Table4[[#This Row],[A ID]],Assets[#All],3,FALSE())</f>
        <v>Tablet Resources - web cam, microphone, OTG devices, Removable USB, Tablet Application, Network interfaces (Bluetooth, Wifi)</v>
      </c>
      <c r="H51" s="19" t="s">
        <v>289</v>
      </c>
      <c r="I51" s="19"/>
      <c r="J51" s="89" t="s">
        <v>271</v>
      </c>
      <c r="K51" s="89" t="s">
        <v>271</v>
      </c>
      <c r="L51" s="89" t="s">
        <v>271</v>
      </c>
      <c r="M51" s="90" t="s">
        <v>272</v>
      </c>
      <c r="N51" s="90" t="s">
        <v>271</v>
      </c>
      <c r="O51" s="90" t="s">
        <v>271</v>
      </c>
      <c r="P51" s="90" t="s">
        <v>273</v>
      </c>
      <c r="Q51" s="90" t="s">
        <v>274</v>
      </c>
      <c r="R5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1">
        <f>(1 - ((1 - VLOOKUP(Table4[[#This Row],[Confidentiality]],'Reference - CVSSv3.0'!$B$15:$C$17,2,FALSE())) * (1 - VLOOKUP(Table4[[#This Row],[Integrity]],'Reference - CVSSv3.0'!$B$15:$C$17,2,FALSE())) *  (1 - VLOOKUP(Table4[[#This Row],[Availability]],'Reference - CVSSv3.0'!$B$15:$C$17,2,FALSE()))))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271</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275</v>
      </c>
      <c r="AA51" s="19" t="s">
        <v>295</v>
      </c>
      <c r="AB51" s="225" t="s">
        <v>464</v>
      </c>
      <c r="AC51" s="36"/>
      <c r="AD51" s="36"/>
      <c r="AE51" s="36"/>
      <c r="AF51" s="90"/>
      <c r="AG51" s="90"/>
      <c r="AH51" s="90"/>
      <c r="AI51" s="90"/>
      <c r="AJ51" s="90"/>
      <c r="AK5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1" t="e">
        <f>(1 - ((1 - VLOOKUP(Table4[[#This Row],[ConfidentialityP]],'Reference - CVSSv3.0'!$B$15:$C$17,2,FALSE())) * (1 - VLOOKUP(Table4[[#This Row],[IntegrityP]],'Reference - CVSSv3.0'!$B$15:$C$17,2,FALSE())) *  (1 - VLOOKUP(Table4[[#This Row],[AvailabilityP]],'Reference - CVSSv3.0'!$B$15:$C$17,2,FALSE()))))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38" customFormat="1" ht="322">
      <c r="A52" s="227">
        <v>48</v>
      </c>
      <c r="B52" s="228" t="s">
        <v>189</v>
      </c>
      <c r="C52" s="229" t="str">
        <f>IF(VLOOKUP(Table4[[#This Row],[T ID]],Table5[#All],5,FALSE())="No","Not in scope",VLOOKUP(Table4[[#This Row],[T ID]],Table5[#All],2,FALSE()))</f>
        <v>Maintaining Access
(TTP)</v>
      </c>
      <c r="D52" s="230" t="s">
        <v>98</v>
      </c>
      <c r="E52" s="229" t="str">
        <f>IF(VLOOKUP(Table4[[#This Row],[V ID]],Vulnerabilities[#All],3,FALSE())="No","Not in scope",VLOOKUP(Table4[[#This Row],[V ID]],Vulnerabilities[#All],2,FALSE()))</f>
        <v>Devices with default passwords needs to be checked for bruteforce attacks</v>
      </c>
      <c r="F52" s="231" t="s">
        <v>54</v>
      </c>
      <c r="G52" s="229" t="str">
        <f>VLOOKUP(Table4[[#This Row],[A ID]],Assets[#All],3,FALSE())</f>
        <v>Authentication/Authorisation method of all device(s)/app</v>
      </c>
      <c r="H52" s="229" t="s">
        <v>289</v>
      </c>
      <c r="I52" s="229"/>
      <c r="J52" s="232" t="s">
        <v>271</v>
      </c>
      <c r="K52" s="232" t="s">
        <v>271</v>
      </c>
      <c r="L52" s="232" t="s">
        <v>271</v>
      </c>
      <c r="M52" s="232" t="s">
        <v>272</v>
      </c>
      <c r="N52" s="232" t="s">
        <v>271</v>
      </c>
      <c r="O52" s="232" t="s">
        <v>271</v>
      </c>
      <c r="P52" s="232" t="s">
        <v>278</v>
      </c>
      <c r="Q52" s="232" t="s">
        <v>274</v>
      </c>
      <c r="R52"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34">
        <f>(1 - ((1 - VLOOKUP(Table4[[#This Row],[Confidentiality]],'Reference - CVSSv3.0'!$B$15:$C$17,2,FALSE())) * (1 - VLOOKUP(Table4[[#This Row],[Integrity]],'Reference - CVSSv3.0'!$B$15:$C$17,2,FALSE())) *  (1 - VLOOKUP(Table4[[#This Row],[Availability]],'Reference - CVSSv3.0'!$B$15:$C$17,2,FALSE()))))</f>
        <v>0.52544799999999992</v>
      </c>
      <c r="T52" s="234">
        <f>IF(Table4[[#This Row],[Scope]]="Unchanged",6.42*Table4[[#This Row],[ISC Base]],IF(Table4[[#This Row],[Scope]]="Changed",7.52*(Table4[[#This Row],[ISC Base]] - 0.029) - 3.25 * POWER(Table4[[#This Row],[ISC Base]] - 0.02,15),NA()))</f>
        <v>3.3733761599999994</v>
      </c>
      <c r="U52" s="234">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28" t="s">
        <v>281</v>
      </c>
      <c r="W52" s="234">
        <f>VLOOKUP(Table4[[#This Row],[Threat Event Initiation]],NIST_Scale_LOAI[],2,FALSE())</f>
        <v>0.5</v>
      </c>
      <c r="X52"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29" t="s">
        <v>291</v>
      </c>
      <c r="AA52" s="226" t="s">
        <v>451</v>
      </c>
      <c r="AB52" s="225" t="s">
        <v>470</v>
      </c>
      <c r="AC52" s="236"/>
      <c r="AD52" s="236"/>
      <c r="AE52" s="236"/>
      <c r="AF52" s="232"/>
      <c r="AG52" s="232"/>
      <c r="AH52" s="232"/>
      <c r="AI52" s="232"/>
      <c r="AJ52" s="232"/>
      <c r="AK52" s="2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34" t="e">
        <f>(1 - ((1 - VLOOKUP(Table4[[#This Row],[ConfidentialityP]],'Reference - CVSSv3.0'!$B$15:$C$17,2,FALSE())) * (1 - VLOOKUP(Table4[[#This Row],[IntegrityP]],'Reference - CVSSv3.0'!$B$15:$C$17,2,FALSE())) *  (1 - VLOOKUP(Table4[[#This Row],[AvailabilityP]],'Reference - CVSSv3.0'!$B$15:$C$17,2,FALSE()))))</f>
        <v>#N/A</v>
      </c>
      <c r="AM52" s="234" t="e">
        <f>IF(Table4[[#This Row],[ScopeP]]="Unchanged",6.42*Table4[[#This Row],[ISC BaseP]],IF(Table4[[#This Row],[ScopeP]]="Changed",7.52*(Table4[[#This Row],[ISC BaseP]] - 0.029) - 3.25 * POWER(Table4[[#This Row],[ISC BaseP]] - 0.02,15),NA()))</f>
        <v>#N/A</v>
      </c>
      <c r="AN52" s="2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3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6"/>
    </row>
    <row r="53" spans="1:43" ht="350">
      <c r="A53" s="84">
        <v>49</v>
      </c>
      <c r="B53" s="85" t="s">
        <v>189</v>
      </c>
      <c r="C53" s="88" t="str">
        <f>IF(VLOOKUP(Table4[[#This Row],[T ID]],Table5[#All],5,FALSE())="No","Not in scope",VLOOKUP(Table4[[#This Row],[T ID]],Table5[#All],2,FALSE()))</f>
        <v>Maintaining Access
(TTP)</v>
      </c>
      <c r="D53" s="57" t="s">
        <v>104</v>
      </c>
      <c r="E53" s="88" t="str">
        <f>IF(VLOOKUP(Table4[[#This Row],[V ID]],Vulnerabilities[#All],3,FALSE())="No","Not in scope",VLOOKUP(Table4[[#This Row],[V ID]],Vulnerabilities[#All],2,FALSE()))</f>
        <v>The password complexity or location vulnerability. Like weak passwords and hardcoded passwords.</v>
      </c>
      <c r="F53" s="100" t="s">
        <v>54</v>
      </c>
      <c r="G53" s="88" t="str">
        <f>VLOOKUP(Table4[[#This Row],[A ID]],Assets[#All],3,FALSE())</f>
        <v>Authentication/Authorisation method of all device(s)/app</v>
      </c>
      <c r="H53" s="19" t="s">
        <v>289</v>
      </c>
      <c r="I53" s="19"/>
      <c r="J53" s="89" t="s">
        <v>271</v>
      </c>
      <c r="K53" s="89" t="s">
        <v>271</v>
      </c>
      <c r="L53" s="89" t="s">
        <v>271</v>
      </c>
      <c r="M53" s="90" t="s">
        <v>279</v>
      </c>
      <c r="N53" s="90" t="s">
        <v>271</v>
      </c>
      <c r="O53" s="90" t="s">
        <v>271</v>
      </c>
      <c r="P53" s="90" t="s">
        <v>273</v>
      </c>
      <c r="Q53" s="90" t="s">
        <v>274</v>
      </c>
      <c r="R5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1">
        <f>(1 - ((1 - VLOOKUP(Table4[[#This Row],[Confidentiality]],'Reference - CVSSv3.0'!$B$15:$C$17,2,FALSE())) * (1 - VLOOKUP(Table4[[#This Row],[Integrity]],'Reference - CVSSv3.0'!$B$15:$C$17,2,FALSE())) *  (1 - VLOOKUP(Table4[[#This Row],[Availability]],'Reference - CVSSv3.0'!$B$15:$C$17,2,FALSE()))))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271</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93" t="s">
        <v>296</v>
      </c>
      <c r="AA53" s="226" t="s">
        <v>440</v>
      </c>
      <c r="AB53" s="225" t="s">
        <v>470</v>
      </c>
      <c r="AC53" s="36"/>
      <c r="AD53" s="36"/>
      <c r="AE53" s="36"/>
      <c r="AF53" s="90"/>
      <c r="AG53" s="90"/>
      <c r="AH53" s="90"/>
      <c r="AI53" s="90"/>
      <c r="AJ53" s="90"/>
      <c r="AK5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1" t="e">
        <f>(1 - ((1 - VLOOKUP(Table4[[#This Row],[ConfidentialityP]],'Reference - CVSSv3.0'!$B$15:$C$17,2,FALSE())) * (1 - VLOOKUP(Table4[[#This Row],[IntegrityP]],'Reference - CVSSv3.0'!$B$15:$C$17,2,FALSE())) *  (1 - VLOOKUP(Table4[[#This Row],[AvailabilityP]],'Reference - CVSSv3.0'!$B$15:$C$17,2,FALSE()))))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66">
      <c r="A54" s="84">
        <v>50</v>
      </c>
      <c r="B54" s="85" t="s">
        <v>192</v>
      </c>
      <c r="C54" s="88" t="str">
        <f>IF(VLOOKUP(Table4[[#This Row],[T ID]],Table5[#All],5,FALSE())="No","Not in scope",VLOOKUP(Table4[[#This Row],[T ID]],Table5[#All],2,FALSE()))</f>
        <v>Clearing Track
(TTP)</v>
      </c>
      <c r="D54" s="57" t="s">
        <v>144</v>
      </c>
      <c r="E54" s="88" t="str">
        <f>IF(VLOOKUP(Table4[[#This Row],[V ID]],Vulnerabilities[#All],3,FALSE())="No","Not in scope",VLOOKUP(Table4[[#This Row],[V ID]],Vulnerabilities[#All],2,FALSE()))</f>
        <v>InSecure Configuration for Software/OS on Mobile Devices, Laptops, Workstations, and Servers</v>
      </c>
      <c r="F54" s="94" t="s">
        <v>42</v>
      </c>
      <c r="G54" s="88" t="str">
        <f>VLOOKUP(Table4[[#This Row],[A ID]],Assets[#All],3,FALSE())</f>
        <v>Tablet Resources - web cam, microphone, OTG devices, Removable USB, Tablet Application, Network interfaces (Bluetooth, Wifi)</v>
      </c>
      <c r="H54" s="19" t="s">
        <v>297</v>
      </c>
      <c r="I54" s="19"/>
      <c r="J54" s="89" t="s">
        <v>271</v>
      </c>
      <c r="K54" s="89" t="s">
        <v>271</v>
      </c>
      <c r="L54" s="89" t="s">
        <v>271</v>
      </c>
      <c r="M54" s="90" t="s">
        <v>279</v>
      </c>
      <c r="N54" s="90" t="s">
        <v>271</v>
      </c>
      <c r="O54" s="90" t="s">
        <v>271</v>
      </c>
      <c r="P54" s="90" t="s">
        <v>273</v>
      </c>
      <c r="Q54" s="90" t="s">
        <v>274</v>
      </c>
      <c r="R5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1">
        <f>(1 - ((1 - VLOOKUP(Table4[[#This Row],[Confidentiality]],'Reference - CVSSv3.0'!$B$15:$C$17,2,FALSE())) * (1 - VLOOKUP(Table4[[#This Row],[Integrity]],'Reference - CVSSv3.0'!$B$15:$C$17,2,FALSE())) *  (1 - VLOOKUP(Table4[[#This Row],[Availability]],'Reference - CVSSv3.0'!$B$15:$C$17,2,FALSE()))))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271</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275</v>
      </c>
      <c r="AA54" s="19" t="s">
        <v>287</v>
      </c>
      <c r="AB54" s="225" t="s">
        <v>464</v>
      </c>
      <c r="AC54" s="36"/>
      <c r="AD54" s="36"/>
      <c r="AE54" s="36"/>
      <c r="AF54" s="90"/>
      <c r="AG54" s="90"/>
      <c r="AH54" s="90"/>
      <c r="AI54" s="90"/>
      <c r="AJ54" s="90"/>
      <c r="AK5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1" t="e">
        <f>(1 - ((1 - VLOOKUP(Table4[[#This Row],[ConfidentialityP]],'Reference - CVSSv3.0'!$B$15:$C$17,2,FALSE())) * (1 - VLOOKUP(Table4[[#This Row],[IntegrityP]],'Reference - CVSSv3.0'!$B$15:$C$17,2,FALSE())) *  (1 - VLOOKUP(Table4[[#This Row],[AvailabilityP]],'Reference - CVSSv3.0'!$B$15:$C$17,2,FALSE()))))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409.5">
      <c r="A55" s="84">
        <v>51</v>
      </c>
      <c r="B55" s="85" t="s">
        <v>192</v>
      </c>
      <c r="C55" s="88" t="str">
        <f>IF(VLOOKUP(Table4[[#This Row],[T ID]],Table5[#All],5,FALSE())="No","Not in scope",VLOOKUP(Table4[[#This Row],[T ID]],Table5[#All],2,FALSE()))</f>
        <v>Clearing Track
(TTP)</v>
      </c>
      <c r="D55" s="57" t="s">
        <v>148</v>
      </c>
      <c r="E55" s="88" t="str">
        <f>IF(VLOOKUP(Table4[[#This Row],[V ID]],Vulnerabilities[#All],3,FALSE())="No","Not in scope",VLOOKUP(Table4[[#This Row],[V ID]],Vulnerabilities[#All],2,FALSE()))</f>
        <v>Outdated  - Software/Hardware</v>
      </c>
      <c r="F55" s="94" t="s">
        <v>42</v>
      </c>
      <c r="G55" s="88" t="str">
        <f>VLOOKUP(Table4[[#This Row],[A ID]],Assets[#All],3,FALSE())</f>
        <v>Tablet Resources - web cam, microphone, OTG devices, Removable USB, Tablet Application, Network interfaces (Bluetooth, Wifi)</v>
      </c>
      <c r="H55" s="19" t="s">
        <v>297</v>
      </c>
      <c r="I55" s="19" t="s">
        <v>298</v>
      </c>
      <c r="J55" s="89" t="s">
        <v>271</v>
      </c>
      <c r="K55" s="89" t="s">
        <v>271</v>
      </c>
      <c r="L55" s="89" t="s">
        <v>271</v>
      </c>
      <c r="M55" s="90" t="s">
        <v>272</v>
      </c>
      <c r="N55" s="90" t="s">
        <v>271</v>
      </c>
      <c r="O55" s="90" t="s">
        <v>271</v>
      </c>
      <c r="P55" s="90" t="s">
        <v>278</v>
      </c>
      <c r="Q55" s="90" t="s">
        <v>274</v>
      </c>
      <c r="R5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1">
        <f>(1 - ((1 - VLOOKUP(Table4[[#This Row],[Confidentiality]],'Reference - CVSSv3.0'!$B$15:$C$17,2,FALSE())) * (1 - VLOOKUP(Table4[[#This Row],[Integrity]],'Reference - CVSSv3.0'!$B$15:$C$17,2,FALSE())) *  (1 - VLOOKUP(Table4[[#This Row],[Availability]],'Reference - CVSSv3.0'!$B$15:$C$17,2,FALSE()))))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281</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275</v>
      </c>
      <c r="AA55" s="19" t="s">
        <v>276</v>
      </c>
      <c r="AB55" s="225" t="s">
        <v>464</v>
      </c>
      <c r="AC55" s="36"/>
      <c r="AD55" s="36"/>
      <c r="AE55" s="36"/>
      <c r="AF55" s="90"/>
      <c r="AG55" s="90"/>
      <c r="AH55" s="90"/>
      <c r="AI55" s="90"/>
      <c r="AJ55" s="90"/>
      <c r="AK5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1" t="e">
        <f>(1 - ((1 - VLOOKUP(Table4[[#This Row],[ConfidentialityP]],'Reference - CVSSv3.0'!$B$15:$C$17,2,FALSE())) * (1 - VLOOKUP(Table4[[#This Row],[IntegrityP]],'Reference - CVSSv3.0'!$B$15:$C$17,2,FALSE())) *  (1 - VLOOKUP(Table4[[#This Row],[AvailabilityP]],'Reference - CVSSv3.0'!$B$15:$C$17,2,FALSE()))))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409.5">
      <c r="A56" s="84">
        <v>52</v>
      </c>
      <c r="B56" s="85" t="s">
        <v>192</v>
      </c>
      <c r="C56" s="88" t="str">
        <f>IF(VLOOKUP(Table4[[#This Row],[T ID]],Table5[#All],5,FALSE())="No","Not in scope",VLOOKUP(Table4[[#This Row],[T ID]],Table5[#All],2,FALSE()))</f>
        <v>Clearing Track
(TTP)</v>
      </c>
      <c r="D56" s="57" t="s">
        <v>113</v>
      </c>
      <c r="E56" s="88" t="str">
        <f>IF(VLOOKUP(Table4[[#This Row],[V ID]],Vulnerabilities[#All],3,FALSE())="No","Not in scope",VLOOKUP(Table4[[#This Row],[V ID]],Vulnerabilities[#All],2,FALSE()))</f>
        <v>Lack of configuration controls for IT assets in the informaion system plan</v>
      </c>
      <c r="F56" s="94" t="s">
        <v>42</v>
      </c>
      <c r="G56" s="88" t="str">
        <f>VLOOKUP(Table4[[#This Row],[A ID]],Assets[#All],3,FALSE())</f>
        <v>Tablet Resources - web cam, microphone, OTG devices, Removable USB, Tablet Application, Network interfaces (Bluetooth, Wifi)</v>
      </c>
      <c r="H56" s="19" t="s">
        <v>297</v>
      </c>
      <c r="I56" s="19" t="s">
        <v>298</v>
      </c>
      <c r="J56" s="89" t="s">
        <v>271</v>
      </c>
      <c r="K56" s="89" t="s">
        <v>271</v>
      </c>
      <c r="L56" s="89" t="s">
        <v>271</v>
      </c>
      <c r="M56" s="90" t="s">
        <v>279</v>
      </c>
      <c r="N56" s="90" t="s">
        <v>271</v>
      </c>
      <c r="O56" s="90" t="s">
        <v>271</v>
      </c>
      <c r="P56" s="90" t="s">
        <v>273</v>
      </c>
      <c r="Q56" s="90" t="s">
        <v>274</v>
      </c>
      <c r="R5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1">
        <f>(1 - ((1 - VLOOKUP(Table4[[#This Row],[Confidentiality]],'Reference - CVSSv3.0'!$B$15:$C$17,2,FALSE())) * (1 - VLOOKUP(Table4[[#This Row],[Integrity]],'Reference - CVSSv3.0'!$B$15:$C$17,2,FALSE())) *  (1 - VLOOKUP(Table4[[#This Row],[Availability]],'Reference - CVSSv3.0'!$B$15:$C$17,2,FALSE()))))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271</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275</v>
      </c>
      <c r="AA56" s="19" t="s">
        <v>276</v>
      </c>
      <c r="AB56" s="225" t="s">
        <v>464</v>
      </c>
      <c r="AC56" s="36"/>
      <c r="AD56" s="36"/>
      <c r="AE56" s="36"/>
      <c r="AF56" s="90"/>
      <c r="AG56" s="90"/>
      <c r="AH56" s="90"/>
      <c r="AI56" s="90"/>
      <c r="AJ56" s="90"/>
      <c r="AK5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1" t="e">
        <f>(1 - ((1 - VLOOKUP(Table4[[#This Row],[ConfidentialityP]],'Reference - CVSSv3.0'!$B$15:$C$17,2,FALSE())) * (1 - VLOOKUP(Table4[[#This Row],[IntegrityP]],'Reference - CVSSv3.0'!$B$15:$C$17,2,FALSE())) *  (1 - VLOOKUP(Table4[[#This Row],[AvailabilityP]],'Reference - CVSSv3.0'!$B$15:$C$17,2,FALSE()))))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409.5">
      <c r="A57" s="84">
        <v>53</v>
      </c>
      <c r="B57" s="85" t="s">
        <v>192</v>
      </c>
      <c r="C57" s="88" t="str">
        <f>IF(VLOOKUP(Table4[[#This Row],[T ID]],Table5[#All],5,FALSE())="No","Not in scope",VLOOKUP(Table4[[#This Row],[T ID]],Table5[#All],2,FALSE()))</f>
        <v>Clearing Track
(TTP)</v>
      </c>
      <c r="D57" s="87" t="s">
        <v>113</v>
      </c>
      <c r="E57" s="88" t="str">
        <f>IF(VLOOKUP(Table4[[#This Row],[V ID]],Vulnerabilities[#All],3,FALSE())="No","Not in scope",VLOOKUP(Table4[[#This Row],[V ID]],Vulnerabilities[#All],2,FALSE()))</f>
        <v>Lack of configuration controls for IT assets in the informaion system plan</v>
      </c>
      <c r="F57" s="94" t="s">
        <v>57</v>
      </c>
      <c r="G57" s="88" t="str">
        <f>VLOOKUP(Table4[[#This Row],[A ID]],Assets[#All],3,FALSE())</f>
        <v>Device Maintainence tool (Hardware/Software)</v>
      </c>
      <c r="H57" s="19" t="s">
        <v>297</v>
      </c>
      <c r="I57" s="19" t="s">
        <v>298</v>
      </c>
      <c r="J57" s="89" t="s">
        <v>271</v>
      </c>
      <c r="K57" s="89" t="s">
        <v>271</v>
      </c>
      <c r="L57" s="89" t="s">
        <v>271</v>
      </c>
      <c r="M57" s="90" t="s">
        <v>279</v>
      </c>
      <c r="N57" s="90" t="s">
        <v>271</v>
      </c>
      <c r="O57" s="90" t="s">
        <v>271</v>
      </c>
      <c r="P57" s="90" t="s">
        <v>273</v>
      </c>
      <c r="Q57" s="90" t="s">
        <v>274</v>
      </c>
      <c r="R5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1">
        <f>(1 - ((1 - VLOOKUP(Table4[[#This Row],[Confidentiality]],'Reference - CVSSv3.0'!$B$15:$C$17,2,FALSE())) * (1 - VLOOKUP(Table4[[#This Row],[Integrity]],'Reference - CVSSv3.0'!$B$15:$C$17,2,FALSE())) *  (1 - VLOOKUP(Table4[[#This Row],[Availability]],'Reference - CVSSv3.0'!$B$15:$C$17,2,FALSE()))))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271</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275</v>
      </c>
      <c r="AA57" s="229" t="s">
        <v>446</v>
      </c>
      <c r="AB57" s="303" t="s">
        <v>465</v>
      </c>
      <c r="AC57" s="36"/>
      <c r="AD57" s="36"/>
      <c r="AE57" s="36"/>
      <c r="AF57" s="90"/>
      <c r="AG57" s="90"/>
      <c r="AH57" s="90"/>
      <c r="AI57" s="90"/>
      <c r="AJ57" s="90"/>
      <c r="AK5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1" t="e">
        <f>(1 - ((1 - VLOOKUP(Table4[[#This Row],[ConfidentialityP]],'Reference - CVSSv3.0'!$B$15:$C$17,2,FALSE())) * (1 - VLOOKUP(Table4[[#This Row],[IntegrityP]],'Reference - CVSSv3.0'!$B$15:$C$17,2,FALSE())) *  (1 - VLOOKUP(Table4[[#This Row],[AvailabilityP]],'Reference - CVSSv3.0'!$B$15:$C$17,2,FALSE()))))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409.5">
      <c r="A58" s="84">
        <v>54</v>
      </c>
      <c r="B58" s="85" t="s">
        <v>192</v>
      </c>
      <c r="C58" s="88" t="str">
        <f>IF(VLOOKUP(Table4[[#This Row],[T ID]],Table5[#All],5,FALSE())="No","Not in scope",VLOOKUP(Table4[[#This Row],[T ID]],Table5[#All],2,FALSE()))</f>
        <v>Clearing Track
(TTP)</v>
      </c>
      <c r="D58" s="57" t="s">
        <v>115</v>
      </c>
      <c r="E58" s="88" t="str">
        <f>IF(VLOOKUP(Table4[[#This Row],[V ID]],Vulnerabilities[#All],3,FALSE())="No","Not in scope",VLOOKUP(Table4[[#This Row],[V ID]],Vulnerabilities[#All],2,FALSE()))</f>
        <v>Ineffective patch management of firware, OS and applications thoughout the information system plan</v>
      </c>
      <c r="F58" s="94" t="s">
        <v>42</v>
      </c>
      <c r="G58" s="88" t="str">
        <f>VLOOKUP(Table4[[#This Row],[A ID]],Assets[#All],3,FALSE())</f>
        <v>Tablet Resources - web cam, microphone, OTG devices, Removable USB, Tablet Application, Network interfaces (Bluetooth, Wifi)</v>
      </c>
      <c r="H58" s="19" t="s">
        <v>297</v>
      </c>
      <c r="I58" s="19" t="s">
        <v>298</v>
      </c>
      <c r="J58" s="89" t="s">
        <v>278</v>
      </c>
      <c r="K58" s="89" t="s">
        <v>271</v>
      </c>
      <c r="L58" s="89" t="s">
        <v>271</v>
      </c>
      <c r="M58" s="90" t="s">
        <v>279</v>
      </c>
      <c r="N58" s="90" t="s">
        <v>271</v>
      </c>
      <c r="O58" s="90" t="s">
        <v>280</v>
      </c>
      <c r="P58" s="90" t="s">
        <v>278</v>
      </c>
      <c r="Q58" s="90" t="s">
        <v>274</v>
      </c>
      <c r="R5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1">
        <f>(1 - ((1 - VLOOKUP(Table4[[#This Row],[Confidentiality]],'Reference - CVSSv3.0'!$B$15:$C$17,2,FALSE())) * (1 - VLOOKUP(Table4[[#This Row],[Integrity]],'Reference - CVSSv3.0'!$B$15:$C$17,2,FALSE())) *  (1 - VLOOKUP(Table4[[#This Row],[Availability]],'Reference - CVSSv3.0'!$B$15:$C$17,2,FALSE()))))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281</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275</v>
      </c>
      <c r="AA58" s="19" t="s">
        <v>299</v>
      </c>
      <c r="AB58" s="225" t="s">
        <v>464</v>
      </c>
      <c r="AC58" s="36"/>
      <c r="AD58" s="36"/>
      <c r="AE58" s="36"/>
      <c r="AF58" s="90"/>
      <c r="AG58" s="90"/>
      <c r="AH58" s="90"/>
      <c r="AI58" s="90"/>
      <c r="AJ58" s="90"/>
      <c r="AK5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1" t="e">
        <f>(1 - ((1 - VLOOKUP(Table4[[#This Row],[ConfidentialityP]],'Reference - CVSSv3.0'!$B$15:$C$17,2,FALSE())) * (1 - VLOOKUP(Table4[[#This Row],[IntegrityP]],'Reference - CVSSv3.0'!$B$15:$C$17,2,FALSE())) *  (1 - VLOOKUP(Table4[[#This Row],[AvailabilityP]],'Reference - CVSSv3.0'!$B$15:$C$17,2,FALSE()))))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192</v>
      </c>
      <c r="C59" s="88" t="str">
        <f>IF(VLOOKUP(Table4[[#This Row],[T ID]],Table5[#All],5,FALSE())="No","Not in scope",VLOOKUP(Table4[[#This Row],[T ID]],Table5[#All],2,FALSE()))</f>
        <v>Clearing Track
(TTP)</v>
      </c>
      <c r="D59" s="57" t="s">
        <v>115</v>
      </c>
      <c r="E59" s="88" t="str">
        <f>IF(VLOOKUP(Table4[[#This Row],[V ID]],Vulnerabilities[#All],3,FALSE())="No","Not in scope",VLOOKUP(Table4[[#This Row],[V ID]],Vulnerabilities[#All],2,FALSE()))</f>
        <v>Ineffective patch management of firware, OS and applications thoughout the information system plan</v>
      </c>
      <c r="F59" s="94" t="s">
        <v>57</v>
      </c>
      <c r="G59" s="88" t="str">
        <f>VLOOKUP(Table4[[#This Row],[A ID]],Assets[#All],3,FALSE())</f>
        <v>Device Maintainence tool (Hardware/Software)</v>
      </c>
      <c r="H59" s="19" t="s">
        <v>297</v>
      </c>
      <c r="I59" s="19" t="s">
        <v>298</v>
      </c>
      <c r="J59" s="89" t="s">
        <v>271</v>
      </c>
      <c r="K59" s="89" t="s">
        <v>271</v>
      </c>
      <c r="L59" s="89" t="s">
        <v>271</v>
      </c>
      <c r="M59" s="90" t="s">
        <v>279</v>
      </c>
      <c r="N59" s="90" t="s">
        <v>271</v>
      </c>
      <c r="O59" s="90" t="s">
        <v>271</v>
      </c>
      <c r="P59" s="90" t="s">
        <v>278</v>
      </c>
      <c r="Q59" s="90" t="s">
        <v>274</v>
      </c>
      <c r="R5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1">
        <f>(1 - ((1 - VLOOKUP(Table4[[#This Row],[Confidentiality]],'Reference - CVSSv3.0'!$B$15:$C$17,2,FALSE())) * (1 - VLOOKUP(Table4[[#This Row],[Integrity]],'Reference - CVSSv3.0'!$B$15:$C$17,2,FALSE())) *  (1 - VLOOKUP(Table4[[#This Row],[Availability]],'Reference - CVSSv3.0'!$B$15:$C$17,2,FALSE()))))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271</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275</v>
      </c>
      <c r="AA59" s="229" t="s">
        <v>446</v>
      </c>
      <c r="AB59" s="303" t="s">
        <v>465</v>
      </c>
      <c r="AC59" s="36"/>
      <c r="AD59" s="36"/>
      <c r="AE59" s="36"/>
      <c r="AF59" s="90"/>
      <c r="AG59" s="90"/>
      <c r="AH59" s="90"/>
      <c r="AI59" s="90"/>
      <c r="AJ59" s="90"/>
      <c r="AK5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1" t="e">
        <f>(1 - ((1 - VLOOKUP(Table4[[#This Row],[ConfidentialityP]],'Reference - CVSSv3.0'!$B$15:$C$17,2,FALSE())) * (1 - VLOOKUP(Table4[[#This Row],[IntegrityP]],'Reference - CVSSv3.0'!$B$15:$C$17,2,FALSE())) *  (1 - VLOOKUP(Table4[[#This Row],[AvailabilityP]],'Reference - CVSSv3.0'!$B$15:$C$17,2,FALSE()))))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409.5">
      <c r="A60" s="84">
        <v>56</v>
      </c>
      <c r="B60" s="85" t="s">
        <v>192</v>
      </c>
      <c r="C60" s="88" t="str">
        <f>IF(VLOOKUP(Table4[[#This Row],[T ID]],Table5[#All],5,FALSE())="No","Not in scope",VLOOKUP(Table4[[#This Row],[T ID]],Table5[#All],2,FALSE()))</f>
        <v>Clearing Track
(TTP)</v>
      </c>
      <c r="D60" s="57" t="s">
        <v>115</v>
      </c>
      <c r="E60" s="88" t="str">
        <f>IF(VLOOKUP(Table4[[#This Row],[V ID]],Vulnerabilities[#All],3,FALSE())="No","Not in scope",VLOOKUP(Table4[[#This Row],[V ID]],Vulnerabilities[#All],2,FALSE()))</f>
        <v>Ineffective patch management of firware, OS and applications thoughout the information system plan</v>
      </c>
      <c r="F60" s="94" t="s">
        <v>46</v>
      </c>
      <c r="G60" s="88" t="str">
        <f>VLOOKUP(Table4[[#This Row],[A ID]],Assets[#All],3,FALSE())</f>
        <v>Tablet OS/network details &amp; Tablet Application</v>
      </c>
      <c r="H60" s="19" t="s">
        <v>297</v>
      </c>
      <c r="I60" s="19" t="s">
        <v>298</v>
      </c>
      <c r="J60" s="89" t="s">
        <v>271</v>
      </c>
      <c r="K60" s="89" t="s">
        <v>271</v>
      </c>
      <c r="L60" s="89" t="s">
        <v>271</v>
      </c>
      <c r="M60" s="90" t="s">
        <v>279</v>
      </c>
      <c r="N60" s="90" t="s">
        <v>271</v>
      </c>
      <c r="O60" s="90" t="s">
        <v>271</v>
      </c>
      <c r="P60" s="90" t="s">
        <v>278</v>
      </c>
      <c r="Q60" s="90" t="s">
        <v>274</v>
      </c>
      <c r="R6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1">
        <f>(1 - ((1 - VLOOKUP(Table4[[#This Row],[Confidentiality]],'Reference - CVSSv3.0'!$B$15:$C$17,2,FALSE())) * (1 - VLOOKUP(Table4[[#This Row],[Integrity]],'Reference - CVSSv3.0'!$B$15:$C$17,2,FALSE())) *  (1 - VLOOKUP(Table4[[#This Row],[Availability]],'Reference - CVSSv3.0'!$B$15:$C$17,2,FALSE()))))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271</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275</v>
      </c>
      <c r="AA60" s="19" t="s">
        <v>276</v>
      </c>
      <c r="AB60" s="225" t="s">
        <v>464</v>
      </c>
      <c r="AC60" s="36"/>
      <c r="AD60" s="36"/>
      <c r="AE60" s="36"/>
      <c r="AF60" s="90"/>
      <c r="AG60" s="90"/>
      <c r="AH60" s="90"/>
      <c r="AI60" s="90"/>
      <c r="AJ60" s="90"/>
      <c r="AK6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1" t="e">
        <f>(1 - ((1 - VLOOKUP(Table4[[#This Row],[ConfidentialityP]],'Reference - CVSSv3.0'!$B$15:$C$17,2,FALSE())) * (1 - VLOOKUP(Table4[[#This Row],[IntegrityP]],'Reference - CVSSv3.0'!$B$15:$C$17,2,FALSE())) *  (1 - VLOOKUP(Table4[[#This Row],[AvailabilityP]],'Reference - CVSSv3.0'!$B$15:$C$17,2,FALSE()))))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192</v>
      </c>
      <c r="C61" s="88" t="str">
        <f>IF(VLOOKUP(Table4[[#This Row],[T ID]],Table5[#All],5,FALSE())="No","Not in scope",VLOOKUP(Table4[[#This Row],[T ID]],Table5[#All],2,FALSE()))</f>
        <v>Clearing Track
(TTP)</v>
      </c>
      <c r="D61" s="57" t="s">
        <v>119</v>
      </c>
      <c r="E61" s="88" t="str">
        <f>IF(VLOOKUP(Table4[[#This Row],[V ID]],Vulnerabilities[#All],3,FALSE())="No","Not in scope",VLOOKUP(Table4[[#This Row],[V ID]],Vulnerabilities[#All],2,FALSE()))</f>
        <v>The  static connection digaram between devices and applications with provision for periodic updation as per changes</v>
      </c>
      <c r="F61" s="94" t="s">
        <v>57</v>
      </c>
      <c r="G61" s="88" t="str">
        <f>VLOOKUP(Table4[[#This Row],[A ID]],Assets[#All],3,FALSE())</f>
        <v>Device Maintainence tool (Hardware/Software)</v>
      </c>
      <c r="H61" s="19" t="s">
        <v>297</v>
      </c>
      <c r="I61" s="19" t="s">
        <v>298</v>
      </c>
      <c r="J61" s="89" t="s">
        <v>271</v>
      </c>
      <c r="K61" s="89" t="s">
        <v>271</v>
      </c>
      <c r="L61" s="89" t="s">
        <v>271</v>
      </c>
      <c r="M61" s="90" t="s">
        <v>279</v>
      </c>
      <c r="N61" s="90" t="s">
        <v>271</v>
      </c>
      <c r="O61" s="90" t="s">
        <v>271</v>
      </c>
      <c r="P61" s="90" t="s">
        <v>278</v>
      </c>
      <c r="Q61" s="90" t="s">
        <v>274</v>
      </c>
      <c r="R6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1">
        <f>(1 - ((1 - VLOOKUP(Table4[[#This Row],[Confidentiality]],'Reference - CVSSv3.0'!$B$15:$C$17,2,FALSE())) * (1 - VLOOKUP(Table4[[#This Row],[Integrity]],'Reference - CVSSv3.0'!$B$15:$C$17,2,FALSE())) *  (1 - VLOOKUP(Table4[[#This Row],[Availability]],'Reference - CVSSv3.0'!$B$15:$C$17,2,FALSE()))))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271</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275</v>
      </c>
      <c r="AA61" s="229" t="s">
        <v>446</v>
      </c>
      <c r="AB61" s="303" t="s">
        <v>465</v>
      </c>
      <c r="AC61" s="36"/>
      <c r="AD61" s="36"/>
      <c r="AE61" s="36"/>
      <c r="AF61" s="90"/>
      <c r="AG61" s="90"/>
      <c r="AH61" s="90"/>
      <c r="AI61" s="90"/>
      <c r="AJ61" s="90"/>
      <c r="AK6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1" t="e">
        <f>(1 - ((1 - VLOOKUP(Table4[[#This Row],[ConfidentialityP]],'Reference - CVSSv3.0'!$B$15:$C$17,2,FALSE())) * (1 - VLOOKUP(Table4[[#This Row],[IntegrityP]],'Reference - CVSSv3.0'!$B$15:$C$17,2,FALSE())) *  (1 - VLOOKUP(Table4[[#This Row],[AvailabilityP]],'Reference - CVSSv3.0'!$B$15:$C$17,2,FALSE()))))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409.5">
      <c r="A62" s="84">
        <v>58</v>
      </c>
      <c r="B62" s="85" t="s">
        <v>192</v>
      </c>
      <c r="C62" s="88" t="str">
        <f>IF(VLOOKUP(Table4[[#This Row],[T ID]],Table5[#All],5,FALSE())="No","Not in scope",VLOOKUP(Table4[[#This Row],[T ID]],Table5[#All],2,FALSE()))</f>
        <v>Clearing Track
(TTP)</v>
      </c>
      <c r="D62" s="57" t="s">
        <v>119</v>
      </c>
      <c r="E62" s="88" t="str">
        <f>IF(VLOOKUP(Table4[[#This Row],[V ID]],Vulnerabilities[#All],3,FALSE())="No","Not in scope",VLOOKUP(Table4[[#This Row],[V ID]],Vulnerabilities[#All],2,FALSE()))</f>
        <v>The  static connection digaram between devices and applications with provision for periodic updation as per changes</v>
      </c>
      <c r="F62" s="94" t="s">
        <v>42</v>
      </c>
      <c r="G62" s="88" t="str">
        <f>VLOOKUP(Table4[[#This Row],[A ID]],Assets[#All],3,FALSE())</f>
        <v>Tablet Resources - web cam, microphone, OTG devices, Removable USB, Tablet Application, Network interfaces (Bluetooth, Wifi)</v>
      </c>
      <c r="H62" s="19" t="s">
        <v>297</v>
      </c>
      <c r="I62" s="19" t="s">
        <v>298</v>
      </c>
      <c r="J62" s="89" t="s">
        <v>271</v>
      </c>
      <c r="K62" s="89" t="s">
        <v>271</v>
      </c>
      <c r="L62" s="89" t="s">
        <v>271</v>
      </c>
      <c r="M62" s="90" t="s">
        <v>279</v>
      </c>
      <c r="N62" s="90" t="s">
        <v>271</v>
      </c>
      <c r="O62" s="90" t="s">
        <v>271</v>
      </c>
      <c r="P62" s="90" t="s">
        <v>278</v>
      </c>
      <c r="Q62" s="90" t="s">
        <v>274</v>
      </c>
      <c r="R6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1">
        <f>(1 - ((1 - VLOOKUP(Table4[[#This Row],[Confidentiality]],'Reference - CVSSv3.0'!$B$15:$C$17,2,FALSE())) * (1 - VLOOKUP(Table4[[#This Row],[Integrity]],'Reference - CVSSv3.0'!$B$15:$C$17,2,FALSE())) *  (1 - VLOOKUP(Table4[[#This Row],[Availability]],'Reference - CVSSv3.0'!$B$15:$C$17,2,FALSE()))))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271</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275</v>
      </c>
      <c r="AA62" s="19" t="s">
        <v>287</v>
      </c>
      <c r="AB62" s="225" t="s">
        <v>464</v>
      </c>
      <c r="AC62" s="36"/>
      <c r="AD62" s="36"/>
      <c r="AE62" s="36"/>
      <c r="AF62" s="90"/>
      <c r="AG62" s="90"/>
      <c r="AH62" s="90"/>
      <c r="AI62" s="90"/>
      <c r="AJ62" s="90"/>
      <c r="AK6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1" t="e">
        <f>(1 - ((1 - VLOOKUP(Table4[[#This Row],[ConfidentialityP]],'Reference - CVSSv3.0'!$B$15:$C$17,2,FALSE())) * (1 - VLOOKUP(Table4[[#This Row],[IntegrityP]],'Reference - CVSSv3.0'!$B$15:$C$17,2,FALSE())) *  (1 - VLOOKUP(Table4[[#This Row],[AvailabilityP]],'Reference - CVSSv3.0'!$B$15:$C$17,2,FALSE()))))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64" customFormat="1" ht="216.5" customHeight="1">
      <c r="A63" s="245">
        <v>59</v>
      </c>
      <c r="B63" s="246" t="s">
        <v>195</v>
      </c>
      <c r="C63" s="88" t="str">
        <f>IF(VLOOKUP(Table4[[#This Row],[T ID]],Table5[#All],5,FALSE())="No","Not in scope",VLOOKUP(Table4[[#This Row],[T ID]],Table5[#All],2,FALSE()))</f>
        <v>Elevation of privilege
(STRID[E])</v>
      </c>
      <c r="D63" s="249" t="s">
        <v>130</v>
      </c>
      <c r="E63" s="88" t="str">
        <f>IF(VLOOKUP(Table4[[#This Row],[V ID]],Vulnerabilities[#All],3,FALSE())="No","Not in scope",VLOOKUP(Table4[[#This Row],[V ID]],Vulnerabilities[#All],2,FALSE()))</f>
        <v>Controlled Use of Administrative Privileges over the network</v>
      </c>
      <c r="F63" s="268" t="s">
        <v>54</v>
      </c>
      <c r="G63" s="88" t="str">
        <f>VLOOKUP(Table4[[#This Row],[A ID]],Assets[#All],3,FALSE())</f>
        <v>Authentication/Authorisation method of all device(s)/app</v>
      </c>
      <c r="H63" s="247" t="s">
        <v>300</v>
      </c>
      <c r="I63" s="247"/>
      <c r="J63" s="251" t="s">
        <v>271</v>
      </c>
      <c r="K63" s="251" t="s">
        <v>271</v>
      </c>
      <c r="L63" s="251" t="s">
        <v>271</v>
      </c>
      <c r="M63" s="251" t="s">
        <v>277</v>
      </c>
      <c r="N63" s="251" t="s">
        <v>271</v>
      </c>
      <c r="O63" s="251" t="s">
        <v>271</v>
      </c>
      <c r="P63" s="251" t="s">
        <v>273</v>
      </c>
      <c r="Q63" s="251" t="s">
        <v>274</v>
      </c>
      <c r="R63" s="26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252">
        <f>(1 - ((1 - VLOOKUP(Table4[[#This Row],[Confidentiality]],'Reference - CVSSv3.0'!$B$15:$C$17,2,FALSE())) * (1 - VLOOKUP(Table4[[#This Row],[Integrity]],'Reference - CVSSv3.0'!$B$15:$C$17,2,FALSE())) *  (1 - VLOOKUP(Table4[[#This Row],[Availability]],'Reference - CVSSv3.0'!$B$15:$C$17,2,FALSE()))))</f>
        <v>0.52544799999999992</v>
      </c>
      <c r="T63" s="252">
        <f>IF(Table4[[#This Row],[Scope]]="Unchanged",6.42*Table4[[#This Row],[ISC Base]],IF(Table4[[#This Row],[Scope]]="Changed",7.52*(Table4[[#This Row],[ISC Base]] - 0.029) - 3.25 * POWER(Table4[[#This Row],[ISC Base]] - 0.02,15),NA()))</f>
        <v>3.3733761599999994</v>
      </c>
      <c r="U63" s="252">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46" t="s">
        <v>271</v>
      </c>
      <c r="W63" s="252">
        <f>VLOOKUP(Table4[[#This Row],[Threat Event Initiation]],NIST_Scale_LOAI[],2,FALSE())</f>
        <v>0.2</v>
      </c>
      <c r="X63" s="25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6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47" t="s">
        <v>301</v>
      </c>
      <c r="AA63" s="274" t="s">
        <v>447</v>
      </c>
      <c r="AB63" s="225" t="s">
        <v>470</v>
      </c>
      <c r="AC63" s="250"/>
      <c r="AD63" s="250"/>
      <c r="AE63" s="250"/>
      <c r="AF63" s="251"/>
      <c r="AG63" s="251"/>
      <c r="AH63" s="251"/>
      <c r="AI63" s="251"/>
      <c r="AJ63" s="251"/>
      <c r="AK63" s="25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52" t="e">
        <f>(1 - ((1 - VLOOKUP(Table4[[#This Row],[ConfidentialityP]],'Reference - CVSSv3.0'!$B$15:$C$17,2,FALSE())) * (1 - VLOOKUP(Table4[[#This Row],[IntegrityP]],'Reference - CVSSv3.0'!$B$15:$C$17,2,FALSE())) *  (1 - VLOOKUP(Table4[[#This Row],[AvailabilityP]],'Reference - CVSSv3.0'!$B$15:$C$17,2,FALSE()))))</f>
        <v>#N/A</v>
      </c>
      <c r="AM63" s="252" t="e">
        <f>IF(Table4[[#This Row],[ScopeP]]="Unchanged",6.42*Table4[[#This Row],[ISC BaseP]],IF(Table4[[#This Row],[ScopeP]]="Changed",7.52*(Table4[[#This Row],[ISC BaseP]] - 0.029) - 3.25 * POWER(Table4[[#This Row],[ISC BaseP]] - 0.02,15),NA()))</f>
        <v>#N/A</v>
      </c>
      <c r="AN63" s="25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5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5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0"/>
    </row>
    <row r="64" spans="1:43" ht="169.5" customHeight="1">
      <c r="A64" s="84">
        <v>60</v>
      </c>
      <c r="B64" s="85" t="s">
        <v>195</v>
      </c>
      <c r="C64" s="88" t="str">
        <f>IF(VLOOKUP(Table4[[#This Row],[T ID]],Table5[#All],5,FALSE())="No","Not in scope",VLOOKUP(Table4[[#This Row],[T ID]],Table5[#All],2,FALSE()))</f>
        <v>Elevation of privilege
(STRID[E])</v>
      </c>
      <c r="D64" s="87" t="s">
        <v>130</v>
      </c>
      <c r="E64" s="88" t="str">
        <f>IF(VLOOKUP(Table4[[#This Row],[V ID]],Vulnerabilities[#All],3,FALSE())="No","Not in scope",VLOOKUP(Table4[[#This Row],[V ID]],Vulnerabilities[#All],2,FALSE()))</f>
        <v>Controlled Use of Administrative Privileges over the network</v>
      </c>
      <c r="F64" s="103" t="s">
        <v>78</v>
      </c>
      <c r="G64" s="88" t="str">
        <f>VLOOKUP(Table4[[#This Row],[A ID]],Assets[#All],3,FALSE())</f>
        <v>Smart medic app (Azure Portal Administrator)</v>
      </c>
      <c r="H64" s="19" t="s">
        <v>300</v>
      </c>
      <c r="I64" s="19"/>
      <c r="J64" s="89" t="s">
        <v>278</v>
      </c>
      <c r="K64" s="89" t="s">
        <v>271</v>
      </c>
      <c r="L64" s="89" t="s">
        <v>280</v>
      </c>
      <c r="M64" s="90" t="s">
        <v>277</v>
      </c>
      <c r="N64" s="90" t="s">
        <v>271</v>
      </c>
      <c r="O64" s="90" t="s">
        <v>280</v>
      </c>
      <c r="P64" s="90" t="s">
        <v>273</v>
      </c>
      <c r="Q64" s="90" t="s">
        <v>274</v>
      </c>
      <c r="R6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1">
        <f>(1 - ((1 - VLOOKUP(Table4[[#This Row],[Confidentiality]],'Reference - CVSSv3.0'!$B$15:$C$17,2,FALSE())) * (1 - VLOOKUP(Table4[[#This Row],[Integrity]],'Reference - CVSSv3.0'!$B$15:$C$17,2,FALSE())) *  (1 - VLOOKUP(Table4[[#This Row],[Availability]],'Reference - CVSSv3.0'!$B$15:$C$17,2,FALSE()))))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281</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301</v>
      </c>
      <c r="AA64" s="225" t="s">
        <v>454</v>
      </c>
      <c r="AB64" s="225" t="s">
        <v>468</v>
      </c>
      <c r="AC64" s="36"/>
      <c r="AD64" s="36"/>
      <c r="AE64" s="36"/>
      <c r="AF64" s="90"/>
      <c r="AG64" s="90"/>
      <c r="AH64" s="90"/>
      <c r="AI64" s="90"/>
      <c r="AJ64" s="90"/>
      <c r="AK6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1" t="e">
        <f>(1 - ((1 - VLOOKUP(Table4[[#This Row],[ConfidentialityP]],'Reference - CVSSv3.0'!$B$15:$C$17,2,FALSE())) * (1 - VLOOKUP(Table4[[#This Row],[IntegrityP]],'Reference - CVSSv3.0'!$B$15:$C$17,2,FALSE())) *  (1 - VLOOKUP(Table4[[#This Row],[AvailabilityP]],'Reference - CVSSv3.0'!$B$15:$C$17,2,FALSE()))))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66">
      <c r="A65" s="84">
        <v>61</v>
      </c>
      <c r="B65" s="85" t="s">
        <v>198</v>
      </c>
      <c r="C65" s="88" t="str">
        <f>IF(VLOOKUP(Table4[[#This Row],[T ID]],Table5[#All],5,FALSE())="No","Not in scope",VLOOKUP(Table4[[#This Row],[T ID]],Table5[#All],2,FALSE()))</f>
        <v>Denial of service
(STRI(D)E)</v>
      </c>
      <c r="D65" s="87" t="s">
        <v>124</v>
      </c>
      <c r="E65" s="88" t="str">
        <f>IF(VLOOKUP(Table4[[#This Row],[V ID]],Vulnerabilities[#All],3,FALSE())="No","Not in scope",VLOOKUP(Table4[[#This Row],[V ID]],Vulnerabilities[#All],2,FALSE()))</f>
        <v>Unprotected network port(s) on network devices and connection points</v>
      </c>
      <c r="F65" s="94" t="s">
        <v>46</v>
      </c>
      <c r="G65" s="88" t="str">
        <f>VLOOKUP(Table4[[#This Row],[A ID]],Assets[#All],3,FALSE())</f>
        <v>Tablet OS/network details &amp; Tablet Application</v>
      </c>
      <c r="H65" s="19" t="s">
        <v>302</v>
      </c>
      <c r="I65" s="19"/>
      <c r="J65" s="89" t="s">
        <v>278</v>
      </c>
      <c r="K65" s="89" t="s">
        <v>278</v>
      </c>
      <c r="L65" s="89" t="s">
        <v>280</v>
      </c>
      <c r="M65" s="90" t="s">
        <v>277</v>
      </c>
      <c r="N65" s="90" t="s">
        <v>271</v>
      </c>
      <c r="O65" s="90" t="s">
        <v>271</v>
      </c>
      <c r="P65" s="90" t="s">
        <v>278</v>
      </c>
      <c r="Q65" s="90" t="s">
        <v>274</v>
      </c>
      <c r="R6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1">
        <f>(1 - ((1 - VLOOKUP(Table4[[#This Row],[Confidentiality]],'Reference - CVSSv3.0'!$B$15:$C$17,2,FALSE())) * (1 - VLOOKUP(Table4[[#This Row],[Integrity]],'Reference - CVSSv3.0'!$B$15:$C$17,2,FALSE())) *  (1 - VLOOKUP(Table4[[#This Row],[Availability]],'Reference - CVSSv3.0'!$B$15:$C$17,2,FALSE()))))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271</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303</v>
      </c>
      <c r="AA65" s="19" t="s">
        <v>276</v>
      </c>
      <c r="AB65" s="225" t="s">
        <v>464</v>
      </c>
      <c r="AC65" s="36"/>
      <c r="AD65" s="36"/>
      <c r="AE65" s="36"/>
      <c r="AF65" s="90"/>
      <c r="AG65" s="90"/>
      <c r="AH65" s="90"/>
      <c r="AI65" s="90"/>
      <c r="AJ65" s="90"/>
      <c r="AK6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1" t="e">
        <f>(1 - ((1 - VLOOKUP(Table4[[#This Row],[ConfidentialityP]],'Reference - CVSSv3.0'!$B$15:$C$17,2,FALSE())) * (1 - VLOOKUP(Table4[[#This Row],[IntegrityP]],'Reference - CVSSv3.0'!$B$15:$C$17,2,FALSE())) *  (1 - VLOOKUP(Table4[[#This Row],[AvailabilityP]],'Reference - CVSSv3.0'!$B$15:$C$17,2,FALSE()))))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308">
      <c r="A66" s="84">
        <v>62</v>
      </c>
      <c r="B66" s="85" t="s">
        <v>201</v>
      </c>
      <c r="C66" s="88" t="str">
        <f>IF(VLOOKUP(Table4[[#This Row],[T ID]],Table5[#All],5,FALSE())="No","Not in scope",VLOOKUP(Table4[[#This Row],[T ID]],Table5[#All],2,FALSE()))</f>
        <v>Information disclosure
(STR(I)DE)</v>
      </c>
      <c r="D66" s="87" t="s">
        <v>133</v>
      </c>
      <c r="E66" s="88" t="str">
        <f>IF(VLOOKUP(Table4[[#This Row],[V ID]],Vulnerabilities[#All],3,FALSE())="No","Not in scope",VLOOKUP(Table4[[#This Row],[V ID]],Vulnerabilities[#All],2,FALSE()))</f>
        <v>Unencrypted data at rest in all possible locations</v>
      </c>
      <c r="F66" s="100" t="s">
        <v>69</v>
      </c>
      <c r="G66" s="88" t="str">
        <f>VLOOKUP(Table4[[#This Row],[A ID]],Assets[#All],3,FALSE())</f>
        <v>Data at Rest</v>
      </c>
      <c r="H66" s="19" t="s">
        <v>304</v>
      </c>
      <c r="I66" s="19"/>
      <c r="J66" s="89" t="s">
        <v>271</v>
      </c>
      <c r="K66" s="89" t="s">
        <v>271</v>
      </c>
      <c r="L66" s="89" t="s">
        <v>271</v>
      </c>
      <c r="M66" s="90" t="s">
        <v>279</v>
      </c>
      <c r="N66" s="90" t="s">
        <v>280</v>
      </c>
      <c r="O66" s="90" t="s">
        <v>280</v>
      </c>
      <c r="P66" s="90" t="s">
        <v>278</v>
      </c>
      <c r="Q66" s="90" t="s">
        <v>274</v>
      </c>
      <c r="R6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1">
        <f>(1 - ((1 - VLOOKUP(Table4[[#This Row],[Confidentiality]],'Reference - CVSSv3.0'!$B$15:$C$17,2,FALSE())) * (1 - VLOOKUP(Table4[[#This Row],[Integrity]],'Reference - CVSSv3.0'!$B$15:$C$17,2,FALSE())) *  (1 - VLOOKUP(Table4[[#This Row],[Availability]],'Reference - CVSSv3.0'!$B$15:$C$17,2,FALSE()))))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281</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305</v>
      </c>
      <c r="AA66" s="270" t="s">
        <v>436</v>
      </c>
      <c r="AB66" s="225" t="s">
        <v>471</v>
      </c>
      <c r="AC66" s="36"/>
      <c r="AD66" s="36"/>
      <c r="AE66" s="36"/>
      <c r="AF66" s="90"/>
      <c r="AG66" s="90"/>
      <c r="AH66" s="90"/>
      <c r="AI66" s="90"/>
      <c r="AJ66" s="90"/>
      <c r="AK6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1" t="e">
        <f>(1 - ((1 - VLOOKUP(Table4[[#This Row],[ConfidentialityP]],'Reference - CVSSv3.0'!$B$15:$C$17,2,FALSE())) * (1 - VLOOKUP(Table4[[#This Row],[IntegrityP]],'Reference - CVSSv3.0'!$B$15:$C$17,2,FALSE())) *  (1 - VLOOKUP(Table4[[#This Row],[AvailabilityP]],'Reference - CVSSv3.0'!$B$15:$C$17,2,FALSE()))))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80">
      <c r="A67" s="84">
        <v>63</v>
      </c>
      <c r="B67" s="85" t="s">
        <v>201</v>
      </c>
      <c r="C67" s="88" t="str">
        <f>IF(VLOOKUP(Table4[[#This Row],[T ID]],Table5[#All],5,FALSE())="No","Not in scope",VLOOKUP(Table4[[#This Row],[T ID]],Table5[#All],2,FALSE()))</f>
        <v>Information disclosure
(STR(I)DE)</v>
      </c>
      <c r="D67" s="87" t="s">
        <v>135</v>
      </c>
      <c r="E67" s="88" t="str">
        <f>IF(VLOOKUP(Table4[[#This Row],[V ID]],Vulnerabilities[#All],3,FALSE())="No","Not in scope",VLOOKUP(Table4[[#This Row],[V ID]],Vulnerabilities[#All],2,FALSE()))</f>
        <v>Unencrypted data in transit in all flowchannels</v>
      </c>
      <c r="F67" s="100" t="s">
        <v>72</v>
      </c>
      <c r="G67" s="88" t="str">
        <f>VLOOKUP(Table4[[#This Row],[A ID]],Assets[#All],3,FALSE())</f>
        <v>Data in Transit</v>
      </c>
      <c r="H67" s="19" t="s">
        <v>304</v>
      </c>
      <c r="I67" s="19"/>
      <c r="J67" s="89" t="s">
        <v>271</v>
      </c>
      <c r="K67" s="89" t="s">
        <v>278</v>
      </c>
      <c r="L67" s="89" t="s">
        <v>271</v>
      </c>
      <c r="M67" s="90" t="s">
        <v>277</v>
      </c>
      <c r="N67" s="90" t="s">
        <v>280</v>
      </c>
      <c r="O67" s="90" t="s">
        <v>271</v>
      </c>
      <c r="P67" s="90" t="s">
        <v>278</v>
      </c>
      <c r="Q67" s="90" t="s">
        <v>274</v>
      </c>
      <c r="R6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1">
        <f>(1 - ((1 - VLOOKUP(Table4[[#This Row],[Confidentiality]],'Reference - CVSSv3.0'!$B$15:$C$17,2,FALSE())) * (1 - VLOOKUP(Table4[[#This Row],[Integrity]],'Reference - CVSSv3.0'!$B$15:$C$17,2,FALSE())) *  (1 - VLOOKUP(Table4[[#This Row],[Availability]],'Reference - CVSSv3.0'!$B$15:$C$17,2,FALSE()))))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281</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306</v>
      </c>
      <c r="AA67" s="19" t="s">
        <v>307</v>
      </c>
      <c r="AB67" s="225" t="s">
        <v>472</v>
      </c>
      <c r="AC67" s="36"/>
      <c r="AD67" s="36"/>
      <c r="AE67" s="36"/>
      <c r="AF67" s="90"/>
      <c r="AG67" s="90"/>
      <c r="AH67" s="90"/>
      <c r="AI67" s="90"/>
      <c r="AJ67" s="90"/>
      <c r="AK6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1" t="e">
        <f>(1 - ((1 - VLOOKUP(Table4[[#This Row],[ConfidentialityP]],'Reference - CVSSv3.0'!$B$15:$C$17,2,FALSE())) * (1 - VLOOKUP(Table4[[#This Row],[IntegrityP]],'Reference - CVSSv3.0'!$B$15:$C$17,2,FALSE())) *  (1 - VLOOKUP(Table4[[#This Row],[AvailabilityP]],'Reference - CVSSv3.0'!$B$15:$C$17,2,FALSE()))))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50">
      <c r="A68" s="84">
        <v>64</v>
      </c>
      <c r="B68" s="85" t="s">
        <v>201</v>
      </c>
      <c r="C68" s="88" t="str">
        <f>IF(VLOOKUP(Table4[[#This Row],[T ID]],Table5[#All],5,FALSE())="No","Not in scope",VLOOKUP(Table4[[#This Row],[T ID]],Table5[#All],2,FALSE()))</f>
        <v>Information disclosure
(STR(I)DE)</v>
      </c>
      <c r="D68" s="87" t="s">
        <v>137</v>
      </c>
      <c r="E68" s="88" t="str">
        <f>IF(VLOOKUP(Table4[[#This Row],[V ID]],Vulnerabilities[#All],3,FALSE())="No","Not in scope",VLOOKUP(Table4[[#This Row],[V ID]],Vulnerabilities[#All],2,FALSE()))</f>
        <v>Weak Encryption Implementaion in data at rest and in transit tactical and design wise</v>
      </c>
      <c r="F68" s="100" t="s">
        <v>69</v>
      </c>
      <c r="G68" s="88" t="str">
        <f>VLOOKUP(Table4[[#This Row],[A ID]],Assets[#All],3,FALSE())</f>
        <v>Data at Rest</v>
      </c>
      <c r="H68" s="19" t="s">
        <v>304</v>
      </c>
      <c r="I68" s="19"/>
      <c r="J68" s="89" t="s">
        <v>271</v>
      </c>
      <c r="K68" s="89" t="s">
        <v>271</v>
      </c>
      <c r="L68" s="89" t="s">
        <v>271</v>
      </c>
      <c r="M68" s="90" t="s">
        <v>279</v>
      </c>
      <c r="N68" s="90" t="s">
        <v>280</v>
      </c>
      <c r="O68" s="90" t="s">
        <v>280</v>
      </c>
      <c r="P68" s="90" t="s">
        <v>278</v>
      </c>
      <c r="Q68" s="90" t="s">
        <v>274</v>
      </c>
      <c r="R6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1">
        <f>(1 - ((1 - VLOOKUP(Table4[[#This Row],[Confidentiality]],'Reference - CVSSv3.0'!$B$15:$C$17,2,FALSE())) * (1 - VLOOKUP(Table4[[#This Row],[Integrity]],'Reference - CVSSv3.0'!$B$15:$C$17,2,FALSE())) *  (1 - VLOOKUP(Table4[[#This Row],[Availability]],'Reference - CVSSv3.0'!$B$15:$C$17,2,FALSE()))))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281</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71" t="s">
        <v>437</v>
      </c>
      <c r="AA68" s="225" t="s">
        <v>457</v>
      </c>
      <c r="AB68" s="225" t="s">
        <v>472</v>
      </c>
      <c r="AC68" s="36"/>
      <c r="AD68" s="36"/>
      <c r="AE68" s="36"/>
      <c r="AF68" s="90"/>
      <c r="AG68" s="90"/>
      <c r="AH68" s="90"/>
      <c r="AI68" s="90"/>
      <c r="AJ68" s="90"/>
      <c r="AK6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1" t="e">
        <f>(1 - ((1 - VLOOKUP(Table4[[#This Row],[ConfidentialityP]],'Reference - CVSSv3.0'!$B$15:$C$17,2,FALSE())) * (1 - VLOOKUP(Table4[[#This Row],[IntegrityP]],'Reference - CVSSv3.0'!$B$15:$C$17,2,FALSE())) *  (1 - VLOOKUP(Table4[[#This Row],[AvailabilityP]],'Reference - CVSSv3.0'!$B$15:$C$17,2,FALSE()))))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280">
      <c r="A69" s="84">
        <v>65</v>
      </c>
      <c r="B69" s="85" t="s">
        <v>201</v>
      </c>
      <c r="C69" s="88" t="str">
        <f>IF(VLOOKUP(Table4[[#This Row],[T ID]],Table5[#All],5,FALSE())="No","Not in scope",VLOOKUP(Table4[[#This Row],[T ID]],Table5[#All],2,FALSE()))</f>
        <v>Information disclosure
(STR(I)DE)</v>
      </c>
      <c r="D69" s="87" t="s">
        <v>137</v>
      </c>
      <c r="E69" s="88" t="str">
        <f>IF(VLOOKUP(Table4[[#This Row],[V ID]],Vulnerabilities[#All],3,FALSE())="No","Not in scope",VLOOKUP(Table4[[#This Row],[V ID]],Vulnerabilities[#All],2,FALSE()))</f>
        <v>Weak Encryption Implementaion in data at rest and in transit tactical and design wise</v>
      </c>
      <c r="F69" s="100" t="s">
        <v>72</v>
      </c>
      <c r="G69" s="88" t="str">
        <f>VLOOKUP(Table4[[#This Row],[A ID]],Assets[#All],3,FALSE())</f>
        <v>Data in Transit</v>
      </c>
      <c r="H69" s="19" t="s">
        <v>304</v>
      </c>
      <c r="I69" s="19"/>
      <c r="J69" s="89" t="s">
        <v>271</v>
      </c>
      <c r="K69" s="89" t="s">
        <v>278</v>
      </c>
      <c r="L69" s="89" t="s">
        <v>271</v>
      </c>
      <c r="M69" s="90" t="s">
        <v>277</v>
      </c>
      <c r="N69" s="90" t="s">
        <v>280</v>
      </c>
      <c r="O69" s="90" t="s">
        <v>271</v>
      </c>
      <c r="P69" s="90" t="s">
        <v>278</v>
      </c>
      <c r="Q69" s="90" t="s">
        <v>274</v>
      </c>
      <c r="R6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1">
        <f>(1 - ((1 - VLOOKUP(Table4[[#This Row],[Confidentiality]],'Reference - CVSSv3.0'!$B$15:$C$17,2,FALSE())) * (1 - VLOOKUP(Table4[[#This Row],[Integrity]],'Reference - CVSSv3.0'!$B$15:$C$17,2,FALSE())) *  (1 - VLOOKUP(Table4[[#This Row],[Availability]],'Reference - CVSSv3.0'!$B$15:$C$17,2,FALSE()))))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281</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308</v>
      </c>
      <c r="AA69" s="19" t="s">
        <v>309</v>
      </c>
      <c r="AB69" s="225" t="s">
        <v>472</v>
      </c>
      <c r="AC69" s="36"/>
      <c r="AD69" s="36"/>
      <c r="AE69" s="36"/>
      <c r="AF69" s="90"/>
      <c r="AG69" s="90"/>
      <c r="AH69" s="90"/>
      <c r="AI69" s="90"/>
      <c r="AJ69" s="90"/>
      <c r="AK6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1" t="e">
        <f>(1 - ((1 - VLOOKUP(Table4[[#This Row],[ConfidentialityP]],'Reference - CVSSv3.0'!$B$15:$C$17,2,FALSE())) * (1 - VLOOKUP(Table4[[#This Row],[IntegrityP]],'Reference - CVSSv3.0'!$B$15:$C$17,2,FALSE())) *  (1 - VLOOKUP(Table4[[#This Row],[AvailabilityP]],'Reference - CVSSv3.0'!$B$15:$C$17,2,FALSE()))))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64" customFormat="1" ht="280">
      <c r="A70" s="245">
        <v>66</v>
      </c>
      <c r="B70" s="246" t="s">
        <v>201</v>
      </c>
      <c r="C70" s="247" t="str">
        <f>IF(VLOOKUP(Table4[[#This Row],[T ID]],Table5[#All],5,FALSE())="No","Not in scope",VLOOKUP(Table4[[#This Row],[T ID]],Table5[#All],2,FALSE()))</f>
        <v>Information disclosure
(STR(I)DE)</v>
      </c>
      <c r="D70" s="249" t="s">
        <v>139</v>
      </c>
      <c r="E70" s="247" t="str">
        <f>IF(VLOOKUP(Table4[[#This Row],[V ID]],Vulnerabilities[#All],3,FALSE())="No","Not in scope",VLOOKUP(Table4[[#This Row],[V ID]],Vulnerabilities[#All],2,FALSE()))</f>
        <v>Weak Algorthim implementation with respect cipher key size</v>
      </c>
      <c r="F70" s="268" t="s">
        <v>69</v>
      </c>
      <c r="G70" s="247" t="str">
        <f>VLOOKUP(Table4[[#This Row],[A ID]],Assets[#All],3,FALSE())</f>
        <v>Data at Rest</v>
      </c>
      <c r="H70" s="247" t="s">
        <v>304</v>
      </c>
      <c r="I70" s="247"/>
      <c r="J70" s="251" t="s">
        <v>271</v>
      </c>
      <c r="K70" s="251" t="s">
        <v>271</v>
      </c>
      <c r="L70" s="251" t="s">
        <v>271</v>
      </c>
      <c r="M70" s="251" t="s">
        <v>279</v>
      </c>
      <c r="N70" s="251" t="s">
        <v>280</v>
      </c>
      <c r="O70" s="251" t="s">
        <v>280</v>
      </c>
      <c r="P70" s="251" t="s">
        <v>278</v>
      </c>
      <c r="Q70" s="251" t="s">
        <v>274</v>
      </c>
      <c r="R70" s="26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252">
        <f>(1 - ((1 - VLOOKUP(Table4[[#This Row],[Confidentiality]],'Reference - CVSSv3.0'!$B$15:$C$17,2,FALSE())) * (1 - VLOOKUP(Table4[[#This Row],[Integrity]],'Reference - CVSSv3.0'!$B$15:$C$17,2,FALSE())) *  (1 - VLOOKUP(Table4[[#This Row],[Availability]],'Reference - CVSSv3.0'!$B$15:$C$17,2,FALSE()))))</f>
        <v>0.52544799999999992</v>
      </c>
      <c r="T70" s="252">
        <f>IF(Table4[[#This Row],[Scope]]="Unchanged",6.42*Table4[[#This Row],[ISC Base]],IF(Table4[[#This Row],[Scope]]="Changed",7.52*(Table4[[#This Row],[ISC Base]] - 0.029) - 3.25 * POWER(Table4[[#This Row],[ISC Base]] - 0.02,15),NA()))</f>
        <v>3.3733761599999994</v>
      </c>
      <c r="U70" s="252">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46" t="s">
        <v>281</v>
      </c>
      <c r="W70" s="252">
        <f>VLOOKUP(Table4[[#This Row],[Threat Event Initiation]],NIST_Scale_LOAI[],2,FALSE())</f>
        <v>0.5</v>
      </c>
      <c r="X70" s="25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6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47" t="s">
        <v>310</v>
      </c>
      <c r="AA70" s="271" t="s">
        <v>441</v>
      </c>
      <c r="AB70" s="225" t="s">
        <v>472</v>
      </c>
      <c r="AC70" s="250"/>
      <c r="AD70" s="250"/>
      <c r="AE70" s="250"/>
      <c r="AF70" s="251"/>
      <c r="AG70" s="251"/>
      <c r="AH70" s="251"/>
      <c r="AI70" s="251"/>
      <c r="AJ70" s="251"/>
      <c r="AK70" s="25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52" t="e">
        <f>(1 - ((1 - VLOOKUP(Table4[[#This Row],[ConfidentialityP]],'Reference - CVSSv3.0'!$B$15:$C$17,2,FALSE())) * (1 - VLOOKUP(Table4[[#This Row],[IntegrityP]],'Reference - CVSSv3.0'!$B$15:$C$17,2,FALSE())) *  (1 - VLOOKUP(Table4[[#This Row],[AvailabilityP]],'Reference - CVSSv3.0'!$B$15:$C$17,2,FALSE()))))</f>
        <v>#N/A</v>
      </c>
      <c r="AM70" s="252" t="e">
        <f>IF(Table4[[#This Row],[ScopeP]]="Unchanged",6.42*Table4[[#This Row],[ISC BaseP]],IF(Table4[[#This Row],[ScopeP]]="Changed",7.52*(Table4[[#This Row],[ISC BaseP]] - 0.029) - 3.25 * POWER(Table4[[#This Row],[ISC BaseP]] - 0.02,15),NA()))</f>
        <v>#N/A</v>
      </c>
      <c r="AN70" s="25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5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5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s="264" customFormat="1" ht="280">
      <c r="A71" s="245">
        <v>67</v>
      </c>
      <c r="B71" s="246" t="s">
        <v>201</v>
      </c>
      <c r="C71" s="247" t="str">
        <f>IF(VLOOKUP(Table4[[#This Row],[T ID]],Table5[#All],5,FALSE())="No","Not in scope",VLOOKUP(Table4[[#This Row],[T ID]],Table5[#All],2,FALSE()))</f>
        <v>Information disclosure
(STR(I)DE)</v>
      </c>
      <c r="D71" s="249" t="s">
        <v>139</v>
      </c>
      <c r="E71" s="247" t="str">
        <f>IF(VLOOKUP(Table4[[#This Row],[V ID]],Vulnerabilities[#All],3,FALSE())="No","Not in scope",VLOOKUP(Table4[[#This Row],[V ID]],Vulnerabilities[#All],2,FALSE()))</f>
        <v>Weak Algorthim implementation with respect cipher key size</v>
      </c>
      <c r="F71" s="268" t="s">
        <v>72</v>
      </c>
      <c r="G71" s="247" t="str">
        <f>VLOOKUP(Table4[[#This Row],[A ID]],Assets[#All],3,FALSE())</f>
        <v>Data in Transit</v>
      </c>
      <c r="H71" s="247" t="s">
        <v>304</v>
      </c>
      <c r="I71" s="247"/>
      <c r="J71" s="251" t="s">
        <v>271</v>
      </c>
      <c r="K71" s="251" t="s">
        <v>278</v>
      </c>
      <c r="L71" s="251" t="s">
        <v>271</v>
      </c>
      <c r="M71" s="251" t="s">
        <v>277</v>
      </c>
      <c r="N71" s="251" t="s">
        <v>280</v>
      </c>
      <c r="O71" s="251" t="s">
        <v>271</v>
      </c>
      <c r="P71" s="251" t="s">
        <v>278</v>
      </c>
      <c r="Q71" s="251" t="s">
        <v>274</v>
      </c>
      <c r="R71" s="26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252">
        <f>(1 - ((1 - VLOOKUP(Table4[[#This Row],[Confidentiality]],'Reference - CVSSv3.0'!$B$15:$C$17,2,FALSE())) * (1 - VLOOKUP(Table4[[#This Row],[Integrity]],'Reference - CVSSv3.0'!$B$15:$C$17,2,FALSE())) *  (1 - VLOOKUP(Table4[[#This Row],[Availability]],'Reference - CVSSv3.0'!$B$15:$C$17,2,FALSE()))))</f>
        <v>0.39159999999999995</v>
      </c>
      <c r="T71" s="252">
        <f>IF(Table4[[#This Row],[Scope]]="Unchanged",6.42*Table4[[#This Row],[ISC Base]],IF(Table4[[#This Row],[Scope]]="Changed",7.52*(Table4[[#This Row],[ISC Base]] - 0.029) - 3.25 * POWER(Table4[[#This Row],[ISC Base]] - 0.02,15),NA()))</f>
        <v>2.5140719999999996</v>
      </c>
      <c r="U71" s="252">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46" t="s">
        <v>281</v>
      </c>
      <c r="W71" s="252">
        <f>VLOOKUP(Table4[[#This Row],[Threat Event Initiation]],NIST_Scale_LOAI[],2,FALSE())</f>
        <v>0.5</v>
      </c>
      <c r="X71" s="25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6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47" t="s">
        <v>310</v>
      </c>
      <c r="AA71" s="271" t="s">
        <v>441</v>
      </c>
      <c r="AB71" s="225" t="s">
        <v>472</v>
      </c>
      <c r="AC71" s="250"/>
      <c r="AD71" s="250"/>
      <c r="AE71" s="250"/>
      <c r="AF71" s="251"/>
      <c r="AG71" s="251"/>
      <c r="AH71" s="251"/>
      <c r="AI71" s="251"/>
      <c r="AJ71" s="251"/>
      <c r="AK71" s="25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2" t="e">
        <f>(1 - ((1 - VLOOKUP(Table4[[#This Row],[ConfidentialityP]],'Reference - CVSSv3.0'!$B$15:$C$17,2,FALSE())) * (1 - VLOOKUP(Table4[[#This Row],[IntegrityP]],'Reference - CVSSv3.0'!$B$15:$C$17,2,FALSE())) *  (1 - VLOOKUP(Table4[[#This Row],[AvailabilityP]],'Reference - CVSSv3.0'!$B$15:$C$17,2,FALSE()))))</f>
        <v>#N/A</v>
      </c>
      <c r="AM71" s="252" t="e">
        <f>IF(Table4[[#This Row],[ScopeP]]="Unchanged",6.42*Table4[[#This Row],[ISC BaseP]],IF(Table4[[#This Row],[ScopeP]]="Changed",7.52*(Table4[[#This Row],[ISC BaseP]] - 0.029) - 3.25 * POWER(Table4[[#This Row],[ISC BaseP]] - 0.02,15),NA()))</f>
        <v>#N/A</v>
      </c>
      <c r="AN71" s="25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5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266">
      <c r="A72" s="84">
        <v>68</v>
      </c>
      <c r="B72" s="85" t="s">
        <v>201</v>
      </c>
      <c r="C72" s="88" t="str">
        <f>IF(VLOOKUP(Table4[[#This Row],[T ID]],Table5[#All],5,FALSE())="No","Not in scope",VLOOKUP(Table4[[#This Row],[T ID]],Table5[#All],2,FALSE()))</f>
        <v>Information disclosure
(STR(I)DE)</v>
      </c>
      <c r="D72" s="87" t="s">
        <v>144</v>
      </c>
      <c r="E72" s="88" t="str">
        <f>IF(VLOOKUP(Table4[[#This Row],[V ID]],Vulnerabilities[#All],3,FALSE())="No","Not in scope",VLOOKUP(Table4[[#This Row],[V ID]],Vulnerabilities[#All],2,FALSE()))</f>
        <v>InSecure Configuration for Software/OS on Mobile Devices, Laptops, Workstations, and Servers</v>
      </c>
      <c r="F72" s="94" t="s">
        <v>42</v>
      </c>
      <c r="G72" s="88" t="str">
        <f>VLOOKUP(Table4[[#This Row],[A ID]],Assets[#All],3,FALSE())</f>
        <v>Tablet Resources - web cam, microphone, OTG devices, Removable USB, Tablet Application, Network interfaces (Bluetooth, Wifi)</v>
      </c>
      <c r="H72" s="19" t="s">
        <v>304</v>
      </c>
      <c r="I72" s="19"/>
      <c r="J72" s="89" t="s">
        <v>271</v>
      </c>
      <c r="K72" s="89" t="s">
        <v>271</v>
      </c>
      <c r="L72" s="89" t="s">
        <v>271</v>
      </c>
      <c r="M72" s="90" t="s">
        <v>277</v>
      </c>
      <c r="N72" s="90" t="s">
        <v>280</v>
      </c>
      <c r="O72" s="90" t="s">
        <v>280</v>
      </c>
      <c r="P72" s="90" t="s">
        <v>278</v>
      </c>
      <c r="Q72" s="90" t="s">
        <v>274</v>
      </c>
      <c r="R7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1">
        <f>(1 - ((1 - VLOOKUP(Table4[[#This Row],[Confidentiality]],'Reference - CVSSv3.0'!$B$15:$C$17,2,FALSE())) * (1 - VLOOKUP(Table4[[#This Row],[Integrity]],'Reference - CVSSv3.0'!$B$15:$C$17,2,FALSE())) *  (1 - VLOOKUP(Table4[[#This Row],[Availability]],'Reference - CVSSv3.0'!$B$15:$C$17,2,FALSE()))))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281</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311</v>
      </c>
      <c r="AA72" s="19" t="s">
        <v>312</v>
      </c>
      <c r="AB72" s="225" t="s">
        <v>464</v>
      </c>
      <c r="AC72" s="36"/>
      <c r="AD72" s="36"/>
      <c r="AE72" s="36"/>
      <c r="AF72" s="90"/>
      <c r="AG72" s="90"/>
      <c r="AH72" s="90"/>
      <c r="AI72" s="90"/>
      <c r="AJ72" s="90"/>
      <c r="AK7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1" t="e">
        <f>(1 - ((1 - VLOOKUP(Table4[[#This Row],[ConfidentialityP]],'Reference - CVSSv3.0'!$B$15:$C$17,2,FALSE())) * (1 - VLOOKUP(Table4[[#This Row],[IntegrityP]],'Reference - CVSSv3.0'!$B$15:$C$17,2,FALSE())) *  (1 - VLOOKUP(Table4[[#This Row],[AvailabilityP]],'Reference - CVSSv3.0'!$B$15:$C$17,2,FALSE()))))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c r="A73" s="84">
        <v>69</v>
      </c>
      <c r="B73" s="85" t="s">
        <v>201</v>
      </c>
      <c r="C73" s="88" t="str">
        <f>IF(VLOOKUP(Table4[[#This Row],[T ID]],Table5[#All],5,FALSE())="No","Not in scope",VLOOKUP(Table4[[#This Row],[T ID]],Table5[#All],2,FALSE()))</f>
        <v>Information disclosure
(STR(I)DE)</v>
      </c>
      <c r="D73" s="87" t="s">
        <v>128</v>
      </c>
      <c r="E73" s="88" t="str">
        <f>IF(VLOOKUP(Table4[[#This Row],[V ID]],Vulnerabilities[#All],3,FALSE())="No","Not in scope",VLOOKUP(Table4[[#This Row],[V ID]],Vulnerabilities[#All],2,FALSE()))</f>
        <v>Unencrypted Network segment through out the information flow</v>
      </c>
      <c r="F73" s="94" t="s">
        <v>72</v>
      </c>
      <c r="G73" s="88" t="str">
        <f>VLOOKUP(Table4[[#This Row],[A ID]],Assets[#All],3,FALSE())</f>
        <v>Data in Transit</v>
      </c>
      <c r="H73" s="19" t="s">
        <v>304</v>
      </c>
      <c r="I73" s="19"/>
      <c r="J73" s="89" t="s">
        <v>271</v>
      </c>
      <c r="K73" s="89" t="s">
        <v>278</v>
      </c>
      <c r="L73" s="89" t="s">
        <v>271</v>
      </c>
      <c r="M73" s="90" t="s">
        <v>277</v>
      </c>
      <c r="N73" s="90" t="s">
        <v>280</v>
      </c>
      <c r="O73" s="90" t="s">
        <v>271</v>
      </c>
      <c r="P73" s="90" t="s">
        <v>278</v>
      </c>
      <c r="Q73" s="90" t="s">
        <v>274</v>
      </c>
      <c r="R7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1">
        <f>(1 - ((1 - VLOOKUP(Table4[[#This Row],[Confidentiality]],'Reference - CVSSv3.0'!$B$15:$C$17,2,FALSE())) * (1 - VLOOKUP(Table4[[#This Row],[Integrity]],'Reference - CVSSv3.0'!$B$15:$C$17,2,FALSE())) *  (1 - VLOOKUP(Table4[[#This Row],[Availability]],'Reference - CVSSv3.0'!$B$15:$C$17,2,FALSE()))))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281</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313</v>
      </c>
      <c r="AA73" s="225" t="s">
        <v>458</v>
      </c>
      <c r="AB73" s="225" t="s">
        <v>472</v>
      </c>
      <c r="AC73" s="36"/>
      <c r="AD73" s="36"/>
      <c r="AE73" s="36"/>
      <c r="AF73" s="90"/>
      <c r="AG73" s="90"/>
      <c r="AH73" s="90"/>
      <c r="AI73" s="90"/>
      <c r="AJ73" s="90"/>
      <c r="AK7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1" t="e">
        <f>(1 - ((1 - VLOOKUP(Table4[[#This Row],[ConfidentialityP]],'Reference - CVSSv3.0'!$B$15:$C$17,2,FALSE())) * (1 - VLOOKUP(Table4[[#This Row],[IntegrityP]],'Reference - CVSSv3.0'!$B$15:$C$17,2,FALSE())) *  (1 - VLOOKUP(Table4[[#This Row],[AvailabilityP]],'Reference - CVSSv3.0'!$B$15:$C$17,2,FALSE()))))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280">
      <c r="A74" s="84">
        <v>70</v>
      </c>
      <c r="B74" s="85" t="s">
        <v>201</v>
      </c>
      <c r="C74" s="88" t="str">
        <f>IF(VLOOKUP(Table4[[#This Row],[T ID]],Table5[#All],5,FALSE())="No","Not in scope",VLOOKUP(Table4[[#This Row],[T ID]],Table5[#All],2,FALSE()))</f>
        <v>Information disclosure
(STR(I)DE)</v>
      </c>
      <c r="D74" s="87" t="s">
        <v>108</v>
      </c>
      <c r="E74" s="88" t="str">
        <f>IF(VLOOKUP(Table4[[#This Row],[V ID]],Vulnerabilities[#All],3,FALSE())="No","Not in scope",VLOOKUP(Table4[[#This Row],[V ID]],Vulnerabilities[#All],2,FALSE()))</f>
        <v>Insecure communications in networks (hospital)</v>
      </c>
      <c r="F74" s="94" t="s">
        <v>72</v>
      </c>
      <c r="G74" s="88" t="str">
        <f>VLOOKUP(Table4[[#This Row],[A ID]],Assets[#All],3,FALSE())</f>
        <v>Data in Transit</v>
      </c>
      <c r="H74" s="19" t="s">
        <v>304</v>
      </c>
      <c r="I74" s="19"/>
      <c r="J74" s="89" t="s">
        <v>271</v>
      </c>
      <c r="K74" s="89" t="s">
        <v>278</v>
      </c>
      <c r="L74" s="89" t="s">
        <v>271</v>
      </c>
      <c r="M74" s="90" t="s">
        <v>277</v>
      </c>
      <c r="N74" s="90" t="s">
        <v>280</v>
      </c>
      <c r="O74" s="90" t="s">
        <v>271</v>
      </c>
      <c r="P74" s="90" t="s">
        <v>278</v>
      </c>
      <c r="Q74" s="90" t="s">
        <v>274</v>
      </c>
      <c r="R7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1">
        <f>(1 - ((1 - VLOOKUP(Table4[[#This Row],[Confidentiality]],'Reference - CVSSv3.0'!$B$15:$C$17,2,FALSE())) * (1 - VLOOKUP(Table4[[#This Row],[Integrity]],'Reference - CVSSv3.0'!$B$15:$C$17,2,FALSE())) *  (1 - VLOOKUP(Table4[[#This Row],[Availability]],'Reference - CVSSv3.0'!$B$15:$C$17,2,FALSE()))))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281</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314</v>
      </c>
      <c r="AA74" s="229" t="s">
        <v>315</v>
      </c>
      <c r="AB74" s="225" t="s">
        <v>472</v>
      </c>
      <c r="AC74" s="36"/>
      <c r="AD74" s="36"/>
      <c r="AE74" s="36"/>
      <c r="AF74" s="90"/>
      <c r="AG74" s="90"/>
      <c r="AH74" s="90"/>
      <c r="AI74" s="90"/>
      <c r="AJ74" s="90"/>
      <c r="AK7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1" t="e">
        <f>(1 - ((1 - VLOOKUP(Table4[[#This Row],[ConfidentialityP]],'Reference - CVSSv3.0'!$B$15:$C$17,2,FALSE())) * (1 - VLOOKUP(Table4[[#This Row],[IntegrityP]],'Reference - CVSSv3.0'!$B$15:$C$17,2,FALSE())) *  (1 - VLOOKUP(Table4[[#This Row],[AvailabilityP]],'Reference - CVSSv3.0'!$B$15:$C$17,2,FALSE()))))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66">
      <c r="A75" s="84">
        <v>71</v>
      </c>
      <c r="B75" s="85" t="s">
        <v>204</v>
      </c>
      <c r="C75" s="88" t="str">
        <f>IF(VLOOKUP(Table4[[#This Row],[T ID]],Table5[#All],5,FALSE())="No","Not in scope",VLOOKUP(Table4[[#This Row],[T ID]],Table5[#All],2,FALSE()))</f>
        <v>Data Access
(STR[I]DE)</v>
      </c>
      <c r="D75" s="57" t="s">
        <v>124</v>
      </c>
      <c r="E75" s="88" t="str">
        <f>IF(VLOOKUP(Table4[[#This Row],[V ID]],Vulnerabilities[#All],3,FALSE())="No","Not in scope",VLOOKUP(Table4[[#This Row],[V ID]],Vulnerabilities[#All],2,FALSE()))</f>
        <v>Unprotected network port(s) on network devices and connection points</v>
      </c>
      <c r="F75" s="94" t="s">
        <v>42</v>
      </c>
      <c r="G75" s="88" t="str">
        <f>VLOOKUP(Table4[[#This Row],[A ID]],Assets[#All],3,FALSE())</f>
        <v>Tablet Resources - web cam, microphone, OTG devices, Removable USB, Tablet Application, Network interfaces (Bluetooth, Wifi)</v>
      </c>
      <c r="H75" s="19" t="s">
        <v>316</v>
      </c>
      <c r="I75" s="19"/>
      <c r="J75" s="89" t="s">
        <v>278</v>
      </c>
      <c r="K75" s="89" t="s">
        <v>278</v>
      </c>
      <c r="L75" s="89" t="s">
        <v>280</v>
      </c>
      <c r="M75" s="90" t="s">
        <v>277</v>
      </c>
      <c r="N75" s="90" t="s">
        <v>280</v>
      </c>
      <c r="O75" s="90" t="s">
        <v>280</v>
      </c>
      <c r="P75" s="90" t="s">
        <v>278</v>
      </c>
      <c r="Q75" s="90" t="s">
        <v>274</v>
      </c>
      <c r="R7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1">
        <f>(1 - ((1 - VLOOKUP(Table4[[#This Row],[Confidentiality]],'Reference - CVSSv3.0'!$B$15:$C$17,2,FALSE())) * (1 - VLOOKUP(Table4[[#This Row],[Integrity]],'Reference - CVSSv3.0'!$B$15:$C$17,2,FALSE())) *  (1 - VLOOKUP(Table4[[#This Row],[Availability]],'Reference - CVSSv3.0'!$B$15:$C$17,2,FALSE()))))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271</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275</v>
      </c>
      <c r="AA75" s="19" t="s">
        <v>317</v>
      </c>
      <c r="AB75" s="225" t="s">
        <v>464</v>
      </c>
      <c r="AC75" s="36"/>
      <c r="AD75" s="36"/>
      <c r="AE75" s="36"/>
      <c r="AF75" s="90"/>
      <c r="AG75" s="90"/>
      <c r="AH75" s="90"/>
      <c r="AI75" s="90"/>
      <c r="AJ75" s="90"/>
      <c r="AK7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1" t="e">
        <f>(1 - ((1 - VLOOKUP(Table4[[#This Row],[ConfidentialityP]],'Reference - CVSSv3.0'!$B$15:$C$17,2,FALSE())) * (1 - VLOOKUP(Table4[[#This Row],[IntegrityP]],'Reference - CVSSv3.0'!$B$15:$C$17,2,FALSE())) *  (1 - VLOOKUP(Table4[[#This Row],[AvailabilityP]],'Reference - CVSSv3.0'!$B$15:$C$17,2,FALSE()))))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66">
      <c r="A76" s="84">
        <v>72</v>
      </c>
      <c r="B76" s="85" t="s">
        <v>204</v>
      </c>
      <c r="C76" s="88" t="str">
        <f>IF(VLOOKUP(Table4[[#This Row],[T ID]],Table5[#All],5,FALSE())="No","Not in scope",VLOOKUP(Table4[[#This Row],[T ID]],Table5[#All],2,FALSE()))</f>
        <v>Data Access
(STR[I]DE)</v>
      </c>
      <c r="D76" s="57" t="s">
        <v>124</v>
      </c>
      <c r="E76" s="88" t="str">
        <f>IF(VLOOKUP(Table4[[#This Row],[V ID]],Vulnerabilities[#All],3,FALSE())="No","Not in scope",VLOOKUP(Table4[[#This Row],[V ID]],Vulnerabilities[#All],2,FALSE()))</f>
        <v>Unprotected network port(s) on network devices and connection points</v>
      </c>
      <c r="F76" s="94" t="s">
        <v>46</v>
      </c>
      <c r="G76" s="88" t="str">
        <f>VLOOKUP(Table4[[#This Row],[A ID]],Assets[#All],3,FALSE())</f>
        <v>Tablet OS/network details &amp; Tablet Application</v>
      </c>
      <c r="H76" s="19" t="s">
        <v>316</v>
      </c>
      <c r="I76" s="19"/>
      <c r="J76" s="89" t="s">
        <v>278</v>
      </c>
      <c r="K76" s="89" t="s">
        <v>271</v>
      </c>
      <c r="L76" s="89" t="s">
        <v>271</v>
      </c>
      <c r="M76" s="90" t="s">
        <v>277</v>
      </c>
      <c r="N76" s="90" t="s">
        <v>280</v>
      </c>
      <c r="O76" s="90" t="s">
        <v>280</v>
      </c>
      <c r="P76" s="90" t="s">
        <v>278</v>
      </c>
      <c r="Q76" s="90" t="s">
        <v>274</v>
      </c>
      <c r="R7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1">
        <f>(1 - ((1 - VLOOKUP(Table4[[#This Row],[Confidentiality]],'Reference - CVSSv3.0'!$B$15:$C$17,2,FALSE())) * (1 - VLOOKUP(Table4[[#This Row],[Integrity]],'Reference - CVSSv3.0'!$B$15:$C$17,2,FALSE())) *  (1 - VLOOKUP(Table4[[#This Row],[Availability]],'Reference - CVSSv3.0'!$B$15:$C$17,2,FALSE()))))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271</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275</v>
      </c>
      <c r="AA76" s="19" t="s">
        <v>317</v>
      </c>
      <c r="AB76" s="225" t="s">
        <v>464</v>
      </c>
      <c r="AC76" s="36"/>
      <c r="AD76" s="36"/>
      <c r="AE76" s="36"/>
      <c r="AF76" s="90"/>
      <c r="AG76" s="90"/>
      <c r="AH76" s="90"/>
      <c r="AI76" s="90"/>
      <c r="AJ76" s="90"/>
      <c r="AK7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1" t="e">
        <f>(1 - ((1 - VLOOKUP(Table4[[#This Row],[ConfidentialityP]],'Reference - CVSSv3.0'!$B$15:$C$17,2,FALSE())) * (1 - VLOOKUP(Table4[[#This Row],[IntegrityP]],'Reference - CVSSv3.0'!$B$15:$C$17,2,FALSE())) *  (1 - VLOOKUP(Table4[[#This Row],[AvailabilityP]],'Reference - CVSSv3.0'!$B$15:$C$17,2,FALSE()))))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204</v>
      </c>
      <c r="C77" s="88" t="str">
        <f>IF(VLOOKUP(Table4[[#This Row],[T ID]],Table5[#All],5,FALSE())="No","Not in scope",VLOOKUP(Table4[[#This Row],[T ID]],Table5[#All],2,FALSE()))</f>
        <v>Data Access
(STR[I]DE)</v>
      </c>
      <c r="D77" s="57" t="s">
        <v>98</v>
      </c>
      <c r="E77" s="88" t="str">
        <f>IF(VLOOKUP(Table4[[#This Row],[V ID]],Vulnerabilities[#All],3,FALSE())="No","Not in scope",VLOOKUP(Table4[[#This Row],[V ID]],Vulnerabilities[#All],2,FALSE()))</f>
        <v>Devices with default passwords needs to be checked for bruteforce attacks</v>
      </c>
      <c r="F77" s="100" t="s">
        <v>69</v>
      </c>
      <c r="G77" s="88" t="str">
        <f>VLOOKUP(Table4[[#This Row],[A ID]],Assets[#All],3,FALSE())</f>
        <v>Data at Rest</v>
      </c>
      <c r="H77" s="19" t="s">
        <v>316</v>
      </c>
      <c r="I77" s="19"/>
      <c r="J77" s="89" t="s">
        <v>271</v>
      </c>
      <c r="K77" s="89" t="s">
        <v>271</v>
      </c>
      <c r="L77" s="89" t="s">
        <v>271</v>
      </c>
      <c r="M77" s="90" t="s">
        <v>277</v>
      </c>
      <c r="N77" s="90" t="s">
        <v>280</v>
      </c>
      <c r="O77" s="90" t="s">
        <v>280</v>
      </c>
      <c r="P77" s="90" t="s">
        <v>278</v>
      </c>
      <c r="Q77" s="90" t="s">
        <v>274</v>
      </c>
      <c r="R7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1">
        <f>(1 - ((1 - VLOOKUP(Table4[[#This Row],[Confidentiality]],'Reference - CVSSv3.0'!$B$15:$C$17,2,FALSE())) * (1 - VLOOKUP(Table4[[#This Row],[Integrity]],'Reference - CVSSv3.0'!$B$15:$C$17,2,FALSE())) *  (1 - VLOOKUP(Table4[[#This Row],[Availability]],'Reference - CVSSv3.0'!$B$15:$C$17,2,FALSE()))))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271</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318</v>
      </c>
      <c r="AA77" s="229" t="s">
        <v>448</v>
      </c>
      <c r="AB77" s="225" t="s">
        <v>472</v>
      </c>
      <c r="AC77" s="36"/>
      <c r="AD77" s="36"/>
      <c r="AE77" s="36"/>
      <c r="AF77" s="90"/>
      <c r="AG77" s="90"/>
      <c r="AH77" s="90"/>
      <c r="AI77" s="90"/>
      <c r="AJ77" s="90"/>
      <c r="AK7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1" t="e">
        <f>(1 - ((1 - VLOOKUP(Table4[[#This Row],[ConfidentialityP]],'Reference - CVSSv3.0'!$B$15:$C$17,2,FALSE())) * (1 - VLOOKUP(Table4[[#This Row],[IntegrityP]],'Reference - CVSSv3.0'!$B$15:$C$17,2,FALSE())) *  (1 - VLOOKUP(Table4[[#This Row],[AvailabilityP]],'Reference - CVSSv3.0'!$B$15:$C$17,2,FALSE()))))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280">
      <c r="A78" s="84">
        <v>74</v>
      </c>
      <c r="B78" s="85" t="s">
        <v>204</v>
      </c>
      <c r="C78" s="88" t="str">
        <f>IF(VLOOKUP(Table4[[#This Row],[T ID]],Table5[#All],5,FALSE())="No","Not in scope",VLOOKUP(Table4[[#This Row],[T ID]],Table5[#All],2,FALSE()))</f>
        <v>Data Access
(STR[I]DE)</v>
      </c>
      <c r="D78" s="57" t="s">
        <v>98</v>
      </c>
      <c r="E78" s="88" t="str">
        <f>IF(VLOOKUP(Table4[[#This Row],[V ID]],Vulnerabilities[#All],3,FALSE())="No","Not in scope",VLOOKUP(Table4[[#This Row],[V ID]],Vulnerabilities[#All],2,FALSE()))</f>
        <v>Devices with default passwords needs to be checked for bruteforce attacks</v>
      </c>
      <c r="F78" s="100" t="s">
        <v>54</v>
      </c>
      <c r="G78" s="88" t="str">
        <f>VLOOKUP(Table4[[#This Row],[A ID]],Assets[#All],3,FALSE())</f>
        <v>Authentication/Authorisation method of all device(s)/app</v>
      </c>
      <c r="H78" s="19" t="s">
        <v>319</v>
      </c>
      <c r="I78" s="19"/>
      <c r="J78" s="89" t="s">
        <v>280</v>
      </c>
      <c r="K78" s="89" t="s">
        <v>278</v>
      </c>
      <c r="L78" s="89" t="s">
        <v>278</v>
      </c>
      <c r="M78" s="90" t="s">
        <v>277</v>
      </c>
      <c r="N78" s="90" t="s">
        <v>280</v>
      </c>
      <c r="O78" s="90" t="s">
        <v>280</v>
      </c>
      <c r="P78" s="90" t="s">
        <v>278</v>
      </c>
      <c r="Q78" s="90" t="s">
        <v>274</v>
      </c>
      <c r="R7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1">
        <f>(1 - ((1 - VLOOKUP(Table4[[#This Row],[Confidentiality]],'Reference - CVSSv3.0'!$B$15:$C$17,2,FALSE())) * (1 - VLOOKUP(Table4[[#This Row],[Integrity]],'Reference - CVSSv3.0'!$B$15:$C$17,2,FALSE())) *  (1 - VLOOKUP(Table4[[#This Row],[Availability]],'Reference - CVSSv3.0'!$B$15:$C$17,2,FALSE()))))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281</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318</v>
      </c>
      <c r="AA78" s="229" t="s">
        <v>448</v>
      </c>
      <c r="AB78" s="225" t="s">
        <v>470</v>
      </c>
      <c r="AC78" s="36"/>
      <c r="AD78" s="36"/>
      <c r="AE78" s="36"/>
      <c r="AF78" s="90"/>
      <c r="AG78" s="90"/>
      <c r="AH78" s="90"/>
      <c r="AI78" s="90"/>
      <c r="AJ78" s="90"/>
      <c r="AK7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1" t="e">
        <f>(1 - ((1 - VLOOKUP(Table4[[#This Row],[ConfidentialityP]],'Reference - CVSSv3.0'!$B$15:$C$17,2,FALSE())) * (1 - VLOOKUP(Table4[[#This Row],[IntegrityP]],'Reference - CVSSv3.0'!$B$15:$C$17,2,FALSE())) *  (1 - VLOOKUP(Table4[[#This Row],[AvailabilityP]],'Reference - CVSSv3.0'!$B$15:$C$17,2,FALSE()))))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280">
      <c r="A79" s="97">
        <v>75</v>
      </c>
      <c r="B79" s="85" t="s">
        <v>204</v>
      </c>
      <c r="C79" s="88" t="str">
        <f>IF(VLOOKUP(Table4[[#This Row],[T ID]],Table5[#All],5,FALSE())="No","Not in scope",VLOOKUP(Table4[[#This Row],[T ID]],Table5[#All],2,FALSE()))</f>
        <v>Data Access
(STR[I]DE)</v>
      </c>
      <c r="D79" s="57" t="s">
        <v>98</v>
      </c>
      <c r="E79" s="88" t="str">
        <f>IF(VLOOKUP(Table4[[#This Row],[V ID]],Vulnerabilities[#All],3,FALSE())="No","Not in scope",VLOOKUP(Table4[[#This Row],[V ID]],Vulnerabilities[#All],2,FALSE()))</f>
        <v>Devices with default passwords needs to be checked for bruteforce attacks</v>
      </c>
      <c r="F79" s="100" t="s">
        <v>72</v>
      </c>
      <c r="G79" s="88" t="str">
        <f>VLOOKUP(Table4[[#This Row],[A ID]],Assets[#All],3,FALSE())</f>
        <v>Data in Transit</v>
      </c>
      <c r="H79" s="19" t="s">
        <v>319</v>
      </c>
      <c r="I79" s="19"/>
      <c r="J79" s="89" t="s">
        <v>280</v>
      </c>
      <c r="K79" s="89" t="s">
        <v>278</v>
      </c>
      <c r="L79" s="89" t="s">
        <v>278</v>
      </c>
      <c r="M79" s="90" t="s">
        <v>277</v>
      </c>
      <c r="N79" s="90" t="s">
        <v>280</v>
      </c>
      <c r="O79" s="90" t="s">
        <v>280</v>
      </c>
      <c r="P79" s="90" t="s">
        <v>278</v>
      </c>
      <c r="Q79" s="90" t="s">
        <v>274</v>
      </c>
      <c r="R7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1">
        <f>(1 - ((1 - VLOOKUP(Table4[[#This Row],[Confidentiality]],'Reference - CVSSv3.0'!$B$15:$C$17,2,FALSE())) * (1 - VLOOKUP(Table4[[#This Row],[Integrity]],'Reference - CVSSv3.0'!$B$15:$C$17,2,FALSE())) *  (1 - VLOOKUP(Table4[[#This Row],[Availability]],'Reference - CVSSv3.0'!$B$15:$C$17,2,FALSE()))))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271</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320</v>
      </c>
      <c r="AA79" s="229" t="s">
        <v>448</v>
      </c>
      <c r="AB79" s="225" t="s">
        <v>472</v>
      </c>
      <c r="AC79" s="36"/>
      <c r="AD79" s="36"/>
      <c r="AE79" s="36"/>
      <c r="AF79" s="90"/>
      <c r="AG79" s="90"/>
      <c r="AH79" s="90"/>
      <c r="AI79" s="90"/>
      <c r="AJ79" s="90"/>
      <c r="AK7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1" t="e">
        <f>(1 - ((1 - VLOOKUP(Table4[[#This Row],[ConfidentialityP]],'Reference - CVSSv3.0'!$B$15:$C$17,2,FALSE())) * (1 - VLOOKUP(Table4[[#This Row],[IntegrityP]],'Reference - CVSSv3.0'!$B$15:$C$17,2,FALSE())) *  (1 - VLOOKUP(Table4[[#This Row],[AvailabilityP]],'Reference - CVSSv3.0'!$B$15:$C$17,2,FALSE()))))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36">
      <c r="A80" s="84">
        <v>76</v>
      </c>
      <c r="B80" s="85" t="s">
        <v>204</v>
      </c>
      <c r="C80" s="88" t="str">
        <f>IF(VLOOKUP(Table4[[#This Row],[T ID]],Table5[#All],5,FALSE())="No","Not in scope",VLOOKUP(Table4[[#This Row],[T ID]],Table5[#All],2,FALSE()))</f>
        <v>Data Access
(STR[I]DE)</v>
      </c>
      <c r="D80" s="57" t="s">
        <v>104</v>
      </c>
      <c r="E80" s="244" t="str">
        <f>IF(VLOOKUP(Table4[[#This Row],[V ID]],Vulnerabilities[#All],3,FALSE())="No","Not in scope",VLOOKUP(Table4[[#This Row],[V ID]],Vulnerabilities[#All],2,FALSE()))</f>
        <v>The password complexity or location vulnerability. Like weak passwords and hardcoded passwords.</v>
      </c>
      <c r="F80" s="231" t="s">
        <v>69</v>
      </c>
      <c r="G80" s="244" t="str">
        <f>VLOOKUP(Table4[[#This Row],[A ID]],Assets[#All],3,FALSE())</f>
        <v>Data at Rest</v>
      </c>
      <c r="H80" s="229" t="s">
        <v>319</v>
      </c>
      <c r="I80" s="229"/>
      <c r="J80" s="232" t="s">
        <v>271</v>
      </c>
      <c r="K80" s="232" t="s">
        <v>271</v>
      </c>
      <c r="L80" s="232" t="s">
        <v>271</v>
      </c>
      <c r="M80" s="232" t="s">
        <v>277</v>
      </c>
      <c r="N80" s="232" t="s">
        <v>280</v>
      </c>
      <c r="O80" s="232" t="s">
        <v>280</v>
      </c>
      <c r="P80" s="232" t="s">
        <v>278</v>
      </c>
      <c r="Q80" s="232" t="s">
        <v>274</v>
      </c>
      <c r="R80"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234">
        <f>(1 - ((1 - VLOOKUP(Table4[[#This Row],[Confidentiality]],'Reference - CVSSv3.0'!$B$15:$C$17,2,FALSE())) * (1 - VLOOKUP(Table4[[#This Row],[Integrity]],'Reference - CVSSv3.0'!$B$15:$C$17,2,FALSE())) *  (1 - VLOOKUP(Table4[[#This Row],[Availability]],'Reference - CVSSv3.0'!$B$15:$C$17,2,FALSE()))))</f>
        <v>0.52544799999999992</v>
      </c>
      <c r="T80" s="234">
        <f>IF(Table4[[#This Row],[Scope]]="Unchanged",6.42*Table4[[#This Row],[ISC Base]],IF(Table4[[#This Row],[Scope]]="Changed",7.52*(Table4[[#This Row],[ISC Base]] - 0.029) - 3.25 * POWER(Table4[[#This Row],[ISC Base]] - 0.02,15),NA()))</f>
        <v>3.3733761599999994</v>
      </c>
      <c r="U80" s="234">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28" t="s">
        <v>271</v>
      </c>
      <c r="W80" s="234">
        <f>VLOOKUP(Table4[[#This Row],[Threat Event Initiation]],NIST_Scale_LOAI[],2,FALSE())</f>
        <v>0.2</v>
      </c>
      <c r="X80"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29" t="s">
        <v>321</v>
      </c>
      <c r="AA80" s="226" t="s">
        <v>438</v>
      </c>
      <c r="AB80" s="225" t="s">
        <v>472</v>
      </c>
      <c r="AC80" s="36"/>
      <c r="AD80" s="36"/>
      <c r="AE80" s="36"/>
      <c r="AF80" s="90"/>
      <c r="AG80" s="90"/>
      <c r="AH80" s="90"/>
      <c r="AI80" s="90"/>
      <c r="AJ80" s="90"/>
      <c r="AK8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1" t="e">
        <f>(1 - ((1 - VLOOKUP(Table4[[#This Row],[ConfidentialityP]],'Reference - CVSSv3.0'!$B$15:$C$17,2,FALSE())) * (1 - VLOOKUP(Table4[[#This Row],[IntegrityP]],'Reference - CVSSv3.0'!$B$15:$C$17,2,FALSE())) *  (1 - VLOOKUP(Table4[[#This Row],[AvailabilityP]],'Reference - CVSSv3.0'!$B$15:$C$17,2,FALSE()))))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66">
      <c r="A81" s="97">
        <v>77</v>
      </c>
      <c r="B81" s="85" t="s">
        <v>204</v>
      </c>
      <c r="C81" s="88" t="str">
        <f>IF(VLOOKUP(Table4[[#This Row],[T ID]],Table5[#All],5,FALSE())="No","Not in scope",VLOOKUP(Table4[[#This Row],[T ID]],Table5[#All],2,FALSE()))</f>
        <v>Data Access
(STR[I]DE)</v>
      </c>
      <c r="D81" s="57" t="s">
        <v>126</v>
      </c>
      <c r="E81" s="88" t="str">
        <f>IF(VLOOKUP(Table4[[#This Row],[V ID]],Vulnerabilities[#All],3,FALSE())="No","Not in scope",VLOOKUP(Table4[[#This Row],[V ID]],Vulnerabilities[#All],2,FALSE()))</f>
        <v>Unprotected external USB Port on the tablet/devices.</v>
      </c>
      <c r="F81" s="94" t="s">
        <v>42</v>
      </c>
      <c r="G81" s="88" t="str">
        <f>VLOOKUP(Table4[[#This Row],[A ID]],Assets[#All],3,FALSE())</f>
        <v>Tablet Resources - web cam, microphone, OTG devices, Removable USB, Tablet Application, Network interfaces (Bluetooth, Wifi)</v>
      </c>
      <c r="H81" s="19" t="s">
        <v>319</v>
      </c>
      <c r="I81" s="19"/>
      <c r="J81" s="89" t="s">
        <v>278</v>
      </c>
      <c r="K81" s="89" t="s">
        <v>271</v>
      </c>
      <c r="L81" s="89" t="s">
        <v>271</v>
      </c>
      <c r="M81" s="90" t="s">
        <v>272</v>
      </c>
      <c r="N81" s="90" t="s">
        <v>280</v>
      </c>
      <c r="O81" s="90" t="s">
        <v>280</v>
      </c>
      <c r="P81" s="90" t="s">
        <v>278</v>
      </c>
      <c r="Q81" s="90" t="s">
        <v>274</v>
      </c>
      <c r="R8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1">
        <f>(1 - ((1 - VLOOKUP(Table4[[#This Row],[Confidentiality]],'Reference - CVSSv3.0'!$B$15:$C$17,2,FALSE())) * (1 - VLOOKUP(Table4[[#This Row],[Integrity]],'Reference - CVSSv3.0'!$B$15:$C$17,2,FALSE())) *  (1 - VLOOKUP(Table4[[#This Row],[Availability]],'Reference - CVSSv3.0'!$B$15:$C$17,2,FALSE()))))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281</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275</v>
      </c>
      <c r="AA81" s="19" t="s">
        <v>312</v>
      </c>
      <c r="AB81" s="225" t="s">
        <v>464</v>
      </c>
      <c r="AC81" s="36"/>
      <c r="AD81" s="36"/>
      <c r="AE81" s="36"/>
      <c r="AF81" s="90"/>
      <c r="AG81" s="90"/>
      <c r="AH81" s="90"/>
      <c r="AI81" s="90"/>
      <c r="AJ81" s="90"/>
      <c r="AK8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1" t="e">
        <f>(1 - ((1 - VLOOKUP(Table4[[#This Row],[ConfidentialityP]],'Reference - CVSSv3.0'!$B$15:$C$17,2,FALSE())) * (1 - VLOOKUP(Table4[[#This Row],[IntegrityP]],'Reference - CVSSv3.0'!$B$15:$C$17,2,FALSE())) *  (1 - VLOOKUP(Table4[[#This Row],[AvailabilityP]],'Reference - CVSSv3.0'!$B$15:$C$17,2,FALSE()))))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66">
      <c r="A82" s="84">
        <v>78</v>
      </c>
      <c r="B82" s="85" t="s">
        <v>207</v>
      </c>
      <c r="C82" s="88" t="str">
        <f>IF(VLOOKUP(Table4[[#This Row],[T ID]],Table5[#All],5,FALSE())="No","Not in scope",VLOOKUP(Table4[[#This Row],[T ID]],Table5[#All],2,FALSE()))</f>
        <v>Open network port exploit
(TTP)</v>
      </c>
      <c r="D82" s="87" t="s">
        <v>124</v>
      </c>
      <c r="E82" s="88" t="str">
        <f>IF(VLOOKUP(Table4[[#This Row],[V ID]],Vulnerabilities[#All],3,FALSE())="No","Not in scope",VLOOKUP(Table4[[#This Row],[V ID]],Vulnerabilities[#All],2,FALSE()))</f>
        <v>Unprotected network port(s) on network devices and connection points</v>
      </c>
      <c r="F82" s="94" t="s">
        <v>46</v>
      </c>
      <c r="G82" s="88" t="str">
        <f>VLOOKUP(Table4[[#This Row],[A ID]],Assets[#All],3,FALSE())</f>
        <v>Tablet OS/network details &amp; Tablet Application</v>
      </c>
      <c r="H82" s="19" t="s">
        <v>322</v>
      </c>
      <c r="I82" s="19"/>
      <c r="J82" s="89" t="s">
        <v>278</v>
      </c>
      <c r="K82" s="89" t="s">
        <v>278</v>
      </c>
      <c r="L82" s="89" t="s">
        <v>271</v>
      </c>
      <c r="M82" s="90" t="s">
        <v>277</v>
      </c>
      <c r="N82" s="90" t="s">
        <v>280</v>
      </c>
      <c r="O82" s="90" t="s">
        <v>271</v>
      </c>
      <c r="P82" s="90" t="s">
        <v>278</v>
      </c>
      <c r="Q82" s="90" t="s">
        <v>274</v>
      </c>
      <c r="R8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1">
        <f>(1 - ((1 - VLOOKUP(Table4[[#This Row],[Confidentiality]],'Reference - CVSSv3.0'!$B$15:$C$17,2,FALSE())) * (1 - VLOOKUP(Table4[[#This Row],[Integrity]],'Reference - CVSSv3.0'!$B$15:$C$17,2,FALSE())) *  (1 - VLOOKUP(Table4[[#This Row],[Availability]],'Reference - CVSSv3.0'!$B$15:$C$17,2,FALSE()))))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281</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275</v>
      </c>
      <c r="AA82" s="19" t="s">
        <v>312</v>
      </c>
      <c r="AB82" s="225" t="s">
        <v>464</v>
      </c>
      <c r="AC82" s="36"/>
      <c r="AD82" s="36"/>
      <c r="AE82" s="36"/>
      <c r="AF82" s="90"/>
      <c r="AG82" s="90"/>
      <c r="AH82" s="90"/>
      <c r="AI82" s="90"/>
      <c r="AJ82" s="90"/>
      <c r="AK8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1" t="e">
        <f>(1 - ((1 - VLOOKUP(Table4[[#This Row],[ConfidentialityP]],'Reference - CVSSv3.0'!$B$15:$C$17,2,FALSE())) * (1 - VLOOKUP(Table4[[#This Row],[IntegrityP]],'Reference - CVSSv3.0'!$B$15:$C$17,2,FALSE())) *  (1 - VLOOKUP(Table4[[#This Row],[AvailabilityP]],'Reference - CVSSv3.0'!$B$15:$C$17,2,FALSE()))))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207</v>
      </c>
      <c r="C83" s="88" t="str">
        <f>IF(VLOOKUP(Table4[[#This Row],[T ID]],Table5[#All],5,FALSE())="No","Not in scope",VLOOKUP(Table4[[#This Row],[T ID]],Table5[#All],2,FALSE()))</f>
        <v>Open network port exploit
(TTP)</v>
      </c>
      <c r="D83" s="87" t="s">
        <v>124</v>
      </c>
      <c r="E83" s="88" t="str">
        <f>IF(VLOOKUP(Table4[[#This Row],[V ID]],Vulnerabilities[#All],3,FALSE())="No","Not in scope",VLOOKUP(Table4[[#This Row],[V ID]],Vulnerabilities[#All],2,FALSE()))</f>
        <v>Unprotected network port(s) on network devices and connection points</v>
      </c>
      <c r="F83" s="94" t="s">
        <v>66</v>
      </c>
      <c r="G83" s="88" t="str">
        <f>VLOOKUP(Table4[[#This Row],[A ID]],Assets[#All],3,FALSE())</f>
        <v>Wireless Network device (Scope of HDO)</v>
      </c>
      <c r="H83" s="19" t="s">
        <v>322</v>
      </c>
      <c r="I83" s="19"/>
      <c r="J83" s="89" t="s">
        <v>278</v>
      </c>
      <c r="K83" s="89" t="s">
        <v>278</v>
      </c>
      <c r="L83" s="89" t="s">
        <v>271</v>
      </c>
      <c r="M83" s="90" t="s">
        <v>277</v>
      </c>
      <c r="N83" s="90" t="s">
        <v>280</v>
      </c>
      <c r="O83" s="90" t="s">
        <v>271</v>
      </c>
      <c r="P83" s="90" t="s">
        <v>278</v>
      </c>
      <c r="Q83" s="90" t="s">
        <v>274</v>
      </c>
      <c r="R8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1">
        <f>(1 - ((1 - VLOOKUP(Table4[[#This Row],[Confidentiality]],'Reference - CVSSv3.0'!$B$15:$C$17,2,FALSE())) * (1 - VLOOKUP(Table4[[#This Row],[Integrity]],'Reference - CVSSv3.0'!$B$15:$C$17,2,FALSE())) *  (1 - VLOOKUP(Table4[[#This Row],[Availability]],'Reference - CVSSv3.0'!$B$15:$C$17,2,FALSE()))))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281</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323</v>
      </c>
      <c r="AA83" s="19" t="s">
        <v>324</v>
      </c>
      <c r="AB83" s="225" t="s">
        <v>467</v>
      </c>
      <c r="AC83" s="36"/>
      <c r="AD83" s="36"/>
      <c r="AE83" s="36"/>
      <c r="AF83" s="90"/>
      <c r="AG83" s="90"/>
      <c r="AH83" s="90"/>
      <c r="AI83" s="90"/>
      <c r="AJ83" s="90"/>
      <c r="AK8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1" t="e">
        <f>(1 - ((1 - VLOOKUP(Table4[[#This Row],[ConfidentialityP]],'Reference - CVSSv3.0'!$B$15:$C$17,2,FALSE())) * (1 - VLOOKUP(Table4[[#This Row],[IntegrityP]],'Reference - CVSSv3.0'!$B$15:$C$17,2,FALSE())) *  (1 - VLOOKUP(Table4[[#This Row],[AvailabilityP]],'Reference - CVSSv3.0'!$B$15:$C$17,2,FALSE()))))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66">
      <c r="A84" s="84">
        <v>80</v>
      </c>
      <c r="B84" s="85" t="s">
        <v>207</v>
      </c>
      <c r="C84" s="88" t="str">
        <f>IF(VLOOKUP(Table4[[#This Row],[T ID]],Table5[#All],5,FALSE())="No","Not in scope",VLOOKUP(Table4[[#This Row],[T ID]],Table5[#All],2,FALSE()))</f>
        <v>Open network port exploit
(TTP)</v>
      </c>
      <c r="D84" s="87" t="s">
        <v>128</v>
      </c>
      <c r="E84" s="88" t="str">
        <f>IF(VLOOKUP(Table4[[#This Row],[V ID]],Vulnerabilities[#All],3,FALSE())="No","Not in scope",VLOOKUP(Table4[[#This Row],[V ID]],Vulnerabilities[#All],2,FALSE()))</f>
        <v>Unencrypted Network segment through out the information flow</v>
      </c>
      <c r="F84" s="94" t="s">
        <v>46</v>
      </c>
      <c r="G84" s="88" t="str">
        <f>VLOOKUP(Table4[[#This Row],[A ID]],Assets[#All],3,FALSE())</f>
        <v>Tablet OS/network details &amp; Tablet Application</v>
      </c>
      <c r="H84" s="19" t="s">
        <v>322</v>
      </c>
      <c r="I84" s="19"/>
      <c r="J84" s="89" t="s">
        <v>278</v>
      </c>
      <c r="K84" s="89" t="s">
        <v>278</v>
      </c>
      <c r="L84" s="89" t="s">
        <v>271</v>
      </c>
      <c r="M84" s="90" t="s">
        <v>277</v>
      </c>
      <c r="N84" s="90" t="s">
        <v>280</v>
      </c>
      <c r="O84" s="90" t="s">
        <v>271</v>
      </c>
      <c r="P84" s="90" t="s">
        <v>278</v>
      </c>
      <c r="Q84" s="90" t="s">
        <v>274</v>
      </c>
      <c r="R8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1">
        <f>(1 - ((1 - VLOOKUP(Table4[[#This Row],[Confidentiality]],'Reference - CVSSv3.0'!$B$15:$C$17,2,FALSE())) * (1 - VLOOKUP(Table4[[#This Row],[Integrity]],'Reference - CVSSv3.0'!$B$15:$C$17,2,FALSE())) *  (1 - VLOOKUP(Table4[[#This Row],[Availability]],'Reference - CVSSv3.0'!$B$15:$C$17,2,FALSE()))))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281</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275</v>
      </c>
      <c r="AA84" s="19" t="s">
        <v>312</v>
      </c>
      <c r="AB84" s="225" t="s">
        <v>464</v>
      </c>
      <c r="AC84" s="36"/>
      <c r="AD84" s="36"/>
      <c r="AE84" s="36"/>
      <c r="AF84" s="90"/>
      <c r="AG84" s="90"/>
      <c r="AH84" s="90"/>
      <c r="AI84" s="90"/>
      <c r="AJ84" s="90"/>
      <c r="AK8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1" t="e">
        <f>(1 - ((1 - VLOOKUP(Table4[[#This Row],[ConfidentialityP]],'Reference - CVSSv3.0'!$B$15:$C$17,2,FALSE())) * (1 - VLOOKUP(Table4[[#This Row],[IntegrityP]],'Reference - CVSSv3.0'!$B$15:$C$17,2,FALSE())) *  (1 - VLOOKUP(Table4[[#This Row],[AvailabilityP]],'Reference - CVSSv3.0'!$B$15:$C$17,2,FALSE()))))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80">
      <c r="A85" s="84">
        <v>81</v>
      </c>
      <c r="B85" s="85" t="s">
        <v>207</v>
      </c>
      <c r="C85" s="88" t="str">
        <f>IF(VLOOKUP(Table4[[#This Row],[T ID]],Table5[#All],5,FALSE())="No","Not in scope",VLOOKUP(Table4[[#This Row],[T ID]],Table5[#All],2,FALSE()))</f>
        <v>Open network port exploit
(TTP)</v>
      </c>
      <c r="D85" s="87" t="s">
        <v>135</v>
      </c>
      <c r="E85" s="88" t="str">
        <f>IF(VLOOKUP(Table4[[#This Row],[V ID]],Vulnerabilities[#All],3,FALSE())="No","Not in scope",VLOOKUP(Table4[[#This Row],[V ID]],Vulnerabilities[#All],2,FALSE()))</f>
        <v>Unencrypted data in transit in all flowchannels</v>
      </c>
      <c r="F85" s="94" t="s">
        <v>72</v>
      </c>
      <c r="G85" s="88" t="str">
        <f>VLOOKUP(Table4[[#This Row],[A ID]],Assets[#All],3,FALSE())</f>
        <v>Data in Transit</v>
      </c>
      <c r="H85" s="19" t="s">
        <v>325</v>
      </c>
      <c r="I85" s="19"/>
      <c r="J85" s="89" t="s">
        <v>278</v>
      </c>
      <c r="K85" s="89" t="s">
        <v>278</v>
      </c>
      <c r="L85" s="89" t="s">
        <v>271</v>
      </c>
      <c r="M85" s="90" t="s">
        <v>277</v>
      </c>
      <c r="N85" s="90" t="s">
        <v>280</v>
      </c>
      <c r="O85" s="90" t="s">
        <v>271</v>
      </c>
      <c r="P85" s="90" t="s">
        <v>278</v>
      </c>
      <c r="Q85" s="90" t="s">
        <v>274</v>
      </c>
      <c r="R8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1">
        <f>(1 - ((1 - VLOOKUP(Table4[[#This Row],[Confidentiality]],'Reference - CVSSv3.0'!$B$15:$C$17,2,FALSE())) * (1 - VLOOKUP(Table4[[#This Row],[Integrity]],'Reference - CVSSv3.0'!$B$15:$C$17,2,FALSE())) *  (1 - VLOOKUP(Table4[[#This Row],[Availability]],'Reference - CVSSv3.0'!$B$15:$C$17,2,FALSE()))))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281</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306</v>
      </c>
      <c r="AA85" s="19" t="s">
        <v>326</v>
      </c>
      <c r="AB85" s="225" t="s">
        <v>472</v>
      </c>
      <c r="AC85" s="36"/>
      <c r="AD85" s="36"/>
      <c r="AE85" s="36"/>
      <c r="AF85" s="90"/>
      <c r="AG85" s="90"/>
      <c r="AH85" s="90"/>
      <c r="AI85" s="90"/>
      <c r="AJ85" s="90"/>
      <c r="AK8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1" t="e">
        <f>(1 - ((1 - VLOOKUP(Table4[[#This Row],[ConfidentialityP]],'Reference - CVSSv3.0'!$B$15:$C$17,2,FALSE())) * (1 - VLOOKUP(Table4[[#This Row],[IntegrityP]],'Reference - CVSSv3.0'!$B$15:$C$17,2,FALSE())) *  (1 - VLOOKUP(Table4[[#This Row],[AvailabilityP]],'Reference - CVSSv3.0'!$B$15:$C$17,2,FALSE()))))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66">
      <c r="A86" s="97">
        <v>82</v>
      </c>
      <c r="B86" s="85" t="s">
        <v>207</v>
      </c>
      <c r="C86" s="88" t="str">
        <f>IF(VLOOKUP(Table4[[#This Row],[T ID]],Table5[#All],5,FALSE())="No","Not in scope",VLOOKUP(Table4[[#This Row],[T ID]],Table5[#All],2,FALSE()))</f>
        <v>Open network port exploit
(TTP)</v>
      </c>
      <c r="D86" s="104" t="s">
        <v>108</v>
      </c>
      <c r="E86" s="88" t="str">
        <f>IF(VLOOKUP(Table4[[#This Row],[V ID]],Vulnerabilities[#All],3,FALSE())="No","Not in scope",VLOOKUP(Table4[[#This Row],[V ID]],Vulnerabilities[#All],2,FALSE()))</f>
        <v>Insecure communications in networks (hospital)</v>
      </c>
      <c r="F86" s="94" t="s">
        <v>46</v>
      </c>
      <c r="G86" s="88" t="str">
        <f>VLOOKUP(Table4[[#This Row],[A ID]],Assets[#All],3,FALSE())</f>
        <v>Tablet OS/network details &amp; Tablet Application</v>
      </c>
      <c r="H86" s="19" t="s">
        <v>322</v>
      </c>
      <c r="I86" s="19"/>
      <c r="J86" s="89" t="s">
        <v>278</v>
      </c>
      <c r="K86" s="89" t="s">
        <v>271</v>
      </c>
      <c r="L86" s="89" t="s">
        <v>271</v>
      </c>
      <c r="M86" s="90" t="s">
        <v>277</v>
      </c>
      <c r="N86" s="90" t="s">
        <v>280</v>
      </c>
      <c r="O86" s="90" t="s">
        <v>271</v>
      </c>
      <c r="P86" s="90" t="s">
        <v>278</v>
      </c>
      <c r="Q86" s="90" t="s">
        <v>274</v>
      </c>
      <c r="R8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1">
        <f>(1 - ((1 - VLOOKUP(Table4[[#This Row],[Confidentiality]],'Reference - CVSSv3.0'!$B$15:$C$17,2,FALSE())) * (1 - VLOOKUP(Table4[[#This Row],[Integrity]],'Reference - CVSSv3.0'!$B$15:$C$17,2,FALSE())) *  (1 - VLOOKUP(Table4[[#This Row],[Availability]],'Reference - CVSSv3.0'!$B$15:$C$17,2,FALSE()))))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281</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275</v>
      </c>
      <c r="AA86" s="19" t="s">
        <v>317</v>
      </c>
      <c r="AB86" s="225" t="s">
        <v>464</v>
      </c>
      <c r="AC86" s="36"/>
      <c r="AD86" s="36"/>
      <c r="AE86" s="36"/>
      <c r="AF86" s="90"/>
      <c r="AG86" s="90"/>
      <c r="AH86" s="90"/>
      <c r="AI86" s="90"/>
      <c r="AJ86" s="90"/>
      <c r="AK8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1" t="e">
        <f>(1 - ((1 - VLOOKUP(Table4[[#This Row],[ConfidentialityP]],'Reference - CVSSv3.0'!$B$15:$C$17,2,FALSE())) * (1 - VLOOKUP(Table4[[#This Row],[IntegrityP]],'Reference - CVSSv3.0'!$B$15:$C$17,2,FALSE())) *  (1 - VLOOKUP(Table4[[#This Row],[AvailabilityP]],'Reference - CVSSv3.0'!$B$15:$C$17,2,FALSE()))))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66">
      <c r="A87" s="84">
        <v>83</v>
      </c>
      <c r="B87" s="85" t="s">
        <v>210</v>
      </c>
      <c r="C87" s="88" t="str">
        <f>IF(VLOOKUP(Table4[[#This Row],[T ID]],Table5[#All],5,FALSE())="No","Not in scope",VLOOKUP(Table4[[#This Row],[T ID]],Table5[#All],2,FALSE()))</f>
        <v>Brute-force Attack
(CAPEC-112)</v>
      </c>
      <c r="D87" s="57" t="s">
        <v>98</v>
      </c>
      <c r="E87" s="88" t="str">
        <f>IF(VLOOKUP(Table4[[#This Row],[V ID]],Vulnerabilities[#All],3,FALSE())="No","Not in scope",VLOOKUP(Table4[[#This Row],[V ID]],Vulnerabilities[#All],2,FALSE()))</f>
        <v>Devices with default passwords needs to be checked for bruteforce attacks</v>
      </c>
      <c r="F87" s="94" t="s">
        <v>75</v>
      </c>
      <c r="G87" s="88" t="str">
        <f>VLOOKUP(Table4[[#This Row],[A ID]],Assets[#All],3,FALSE())</f>
        <v>Smart medic app (Stryker Admin Web Application)</v>
      </c>
      <c r="H87" s="19" t="s">
        <v>327</v>
      </c>
      <c r="I87" s="19"/>
      <c r="J87" s="89" t="s">
        <v>271</v>
      </c>
      <c r="K87" s="89" t="s">
        <v>278</v>
      </c>
      <c r="L87" s="89" t="s">
        <v>271</v>
      </c>
      <c r="M87" s="90" t="s">
        <v>277</v>
      </c>
      <c r="N87" s="90" t="s">
        <v>280</v>
      </c>
      <c r="O87" s="90" t="s">
        <v>280</v>
      </c>
      <c r="P87" s="90" t="s">
        <v>278</v>
      </c>
      <c r="Q87" s="90" t="s">
        <v>274</v>
      </c>
      <c r="R8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1">
        <f>(1 - ((1 - VLOOKUP(Table4[[#This Row],[Confidentiality]],'Reference - CVSSv3.0'!$B$15:$C$17,2,FALSE())) * (1 - VLOOKUP(Table4[[#This Row],[Integrity]],'Reference - CVSSv3.0'!$B$15:$C$17,2,FALSE())) *  (1 - VLOOKUP(Table4[[#This Row],[Availability]],'Reference - CVSSv3.0'!$B$15:$C$17,2,FALSE()))))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281</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328</v>
      </c>
      <c r="AA87" s="19" t="s">
        <v>455</v>
      </c>
      <c r="AB87" s="225" t="s">
        <v>468</v>
      </c>
      <c r="AC87" s="36"/>
      <c r="AD87" s="36"/>
      <c r="AE87" s="36"/>
      <c r="AF87" s="90"/>
      <c r="AG87" s="90"/>
      <c r="AH87" s="90"/>
      <c r="AI87" s="90"/>
      <c r="AJ87" s="90"/>
      <c r="AK8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1" t="e">
        <f>(1 - ((1 - VLOOKUP(Table4[[#This Row],[ConfidentialityP]],'Reference - CVSSv3.0'!$B$15:$C$17,2,FALSE())) * (1 - VLOOKUP(Table4[[#This Row],[IntegrityP]],'Reference - CVSSv3.0'!$B$15:$C$17,2,FALSE())) *  (1 - VLOOKUP(Table4[[#This Row],[AvailabilityP]],'Reference - CVSSv3.0'!$B$15:$C$17,2,FALSE()))))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10">
      <c r="A88" s="84">
        <v>84</v>
      </c>
      <c r="B88" s="85" t="s">
        <v>210</v>
      </c>
      <c r="C88" s="88" t="str">
        <f>IF(VLOOKUP(Table4[[#This Row],[T ID]],Table5[#All],5,FALSE())="No","Not in scope",VLOOKUP(Table4[[#This Row],[T ID]],Table5[#All],2,FALSE()))</f>
        <v>Brute-force Attack
(CAPEC-112)</v>
      </c>
      <c r="D88" s="57" t="s">
        <v>98</v>
      </c>
      <c r="E88" s="88" t="str">
        <f>IF(VLOOKUP(Table4[[#This Row],[V ID]],Vulnerabilities[#All],3,FALSE())="No","Not in scope",VLOOKUP(Table4[[#This Row],[V ID]],Vulnerabilities[#All],2,FALSE()))</f>
        <v>Devices with default passwords needs to be checked for bruteforce attacks</v>
      </c>
      <c r="F88" s="94" t="s">
        <v>78</v>
      </c>
      <c r="G88" s="88" t="str">
        <f>VLOOKUP(Table4[[#This Row],[A ID]],Assets[#All],3,FALSE())</f>
        <v>Smart medic app (Azure Portal Administrator)</v>
      </c>
      <c r="H88" s="19" t="s">
        <v>327</v>
      </c>
      <c r="I88" s="19"/>
      <c r="J88" s="89" t="s">
        <v>271</v>
      </c>
      <c r="K88" s="89" t="s">
        <v>278</v>
      </c>
      <c r="L88" s="89" t="s">
        <v>271</v>
      </c>
      <c r="M88" s="90" t="s">
        <v>277</v>
      </c>
      <c r="N88" s="90" t="s">
        <v>280</v>
      </c>
      <c r="O88" s="90" t="s">
        <v>280</v>
      </c>
      <c r="P88" s="90" t="s">
        <v>278</v>
      </c>
      <c r="Q88" s="90" t="s">
        <v>274</v>
      </c>
      <c r="R8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1">
        <f>(1 - ((1 - VLOOKUP(Table4[[#This Row],[Confidentiality]],'Reference - CVSSv3.0'!$B$15:$C$17,2,FALSE())) * (1 - VLOOKUP(Table4[[#This Row],[Integrity]],'Reference - CVSSv3.0'!$B$15:$C$17,2,FALSE())) *  (1 - VLOOKUP(Table4[[#This Row],[Availability]],'Reference - CVSSv3.0'!$B$15:$C$17,2,FALSE()))))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281</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328</v>
      </c>
      <c r="AA88" s="225" t="s">
        <v>454</v>
      </c>
      <c r="AB88" s="225" t="s">
        <v>468</v>
      </c>
      <c r="AC88" s="36"/>
      <c r="AD88" s="36"/>
      <c r="AE88" s="36"/>
      <c r="AF88" s="90"/>
      <c r="AG88" s="90"/>
      <c r="AH88" s="90"/>
      <c r="AI88" s="90"/>
      <c r="AJ88" s="90"/>
      <c r="AK8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1" t="e">
        <f>(1 - ((1 - VLOOKUP(Table4[[#This Row],[ConfidentialityP]],'Reference - CVSSv3.0'!$B$15:$C$17,2,FALSE())) * (1 - VLOOKUP(Table4[[#This Row],[IntegrityP]],'Reference - CVSSv3.0'!$B$15:$C$17,2,FALSE())) *  (1 - VLOOKUP(Table4[[#This Row],[AvailabilityP]],'Reference - CVSSv3.0'!$B$15:$C$17,2,FALSE()))))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52">
      <c r="A89" s="84">
        <v>85</v>
      </c>
      <c r="B89" s="85" t="s">
        <v>210</v>
      </c>
      <c r="C89" s="88" t="str">
        <f>IF(VLOOKUP(Table4[[#This Row],[T ID]],Table5[#All],5,FALSE())="No","Not in scope",VLOOKUP(Table4[[#This Row],[T ID]],Table5[#All],2,FALSE()))</f>
        <v>Brute-force Attack
(CAPEC-112)</v>
      </c>
      <c r="D89" s="57" t="s">
        <v>104</v>
      </c>
      <c r="E89" s="88" t="str">
        <f>IF(VLOOKUP(Table4[[#This Row],[V ID]],Vulnerabilities[#All],3,FALSE())="No","Not in scope",VLOOKUP(Table4[[#This Row],[V ID]],Vulnerabilities[#All],2,FALSE()))</f>
        <v>The password complexity or location vulnerability. Like weak passwords and hardcoded passwords.</v>
      </c>
      <c r="F89" s="94" t="s">
        <v>75</v>
      </c>
      <c r="G89" s="88" t="str">
        <f>VLOOKUP(Table4[[#This Row],[A ID]],Assets[#All],3,FALSE())</f>
        <v>Smart medic app (Stryker Admin Web Application)</v>
      </c>
      <c r="H89" s="19" t="s">
        <v>327</v>
      </c>
      <c r="I89" s="19"/>
      <c r="J89" s="89" t="s">
        <v>271</v>
      </c>
      <c r="K89" s="89" t="s">
        <v>278</v>
      </c>
      <c r="L89" s="89" t="s">
        <v>271</v>
      </c>
      <c r="M89" s="90" t="s">
        <v>277</v>
      </c>
      <c r="N89" s="90" t="s">
        <v>280</v>
      </c>
      <c r="O89" s="90" t="s">
        <v>280</v>
      </c>
      <c r="P89" s="90" t="s">
        <v>278</v>
      </c>
      <c r="Q89" s="90" t="s">
        <v>274</v>
      </c>
      <c r="R8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1">
        <f>(1 - ((1 - VLOOKUP(Table4[[#This Row],[Confidentiality]],'Reference - CVSSv3.0'!$B$15:$C$17,2,FALSE())) * (1 - VLOOKUP(Table4[[#This Row],[Integrity]],'Reference - CVSSv3.0'!$B$15:$C$17,2,FALSE())) *  (1 - VLOOKUP(Table4[[#This Row],[Availability]],'Reference - CVSSv3.0'!$B$15:$C$17,2,FALSE()))))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281</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321</v>
      </c>
      <c r="AA89" s="99" t="s">
        <v>439</v>
      </c>
      <c r="AB89" s="225" t="s">
        <v>468</v>
      </c>
      <c r="AC89" s="36"/>
      <c r="AD89" s="36"/>
      <c r="AE89" s="36"/>
      <c r="AF89" s="90"/>
      <c r="AG89" s="90"/>
      <c r="AH89" s="90"/>
      <c r="AI89" s="90"/>
      <c r="AJ89" s="90"/>
      <c r="AK8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1" t="e">
        <f>(1 - ((1 - VLOOKUP(Table4[[#This Row],[ConfidentialityP]],'Reference - CVSSv3.0'!$B$15:$C$17,2,FALSE())) * (1 - VLOOKUP(Table4[[#This Row],[IntegrityP]],'Reference - CVSSv3.0'!$B$15:$C$17,2,FALSE())) *  (1 - VLOOKUP(Table4[[#This Row],[AvailabilityP]],'Reference - CVSSv3.0'!$B$15:$C$17,2,FALSE()))))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196">
      <c r="A90" s="84">
        <v>86</v>
      </c>
      <c r="B90" s="85" t="s">
        <v>210</v>
      </c>
      <c r="C90" s="88" t="str">
        <f>IF(VLOOKUP(Table4[[#This Row],[T ID]],Table5[#All],5,FALSE())="No","Not in scope",VLOOKUP(Table4[[#This Row],[T ID]],Table5[#All],2,FALSE()))</f>
        <v>Brute-force Attack
(CAPEC-112)</v>
      </c>
      <c r="D90" s="57" t="s">
        <v>104</v>
      </c>
      <c r="E90" s="88" t="str">
        <f>IF(VLOOKUP(Table4[[#This Row],[V ID]],Vulnerabilities[#All],3,FALSE())="No","Not in scope",VLOOKUP(Table4[[#This Row],[V ID]],Vulnerabilities[#All],2,FALSE()))</f>
        <v>The password complexity or location vulnerability. Like weak passwords and hardcoded passwords.</v>
      </c>
      <c r="F90" s="94" t="s">
        <v>78</v>
      </c>
      <c r="G90" s="88" t="str">
        <f>VLOOKUP(Table4[[#This Row],[A ID]],Assets[#All],3,FALSE())</f>
        <v>Smart medic app (Azure Portal Administrator)</v>
      </c>
      <c r="H90" s="19" t="s">
        <v>327</v>
      </c>
      <c r="I90" s="19"/>
      <c r="J90" s="89" t="s">
        <v>271</v>
      </c>
      <c r="K90" s="89" t="s">
        <v>278</v>
      </c>
      <c r="L90" s="89" t="s">
        <v>271</v>
      </c>
      <c r="M90" s="90" t="s">
        <v>277</v>
      </c>
      <c r="N90" s="90" t="s">
        <v>280</v>
      </c>
      <c r="O90" s="90" t="s">
        <v>280</v>
      </c>
      <c r="P90" s="90" t="s">
        <v>278</v>
      </c>
      <c r="Q90" s="90" t="s">
        <v>274</v>
      </c>
      <c r="R9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1">
        <f>(1 - ((1 - VLOOKUP(Table4[[#This Row],[Confidentiality]],'Reference - CVSSv3.0'!$B$15:$C$17,2,FALSE())) * (1 - VLOOKUP(Table4[[#This Row],[Integrity]],'Reference - CVSSv3.0'!$B$15:$C$17,2,FALSE())) *  (1 - VLOOKUP(Table4[[#This Row],[Availability]],'Reference - CVSSv3.0'!$B$15:$C$17,2,FALSE()))))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281</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329</v>
      </c>
      <c r="AA90" s="225" t="s">
        <v>454</v>
      </c>
      <c r="AB90" s="225" t="s">
        <v>468</v>
      </c>
      <c r="AC90" s="36"/>
      <c r="AD90" s="36"/>
      <c r="AE90" s="36"/>
      <c r="AF90" s="90"/>
      <c r="AG90" s="90"/>
      <c r="AH90" s="90"/>
      <c r="AI90" s="90"/>
      <c r="AJ90" s="90"/>
      <c r="AK9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1" t="e">
        <f>(1 - ((1 - VLOOKUP(Table4[[#This Row],[ConfidentialityP]],'Reference - CVSSv3.0'!$B$15:$C$17,2,FALSE())) * (1 - VLOOKUP(Table4[[#This Row],[IntegrityP]],'Reference - CVSSv3.0'!$B$15:$C$17,2,FALSE())) *  (1 - VLOOKUP(Table4[[#This Row],[AvailabilityP]],'Reference - CVSSv3.0'!$B$15:$C$17,2,FALSE()))))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50">
      <c r="A91" s="84">
        <v>87</v>
      </c>
      <c r="B91" s="85" t="s">
        <v>210</v>
      </c>
      <c r="C91" s="88" t="str">
        <f>IF(VLOOKUP(Table4[[#This Row],[T ID]],Table5[#All],5,FALSE())="No","Not in scope",VLOOKUP(Table4[[#This Row],[T ID]],Table5[#All],2,FALSE()))</f>
        <v>Brute-force Attack
(CAPEC-112)</v>
      </c>
      <c r="D91" s="57" t="s">
        <v>137</v>
      </c>
      <c r="E91" s="88" t="str">
        <f>IF(VLOOKUP(Table4[[#This Row],[V ID]],Vulnerabilities[#All],3,FALSE())="No","Not in scope",VLOOKUP(Table4[[#This Row],[V ID]],Vulnerabilities[#All],2,FALSE()))</f>
        <v>Weak Encryption Implementaion in data at rest and in transit tactical and design wise</v>
      </c>
      <c r="F91" s="87" t="s">
        <v>69</v>
      </c>
      <c r="G91" s="88" t="str">
        <f>VLOOKUP(Table4[[#This Row],[A ID]],Assets[#All],3,FALSE())</f>
        <v>Data at Rest</v>
      </c>
      <c r="H91" s="19" t="s">
        <v>330</v>
      </c>
      <c r="I91" s="19"/>
      <c r="J91" s="89" t="s">
        <v>271</v>
      </c>
      <c r="K91" s="89" t="s">
        <v>278</v>
      </c>
      <c r="L91" s="89" t="s">
        <v>271</v>
      </c>
      <c r="M91" s="90" t="s">
        <v>279</v>
      </c>
      <c r="N91" s="89" t="s">
        <v>280</v>
      </c>
      <c r="O91" s="90" t="s">
        <v>280</v>
      </c>
      <c r="P91" s="90" t="s">
        <v>278</v>
      </c>
      <c r="Q91" s="89" t="s">
        <v>274</v>
      </c>
      <c r="R9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1">
        <f>(1 - ((1 - VLOOKUP(Table4[[#This Row],[Confidentiality]],'Reference - CVSSv3.0'!$B$15:$C$17,2,FALSE())) * (1 - VLOOKUP(Table4[[#This Row],[Integrity]],'Reference - CVSSv3.0'!$B$15:$C$17,2,FALSE())) *  (1 - VLOOKUP(Table4[[#This Row],[Availability]],'Reference - CVSSv3.0'!$B$15:$C$17,2,FALSE()))))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281</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331</v>
      </c>
      <c r="AA91" s="270" t="s">
        <v>456</v>
      </c>
      <c r="AB91" s="225" t="s">
        <v>472</v>
      </c>
      <c r="AC91" s="36"/>
      <c r="AD91" s="36"/>
      <c r="AE91" s="36"/>
      <c r="AF91" s="89"/>
      <c r="AG91" s="89"/>
      <c r="AH91" s="89"/>
      <c r="AI91" s="89"/>
      <c r="AJ91" s="89"/>
      <c r="AK9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1" t="e">
        <f>(1 - ((1 - VLOOKUP(Table4[[#This Row],[ConfidentialityP]],'Reference - CVSSv3.0'!$B$15:$C$17,2,FALSE())) * (1 - VLOOKUP(Table4[[#This Row],[IntegrityP]],'Reference - CVSSv3.0'!$B$15:$C$17,2,FALSE())) *  (1 - VLOOKUP(Table4[[#This Row],[AvailabilityP]],'Reference - CVSSv3.0'!$B$15:$C$17,2,FALSE()))))</f>
        <v>#N/A</v>
      </c>
      <c r="AM91" s="91" t="e">
        <f>IF(Table4[[#This Row],[ScopeP]]="Unchanged",6.42*Table4[[#This Row],[ISC BaseP]],IF(Table4[[#This Row],[ScopeP]]="Changed",7.52*(Table4[[#This Row],[ISC BaseP]] - 0.029) - 3.25 * POWER(Table4[[#This Row],[ISC BaseP]] - 0.02,15),NA()))</f>
        <v>#N/A</v>
      </c>
      <c r="AN91" s="10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0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280">
      <c r="A92" s="84">
        <v>88</v>
      </c>
      <c r="B92" s="85" t="s">
        <v>210</v>
      </c>
      <c r="C92" s="88" t="str">
        <f>IF(VLOOKUP(Table4[[#This Row],[T ID]],Table5[#All],5,FALSE())="No","Not in scope",VLOOKUP(Table4[[#This Row],[T ID]],Table5[#All],2,FALSE()))</f>
        <v>Brute-force Attack
(CAPEC-112)</v>
      </c>
      <c r="D92" s="57" t="s">
        <v>137</v>
      </c>
      <c r="E92" s="88" t="str">
        <f>IF(VLOOKUP(Table4[[#This Row],[V ID]],Vulnerabilities[#All],3,FALSE())="No","Not in scope",VLOOKUP(Table4[[#This Row],[V ID]],Vulnerabilities[#All],2,FALSE()))</f>
        <v>Weak Encryption Implementaion in data at rest and in transit tactical and design wise</v>
      </c>
      <c r="F92" s="87" t="s">
        <v>72</v>
      </c>
      <c r="G92" s="88" t="str">
        <f>VLOOKUP(Table4[[#This Row],[A ID]],Assets[#All],3,FALSE())</f>
        <v>Data in Transit</v>
      </c>
      <c r="H92" s="19" t="s">
        <v>330</v>
      </c>
      <c r="I92" s="19"/>
      <c r="J92" s="89" t="s">
        <v>271</v>
      </c>
      <c r="K92" s="89" t="s">
        <v>278</v>
      </c>
      <c r="L92" s="89" t="s">
        <v>271</v>
      </c>
      <c r="M92" s="90" t="s">
        <v>277</v>
      </c>
      <c r="N92" s="89" t="s">
        <v>280</v>
      </c>
      <c r="O92" s="90" t="s">
        <v>280</v>
      </c>
      <c r="P92" s="90" t="s">
        <v>278</v>
      </c>
      <c r="Q92" s="89" t="s">
        <v>274</v>
      </c>
      <c r="R9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1">
        <f>(1 - ((1 - VLOOKUP(Table4[[#This Row],[Confidentiality]],'Reference - CVSSv3.0'!$B$15:$C$17,2,FALSE())) * (1 - VLOOKUP(Table4[[#This Row],[Integrity]],'Reference - CVSSv3.0'!$B$15:$C$17,2,FALSE())) *  (1 - VLOOKUP(Table4[[#This Row],[Availability]],'Reference - CVSSv3.0'!$B$15:$C$17,2,FALSE()))))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281</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308</v>
      </c>
      <c r="AA92" s="19" t="s">
        <v>332</v>
      </c>
      <c r="AB92" s="225" t="s">
        <v>472</v>
      </c>
      <c r="AC92" s="36"/>
      <c r="AD92" s="36"/>
      <c r="AE92" s="36"/>
      <c r="AF92" s="89"/>
      <c r="AG92" s="89"/>
      <c r="AH92" s="89"/>
      <c r="AI92" s="89"/>
      <c r="AJ92" s="89"/>
      <c r="AK9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1" t="e">
        <f>(1 - ((1 - VLOOKUP(Table4[[#This Row],[ConfidentialityP]],'Reference - CVSSv3.0'!$B$15:$C$17,2,FALSE())) * (1 - VLOOKUP(Table4[[#This Row],[IntegrityP]],'Reference - CVSSv3.0'!$B$15:$C$17,2,FALSE())) *  (1 - VLOOKUP(Table4[[#This Row],[AvailabilityP]],'Reference - CVSSv3.0'!$B$15:$C$17,2,FALSE()))))</f>
        <v>#N/A</v>
      </c>
      <c r="AM92" s="91" t="e">
        <f>IF(Table4[[#This Row],[ScopeP]]="Unchanged",6.42*Table4[[#This Row],[ISC BaseP]],IF(Table4[[#This Row],[ScopeP]]="Changed",7.52*(Table4[[#This Row],[ISC BaseP]] - 0.029) - 3.25 * POWER(Table4[[#This Row],[ISC BaseP]] - 0.02,15),NA()))</f>
        <v>#N/A</v>
      </c>
      <c r="AN92" s="10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0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213</v>
      </c>
      <c r="C93" s="88" t="str">
        <f>IF(VLOOKUP(Table4[[#This Row],[T ID]],Table5[#All],5,FALSE())="No","Not in scope",VLOOKUP(Table4[[#This Row],[T ID]],Table5[#All],2,FALSE()))</f>
        <v>Social Engineering
(TTP)</v>
      </c>
      <c r="D93" s="87" t="s">
        <v>146</v>
      </c>
      <c r="E93" s="88" t="str">
        <f>IF(VLOOKUP(Table4[[#This Row],[V ID]],Vulnerabilities[#All],3,FALSE())="No","Not in scope",VLOOKUP(Table4[[#This Row],[V ID]],Vulnerabilities[#All],2,FALSE()))</f>
        <v>Legacy system identification if any</v>
      </c>
      <c r="F93" s="94" t="s">
        <v>75</v>
      </c>
      <c r="G93" s="88" t="str">
        <f>VLOOKUP(Table4[[#This Row],[A ID]],Assets[#All],3,FALSE())</f>
        <v>Smart medic app (Stryker Admin Web Application)</v>
      </c>
      <c r="H93" s="19" t="s">
        <v>333</v>
      </c>
      <c r="I93" s="19"/>
      <c r="J93" s="89" t="s">
        <v>278</v>
      </c>
      <c r="K93" s="89" t="s">
        <v>271</v>
      </c>
      <c r="L93" s="89" t="s">
        <v>280</v>
      </c>
      <c r="M93" s="90" t="s">
        <v>334</v>
      </c>
      <c r="N93" s="90" t="s">
        <v>280</v>
      </c>
      <c r="O93" s="90" t="s">
        <v>280</v>
      </c>
      <c r="P93" s="90" t="s">
        <v>273</v>
      </c>
      <c r="Q93" s="90" t="s">
        <v>274</v>
      </c>
      <c r="R9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1">
        <f>(1 - ((1 - VLOOKUP(Table4[[#This Row],[Confidentiality]],'Reference - CVSSv3.0'!$B$15:$C$17,2,FALSE())) * (1 - VLOOKUP(Table4[[#This Row],[Integrity]],'Reference - CVSSv3.0'!$B$15:$C$17,2,FALSE())) *  (1 - VLOOKUP(Table4[[#This Row],[Availability]],'Reference - CVSSv3.0'!$B$15:$C$17,2,FALSE()))))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281</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335</v>
      </c>
      <c r="AA93" s="225" t="s">
        <v>454</v>
      </c>
      <c r="AB93" s="225" t="s">
        <v>468</v>
      </c>
      <c r="AC93" s="36"/>
      <c r="AD93" s="36"/>
      <c r="AE93" s="36"/>
      <c r="AF93" s="90"/>
      <c r="AG93" s="90"/>
      <c r="AH93" s="90"/>
      <c r="AI93" s="90"/>
      <c r="AJ93" s="90"/>
      <c r="AK9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1" t="e">
        <f>(1 - ((1 - VLOOKUP(Table4[[#This Row],[ConfidentialityP]],'Reference - CVSSv3.0'!$B$15:$C$17,2,FALSE())) * (1 - VLOOKUP(Table4[[#This Row],[IntegrityP]],'Reference - CVSSv3.0'!$B$15:$C$17,2,FALSE())) *  (1 - VLOOKUP(Table4[[#This Row],[AvailabilityP]],'Reference - CVSSv3.0'!$B$15:$C$17,2,FALSE()))))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54">
      <c r="A94" s="84">
        <v>90</v>
      </c>
      <c r="B94" s="85" t="s">
        <v>213</v>
      </c>
      <c r="C94" s="88" t="str">
        <f>IF(VLOOKUP(Table4[[#This Row],[T ID]],Table5[#All],5,FALSE())="No","Not in scope",VLOOKUP(Table4[[#This Row],[T ID]],Table5[#All],2,FALSE()))</f>
        <v>Social Engineering
(TTP)</v>
      </c>
      <c r="D94" s="87" t="s">
        <v>106</v>
      </c>
      <c r="E94" s="88" t="str">
        <f>IF(VLOOKUP(Table4[[#This Row],[V ID]],Vulnerabilities[#All],3,FALSE())="No","Not in scope",VLOOKUP(Table4[[#This Row],[V ID]],Vulnerabilities[#All],2,FALSE()))</f>
        <v>Checking authentication modes for possible hacks and bypasses</v>
      </c>
      <c r="F94" s="100" t="s">
        <v>63</v>
      </c>
      <c r="G94" s="88" t="str">
        <f>VLOOKUP(Table4[[#This Row],[A ID]],Assets[#All],3,FALSE())</f>
        <v>Interface/API Communication</v>
      </c>
      <c r="H94" s="19" t="s">
        <v>336</v>
      </c>
      <c r="I94" s="19"/>
      <c r="J94" s="89" t="s">
        <v>278</v>
      </c>
      <c r="K94" s="89" t="s">
        <v>271</v>
      </c>
      <c r="L94" s="89" t="s">
        <v>280</v>
      </c>
      <c r="M94" s="90" t="s">
        <v>334</v>
      </c>
      <c r="N94" s="90" t="s">
        <v>280</v>
      </c>
      <c r="O94" s="90" t="s">
        <v>280</v>
      </c>
      <c r="P94" s="90" t="s">
        <v>273</v>
      </c>
      <c r="Q94" s="90" t="s">
        <v>274</v>
      </c>
      <c r="R9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1">
        <f>(1 - ((1 - VLOOKUP(Table4[[#This Row],[Confidentiality]],'Reference - CVSSv3.0'!$B$15:$C$17,2,FALSE())) * (1 - VLOOKUP(Table4[[#This Row],[Integrity]],'Reference - CVSSv3.0'!$B$15:$C$17,2,FALSE())) *  (1 - VLOOKUP(Table4[[#This Row],[Availability]],'Reference - CVSSv3.0'!$B$15:$C$17,2,FALSE()))))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281</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337</v>
      </c>
      <c r="AA94" s="225" t="s">
        <v>454</v>
      </c>
      <c r="AB94" s="225" t="s">
        <v>468</v>
      </c>
      <c r="AC94" s="36"/>
      <c r="AD94" s="36"/>
      <c r="AE94" s="36"/>
      <c r="AF94" s="90"/>
      <c r="AG94" s="90"/>
      <c r="AH94" s="90"/>
      <c r="AI94" s="90"/>
      <c r="AJ94" s="90"/>
      <c r="AK9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1" t="e">
        <f>(1 - ((1 - VLOOKUP(Table4[[#This Row],[ConfidentialityP]],'Reference - CVSSv3.0'!$B$15:$C$17,2,FALSE())) * (1 - VLOOKUP(Table4[[#This Row],[IntegrityP]],'Reference - CVSSv3.0'!$B$15:$C$17,2,FALSE())) *  (1 - VLOOKUP(Table4[[#This Row],[AvailabilityP]],'Reference - CVSSv3.0'!$B$15:$C$17,2,FALSE()))))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64" customFormat="1" ht="158.5" customHeight="1">
      <c r="A95" s="255">
        <v>91</v>
      </c>
      <c r="B95" s="256" t="s">
        <v>216</v>
      </c>
      <c r="C95" s="257" t="str">
        <f>IF(VLOOKUP(Table4[[#This Row],[T ID]],Table5[#All],5,FALSE())="No","Not in scope",VLOOKUP(Table4[[#This Row],[T ID]],Table5[#All],2,FALSE()))</f>
        <v>Lack of evidence to conclude any malicious attempt/attack
(ST[R]IDE)</v>
      </c>
      <c r="D95" s="256" t="s">
        <v>164</v>
      </c>
      <c r="E95" s="257" t="str">
        <f>IF(VLOOKUP(Table4[[#This Row],[V ID]],Vulnerabilities[#All],3,FALSE())="No","Not in scope",VLOOKUP(Table4[[#This Row],[V ID]],Vulnerabilities[#All],2,FALSE()))</f>
        <v xml:space="preserve">Insufficient Logging information </v>
      </c>
      <c r="F95" s="256" t="s">
        <v>78</v>
      </c>
      <c r="G95" s="257" t="str">
        <f>VLOOKUP(Table4[[#This Row],[A ID]],Assets[#All],3,FALSE())</f>
        <v>Smart medic app (Azure Portal Administrator)</v>
      </c>
      <c r="H95" s="257" t="s">
        <v>338</v>
      </c>
      <c r="I95" s="258"/>
      <c r="J95" s="256" t="s">
        <v>271</v>
      </c>
      <c r="K95" s="256" t="s">
        <v>271</v>
      </c>
      <c r="L95" s="256" t="s">
        <v>271</v>
      </c>
      <c r="M95" s="259" t="s">
        <v>279</v>
      </c>
      <c r="N95" s="259" t="s">
        <v>271</v>
      </c>
      <c r="O95" s="259" t="s">
        <v>271</v>
      </c>
      <c r="P95" s="259" t="s">
        <v>278</v>
      </c>
      <c r="Q95" s="259" t="s">
        <v>274</v>
      </c>
      <c r="R95"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61">
        <f>(1 - ((1 - VLOOKUP(Table4[[#This Row],[Confidentiality]],'Reference - CVSSv3.0'!$B$15:$C$17,2,FALSE())) * (1 - VLOOKUP(Table4[[#This Row],[Integrity]],'Reference - CVSSv3.0'!$B$15:$C$17,2,FALSE())) *  (1 - VLOOKUP(Table4[[#This Row],[Availability]],'Reference - CVSSv3.0'!$B$15:$C$17,2,FALSE()))))</f>
        <v>0.52544799999999992</v>
      </c>
      <c r="T95" s="261">
        <f>IF(Table4[[#This Row],[Scope]]="Unchanged",6.42*Table4[[#This Row],[ISC Base]],IF(Table4[[#This Row],[Scope]]="Changed",7.52*(Table4[[#This Row],[ISC Base]] - 0.029) - 3.25 * POWER(Table4[[#This Row],[ISC Base]] - 0.02,15),NA()))</f>
        <v>3.3733761599999994</v>
      </c>
      <c r="U95" s="261">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61" t="s">
        <v>271</v>
      </c>
      <c r="W95" s="261">
        <f>VLOOKUP(Table4[[#This Row],[Threat Event Initiation]],NIST_Scale_LOAI[],2,FALSE())</f>
        <v>0.2</v>
      </c>
      <c r="X95"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6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57" t="s">
        <v>339</v>
      </c>
      <c r="AA95" s="271" t="s">
        <v>454</v>
      </c>
      <c r="AB95" s="225" t="s">
        <v>468</v>
      </c>
      <c r="AC95" s="258"/>
      <c r="AD95" s="258"/>
      <c r="AE95" s="258"/>
      <c r="AF95" s="259"/>
      <c r="AG95" s="259"/>
      <c r="AH95" s="259"/>
      <c r="AI95" s="259"/>
      <c r="AJ95" s="259"/>
      <c r="AK95"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61" t="e">
        <f>(1 - ((1 - VLOOKUP(Table4[[#This Row],[ConfidentialityP]],'Reference - CVSSv3.0'!$B$15:$C$17,2,FALSE())) * (1 - VLOOKUP(Table4[[#This Row],[IntegrityP]],'Reference - CVSSv3.0'!$B$15:$C$17,2,FALSE())) *  (1 - VLOOKUP(Table4[[#This Row],[AvailabilityP]],'Reference - CVSSv3.0'!$B$15:$C$17,2,FALSE()))))</f>
        <v>#N/A</v>
      </c>
      <c r="AM95" s="261" t="e">
        <f>IF(Table4[[#This Row],[ScopeP]]="Unchanged",6.42*Table4[[#This Row],[ISC BaseP]],IF(Table4[[#This Row],[ScopeP]]="Changed",7.52*(Table4[[#This Row],[ISC BaseP]] - 0.029) - 3.25 * POWER(Table4[[#This Row],[ISC BaseP]] - 0.02,15),NA()))</f>
        <v>#N/A</v>
      </c>
      <c r="AN95"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58"/>
    </row>
    <row r="96" spans="1:43" s="264" customFormat="1" ht="162" customHeight="1">
      <c r="A96" s="265">
        <v>92</v>
      </c>
      <c r="B96" s="249" t="s">
        <v>216</v>
      </c>
      <c r="C96" s="247" t="str">
        <f>IF(VLOOKUP(Table4[[#This Row],[T ID]],Table5[#All],5,FALSE())="No","Not in scope",VLOOKUP(Table4[[#This Row],[T ID]],Table5[#All],2,FALSE()))</f>
        <v>Lack of evidence to conclude any malicious attempt/attack
(ST[R]IDE)</v>
      </c>
      <c r="D96" s="249" t="s">
        <v>166</v>
      </c>
      <c r="E96" s="247" t="str">
        <f>IF(VLOOKUP(Table4[[#This Row],[V ID]],Vulnerabilities[#All],3,FALSE())="No","Not in scope",VLOOKUP(Table4[[#This Row],[V ID]],Vulnerabilities[#All],2,FALSE()))</f>
        <v>Insufficient Access permissions for accessing and modifying Log files</v>
      </c>
      <c r="F96" s="249" t="s">
        <v>78</v>
      </c>
      <c r="G96" s="247" t="str">
        <f>VLOOKUP(Table4[[#This Row],[A ID]],Assets[#All],3,FALSE())</f>
        <v>Smart medic app (Azure Portal Administrator)</v>
      </c>
      <c r="H96" s="257" t="s">
        <v>338</v>
      </c>
      <c r="I96" s="250"/>
      <c r="J96" s="249" t="s">
        <v>271</v>
      </c>
      <c r="K96" s="249" t="s">
        <v>271</v>
      </c>
      <c r="L96" s="249" t="s">
        <v>271</v>
      </c>
      <c r="M96" s="251" t="s">
        <v>279</v>
      </c>
      <c r="N96" s="249" t="s">
        <v>271</v>
      </c>
      <c r="O96" s="249" t="s">
        <v>271</v>
      </c>
      <c r="P96" s="251" t="s">
        <v>278</v>
      </c>
      <c r="Q96" s="251" t="s">
        <v>274</v>
      </c>
      <c r="R96" s="26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52">
        <f>(1 - ((1 - VLOOKUP(Table4[[#This Row],[Confidentiality]],'Reference - CVSSv3.0'!$B$15:$C$17,2,FALSE())) * (1 - VLOOKUP(Table4[[#This Row],[Integrity]],'Reference - CVSSv3.0'!$B$15:$C$17,2,FALSE())) *  (1 - VLOOKUP(Table4[[#This Row],[Availability]],'Reference - CVSSv3.0'!$B$15:$C$17,2,FALSE()))))</f>
        <v>0.52544799999999992</v>
      </c>
      <c r="T96" s="252">
        <f>IF(Table4[[#This Row],[Scope]]="Unchanged",6.42*Table4[[#This Row],[ISC Base]],IF(Table4[[#This Row],[Scope]]="Changed",7.52*(Table4[[#This Row],[ISC Base]] - 0.029) - 3.25 * POWER(Table4[[#This Row],[ISC Base]] - 0.02,15),NA()))</f>
        <v>3.3733761599999994</v>
      </c>
      <c r="U96" s="252">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52" t="s">
        <v>271</v>
      </c>
      <c r="W96" s="252">
        <f>VLOOKUP(Table4[[#This Row],[Threat Event Initiation]],NIST_Scale_LOAI[],2,FALSE())</f>
        <v>0.2</v>
      </c>
      <c r="X96" s="25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6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57" t="s">
        <v>340</v>
      </c>
      <c r="AA96" s="271" t="s">
        <v>454</v>
      </c>
      <c r="AB96" s="225" t="s">
        <v>468</v>
      </c>
      <c r="AC96" s="250"/>
      <c r="AD96" s="250"/>
      <c r="AE96" s="250"/>
      <c r="AF96" s="251"/>
      <c r="AG96" s="251"/>
      <c r="AH96" s="251"/>
      <c r="AI96" s="251"/>
      <c r="AJ96" s="251"/>
      <c r="AK96" s="25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52" t="e">
        <f>(1 - ((1 - VLOOKUP(Table4[[#This Row],[ConfidentialityP]],'Reference - CVSSv3.0'!$B$15:$C$17,2,FALSE())) * (1 - VLOOKUP(Table4[[#This Row],[IntegrityP]],'Reference - CVSSv3.0'!$B$15:$C$17,2,FALSE())) *  (1 - VLOOKUP(Table4[[#This Row],[AvailabilityP]],'Reference - CVSSv3.0'!$B$15:$C$17,2,FALSE()))))</f>
        <v>#N/A</v>
      </c>
      <c r="AM96" s="252" t="e">
        <f>IF(Table4[[#This Row],[ScopeP]]="Unchanged",6.42*Table4[[#This Row],[ISC BaseP]],IF(Table4[[#This Row],[ScopeP]]="Changed",7.52*(Table4[[#This Row],[ISC BaseP]] - 0.029) - 3.25 * POWER(Table4[[#This Row],[ISC BaseP]] - 0.02,15),NA()))</f>
        <v>#N/A</v>
      </c>
      <c r="AN96" s="25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5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5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50"/>
    </row>
    <row r="97" spans="1:43" s="264" customFormat="1" ht="154">
      <c r="A97" s="255">
        <v>93</v>
      </c>
      <c r="B97" s="256" t="s">
        <v>186</v>
      </c>
      <c r="C97" s="257" t="str">
        <f>IF(VLOOKUP(Table4[[#This Row],[T ID]],Table5[#All],5,FALSE())="No","Not in scope",VLOOKUP(Table4[[#This Row],[T ID]],Table5[#All],2,FALSE()))</f>
        <v>Gaining Access
([S]TRID[E])</v>
      </c>
      <c r="D97" s="256" t="s">
        <v>155</v>
      </c>
      <c r="E97" s="257" t="str">
        <f>IF(VLOOKUP(Table4[[#This Row],[V ID]],Vulnerabilities[#All],3,FALSE())="No","Not in scope",VLOOKUP(Table4[[#This Row],[V ID]],Vulnerabilities[#All],2,FALSE()))</f>
        <v>Error Info containing sensitive data for Failed Authentication attempts</v>
      </c>
      <c r="F97" s="256" t="s">
        <v>78</v>
      </c>
      <c r="G97" s="257" t="str">
        <f>VLOOKUP(Table4[[#This Row],[A ID]],Assets[#All],3,FALSE())</f>
        <v>Smart medic app (Azure Portal Administrator)</v>
      </c>
      <c r="H97" s="247" t="s">
        <v>327</v>
      </c>
      <c r="I97" s="258"/>
      <c r="J97" s="256" t="s">
        <v>271</v>
      </c>
      <c r="K97" s="256" t="s">
        <v>271</v>
      </c>
      <c r="L97" s="256" t="s">
        <v>280</v>
      </c>
      <c r="M97" s="259" t="s">
        <v>277</v>
      </c>
      <c r="N97" s="259" t="s">
        <v>280</v>
      </c>
      <c r="O97" s="259" t="s">
        <v>271</v>
      </c>
      <c r="P97" s="259" t="s">
        <v>278</v>
      </c>
      <c r="Q97" s="259" t="s">
        <v>274</v>
      </c>
      <c r="R97"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61">
        <f>(1 - ((1 - VLOOKUP(Table4[[#This Row],[Confidentiality]],'Reference - CVSSv3.0'!$B$15:$C$17,2,FALSE())) * (1 - VLOOKUP(Table4[[#This Row],[Integrity]],'Reference - CVSSv3.0'!$B$15:$C$17,2,FALSE())) *  (1 - VLOOKUP(Table4[[#This Row],[Availability]],'Reference - CVSSv3.0'!$B$15:$C$17,2,FALSE()))))</f>
        <v>0.73230400000000007</v>
      </c>
      <c r="T97" s="261">
        <f>IF(Table4[[#This Row],[Scope]]="Unchanged",6.42*Table4[[#This Row],[ISC Base]],IF(Table4[[#This Row],[Scope]]="Changed",7.52*(Table4[[#This Row],[ISC Base]] - 0.029) - 3.25 * POWER(Table4[[#This Row],[ISC Base]] - 0.02,15),NA()))</f>
        <v>4.7013916800000004</v>
      </c>
      <c r="U97"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61" t="s">
        <v>281</v>
      </c>
      <c r="W97" s="261">
        <f>VLOOKUP(Table4[[#This Row],[Threat Event Initiation]],NIST_Scale_LOAI[],2,FALSE())</f>
        <v>0.5</v>
      </c>
      <c r="X97"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6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57" t="s">
        <v>341</v>
      </c>
      <c r="AA97" s="272" t="s">
        <v>454</v>
      </c>
      <c r="AB97" s="225" t="s">
        <v>468</v>
      </c>
      <c r="AC97" s="258"/>
      <c r="AD97" s="258"/>
      <c r="AE97" s="258"/>
      <c r="AF97" s="259"/>
      <c r="AG97" s="259"/>
      <c r="AH97" s="259"/>
      <c r="AI97" s="259"/>
      <c r="AJ97" s="259"/>
      <c r="AK97"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61" t="e">
        <f>(1 - ((1 - VLOOKUP(Table4[[#This Row],[ConfidentialityP]],'Reference - CVSSv3.0'!$B$15:$C$17,2,FALSE())) * (1 - VLOOKUP(Table4[[#This Row],[IntegrityP]],'Reference - CVSSv3.0'!$B$15:$C$17,2,FALSE())) *  (1 - VLOOKUP(Table4[[#This Row],[AvailabilityP]],'Reference - CVSSv3.0'!$B$15:$C$17,2,FALSE()))))</f>
        <v>#N/A</v>
      </c>
      <c r="AM97" s="261" t="e">
        <f>IF(Table4[[#This Row],[ScopeP]]="Unchanged",6.42*Table4[[#This Row],[ISC BaseP]],IF(Table4[[#This Row],[ScopeP]]="Changed",7.52*(Table4[[#This Row],[ISC BaseP]] - 0.029) - 3.25 * POWER(Table4[[#This Row],[ISC BaseP]] - 0.02,15),NA()))</f>
        <v>#N/A</v>
      </c>
      <c r="AN97"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58"/>
    </row>
    <row r="98" spans="1:43" ht="112">
      <c r="A98" s="107">
        <v>94</v>
      </c>
      <c r="B98" s="104" t="s">
        <v>186</v>
      </c>
      <c r="C98" s="108" t="str">
        <f>IF(VLOOKUP(Table4[[#This Row],[T ID]],Table5[#All],5,FALSE())="No","Not in scope",VLOOKUP(Table4[[#This Row],[T ID]],Table5[#All],2,FALSE()))</f>
        <v>Gaining Access
([S]TRID[E])</v>
      </c>
      <c r="D98" s="104" t="s">
        <v>169</v>
      </c>
      <c r="E98" s="108" t="str">
        <f>IF(VLOOKUP(Table4[[#This Row],[V ID]],Vulnerabilities[#All],3,FALSE())="No","Not in scope",VLOOKUP(Table4[[#This Row],[V ID]],Vulnerabilities[#All],2,FALSE()))</f>
        <v>Improper security (for ex.,Storage &amp; Access) for Key tokens and Certificates</v>
      </c>
      <c r="F98" s="109" t="s">
        <v>81</v>
      </c>
      <c r="G98" s="108" t="str">
        <f>VLOOKUP(Table4[[#This Row],[A ID]],Assets[#All],3,FALSE())</f>
        <v>Azure Cloud DataBase</v>
      </c>
      <c r="H98" s="19" t="s">
        <v>327</v>
      </c>
      <c r="I98" s="38"/>
      <c r="J98" s="104" t="s">
        <v>271</v>
      </c>
      <c r="K98" s="104" t="s">
        <v>271</v>
      </c>
      <c r="L98" s="104" t="s">
        <v>280</v>
      </c>
      <c r="M98" s="110" t="s">
        <v>277</v>
      </c>
      <c r="N98" s="110" t="s">
        <v>280</v>
      </c>
      <c r="O98" s="110" t="s">
        <v>271</v>
      </c>
      <c r="P98" s="110" t="s">
        <v>278</v>
      </c>
      <c r="Q98" s="110" t="s">
        <v>274</v>
      </c>
      <c r="R98"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12">
        <f>(1 - ((1 - VLOOKUP(Table4[[#This Row],[Confidentiality]],'Reference - CVSSv3.0'!$B$15:$C$17,2,FALSE())) * (1 - VLOOKUP(Table4[[#This Row],[Integrity]],'Reference - CVSSv3.0'!$B$15:$C$17,2,FALSE())) *  (1 - VLOOKUP(Table4[[#This Row],[Availability]],'Reference - CVSSv3.0'!$B$15:$C$17,2,FALSE()))))</f>
        <v>0.73230400000000007</v>
      </c>
      <c r="T98" s="112">
        <f>IF(Table4[[#This Row],[Scope]]="Unchanged",6.42*Table4[[#This Row],[ISC Base]],IF(Table4[[#This Row],[Scope]]="Changed",7.52*(Table4[[#This Row],[ISC Base]] - 0.029) - 3.25 * POWER(Table4[[#This Row],[ISC Base]] - 0.02,15),NA()))</f>
        <v>4.7013916800000004</v>
      </c>
      <c r="U98"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13" t="s">
        <v>281</v>
      </c>
      <c r="W98" s="112">
        <f>VLOOKUP(Table4[[#This Row],[Threat Event Initiation]],NIST_Scale_LOAI[],2,FALSE())</f>
        <v>0.5</v>
      </c>
      <c r="X98"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1" t="s">
        <v>342</v>
      </c>
      <c r="AA98" s="21" t="s">
        <v>459</v>
      </c>
      <c r="AB98" s="114"/>
      <c r="AC98" s="38"/>
      <c r="AD98" s="38"/>
      <c r="AE98" s="38"/>
      <c r="AF98" s="110"/>
      <c r="AG98" s="110"/>
      <c r="AH98" s="110"/>
      <c r="AI98" s="110"/>
      <c r="AJ98" s="110"/>
      <c r="AK98"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12" t="e">
        <f>(1 - ((1 - VLOOKUP(Table4[[#This Row],[ConfidentialityP]],'Reference - CVSSv3.0'!$B$15:$C$17,2,FALSE())) * (1 - VLOOKUP(Table4[[#This Row],[IntegrityP]],'Reference - CVSSv3.0'!$B$15:$C$17,2,FALSE())) *  (1 - VLOOKUP(Table4[[#This Row],[AvailabilityP]],'Reference - CVSSv3.0'!$B$15:$C$17,2,FALSE()))))</f>
        <v>#N/A</v>
      </c>
      <c r="AM98" s="112" t="e">
        <f>IF(Table4[[#This Row],[ScopeP]]="Unchanged",6.42*Table4[[#This Row],[ISC BaseP]],IF(Table4[[#This Row],[ScopeP]]="Changed",7.52*(Table4[[#This Row],[ISC BaseP]] - 0.029) - 3.25 * POWER(Table4[[#This Row],[ISC BaseP]] - 0.02,15),NA()))</f>
        <v>#N/A</v>
      </c>
      <c r="AN98"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c r="A99" s="107">
        <v>95</v>
      </c>
      <c r="B99" s="104" t="s">
        <v>186</v>
      </c>
      <c r="C99" s="108" t="str">
        <f>IF(VLOOKUP(Table4[[#This Row],[T ID]],Table5[#All],5,FALSE())="No","Not in scope",VLOOKUP(Table4[[#This Row],[T ID]],Table5[#All],2,FALSE()))</f>
        <v>Gaining Access
([S]TRID[E])</v>
      </c>
      <c r="D99" s="104" t="s">
        <v>157</v>
      </c>
      <c r="E99" s="108" t="str">
        <f>IF(VLOOKUP(Table4[[#This Row],[V ID]],Vulnerabilities[#All],3,FALSE())="No","Not in scope",VLOOKUP(Table4[[#This Row],[V ID]],Vulnerabilities[#All],2,FALSE()))</f>
        <v>Absence of additional security factor along with user identification</v>
      </c>
      <c r="F99" s="109" t="s">
        <v>78</v>
      </c>
      <c r="G99" s="108" t="str">
        <f>VLOOKUP(Table4[[#This Row],[A ID]],Assets[#All],3,FALSE())</f>
        <v>Smart medic app (Azure Portal Administrator)</v>
      </c>
      <c r="H99" s="19" t="s">
        <v>327</v>
      </c>
      <c r="I99" s="38"/>
      <c r="J99" s="104" t="s">
        <v>271</v>
      </c>
      <c r="K99" s="104" t="s">
        <v>271</v>
      </c>
      <c r="L99" s="104" t="s">
        <v>280</v>
      </c>
      <c r="M99" s="110" t="s">
        <v>277</v>
      </c>
      <c r="N99" s="110" t="s">
        <v>280</v>
      </c>
      <c r="O99" s="110" t="s">
        <v>271</v>
      </c>
      <c r="P99" s="110" t="s">
        <v>278</v>
      </c>
      <c r="Q99" s="110" t="s">
        <v>274</v>
      </c>
      <c r="R99"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12">
        <f>(1 - ((1 - VLOOKUP(Table4[[#This Row],[Confidentiality]],'Reference - CVSSv3.0'!$B$15:$C$17,2,FALSE())) * (1 - VLOOKUP(Table4[[#This Row],[Integrity]],'Reference - CVSSv3.0'!$B$15:$C$17,2,FALSE())) *  (1 - VLOOKUP(Table4[[#This Row],[Availability]],'Reference - CVSSv3.0'!$B$15:$C$17,2,FALSE()))))</f>
        <v>0.73230400000000007</v>
      </c>
      <c r="T99" s="112">
        <f>IF(Table4[[#This Row],[Scope]]="Unchanged",6.42*Table4[[#This Row],[ISC Base]],IF(Table4[[#This Row],[Scope]]="Changed",7.52*(Table4[[#This Row],[ISC Base]] - 0.029) - 3.25 * POWER(Table4[[#This Row],[ISC Base]] - 0.02,15),NA()))</f>
        <v>4.7013916800000004</v>
      </c>
      <c r="U99"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13" t="s">
        <v>281</v>
      </c>
      <c r="W99" s="112">
        <f>VLOOKUP(Table4[[#This Row],[Threat Event Initiation]],NIST_Scale_LOAI[],2,FALSE())</f>
        <v>0.5</v>
      </c>
      <c r="X99"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1" t="s">
        <v>343</v>
      </c>
      <c r="AA99" s="272" t="s">
        <v>454</v>
      </c>
      <c r="AB99" s="225" t="s">
        <v>468</v>
      </c>
      <c r="AC99" s="38"/>
      <c r="AD99" s="38"/>
      <c r="AE99" s="38"/>
      <c r="AF99" s="110"/>
      <c r="AG99" s="110"/>
      <c r="AH99" s="110"/>
      <c r="AI99" s="110"/>
      <c r="AJ99" s="110"/>
      <c r="AK99"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12" t="e">
        <f>(1 - ((1 - VLOOKUP(Table4[[#This Row],[ConfidentialityP]],'Reference - CVSSv3.0'!$B$15:$C$17,2,FALSE())) * (1 - VLOOKUP(Table4[[#This Row],[IntegrityP]],'Reference - CVSSv3.0'!$B$15:$C$17,2,FALSE())) *  (1 - VLOOKUP(Table4[[#This Row],[AvailabilityP]],'Reference - CVSSv3.0'!$B$15:$C$17,2,FALSE()))))</f>
        <v>#N/A</v>
      </c>
      <c r="AM99" s="112" t="e">
        <f>IF(Table4[[#This Row],[ScopeP]]="Unchanged",6.42*Table4[[#This Row],[ISC BaseP]],IF(Table4[[#This Row],[ScopeP]]="Changed",7.52*(Table4[[#This Row],[ISC BaseP]] - 0.029) - 3.25 * POWER(Table4[[#This Row],[ISC BaseP]] - 0.02,15),NA()))</f>
        <v>#N/A</v>
      </c>
      <c r="AN99"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customHeight="1">
      <c r="A100" s="107">
        <v>96</v>
      </c>
      <c r="B100" s="104" t="s">
        <v>186</v>
      </c>
      <c r="C100" s="108" t="str">
        <f>IF(VLOOKUP(Table4[[#This Row],[T ID]],Table5[#All],5,FALSE())="No","Not in scope",VLOOKUP(Table4[[#This Row],[T ID]],Table5[#All],2,FALSE()))</f>
        <v>Gaining Access
([S]TRID[E])</v>
      </c>
      <c r="D100" s="104" t="s">
        <v>157</v>
      </c>
      <c r="E100" s="108" t="str">
        <f>IF(VLOOKUP(Table4[[#This Row],[V ID]],Vulnerabilities[#All],3,FALSE())="No","Not in scope",VLOOKUP(Table4[[#This Row],[V ID]],Vulnerabilities[#All],2,FALSE()))</f>
        <v>Absence of additional security factor along with user identification</v>
      </c>
      <c r="F100" s="109" t="s">
        <v>81</v>
      </c>
      <c r="G100" s="108" t="str">
        <f>VLOOKUP(Table4[[#This Row],[A ID]],Assets[#All],3,FALSE())</f>
        <v>Azure Cloud DataBase</v>
      </c>
      <c r="H100" s="19" t="s">
        <v>327</v>
      </c>
      <c r="I100" s="38"/>
      <c r="J100" s="104" t="s">
        <v>271</v>
      </c>
      <c r="K100" s="104" t="s">
        <v>271</v>
      </c>
      <c r="L100" s="104" t="s">
        <v>280</v>
      </c>
      <c r="M100" s="110" t="s">
        <v>277</v>
      </c>
      <c r="N100" s="110" t="s">
        <v>280</v>
      </c>
      <c r="O100" s="110" t="s">
        <v>271</v>
      </c>
      <c r="P100" s="110" t="s">
        <v>278</v>
      </c>
      <c r="Q100" s="110" t="s">
        <v>274</v>
      </c>
      <c r="R100"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12">
        <f>(1 - ((1 - VLOOKUP(Table4[[#This Row],[Confidentiality]],'Reference - CVSSv3.0'!$B$15:$C$17,2,FALSE())) * (1 - VLOOKUP(Table4[[#This Row],[Integrity]],'Reference - CVSSv3.0'!$B$15:$C$17,2,FALSE())) *  (1 - VLOOKUP(Table4[[#This Row],[Availability]],'Reference - CVSSv3.0'!$B$15:$C$17,2,FALSE()))))</f>
        <v>0.73230400000000007</v>
      </c>
      <c r="T100" s="112">
        <f>IF(Table4[[#This Row],[Scope]]="Unchanged",6.42*Table4[[#This Row],[ISC Base]],IF(Table4[[#This Row],[Scope]]="Changed",7.52*(Table4[[#This Row],[ISC Base]] - 0.029) - 3.25 * POWER(Table4[[#This Row],[ISC Base]] - 0.02,15),NA()))</f>
        <v>4.7013916800000004</v>
      </c>
      <c r="U100"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13" t="s">
        <v>281</v>
      </c>
      <c r="W100" s="112">
        <f>VLOOKUP(Table4[[#This Row],[Threat Event Initiation]],NIST_Scale_LOAI[],2,FALSE())</f>
        <v>0.5</v>
      </c>
      <c r="X100"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1" t="s">
        <v>344</v>
      </c>
      <c r="AA100" s="269" t="s">
        <v>460</v>
      </c>
      <c r="AB100" s="225" t="s">
        <v>470</v>
      </c>
      <c r="AC100" s="38"/>
      <c r="AD100" s="38"/>
      <c r="AE100" s="38"/>
      <c r="AF100" s="110"/>
      <c r="AG100" s="110"/>
      <c r="AH100" s="110"/>
      <c r="AI100" s="110"/>
      <c r="AJ100" s="110"/>
      <c r="AK100"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12" t="e">
        <f>(1 - ((1 - VLOOKUP(Table4[[#This Row],[ConfidentialityP]],'Reference - CVSSv3.0'!$B$15:$C$17,2,FALSE())) * (1 - VLOOKUP(Table4[[#This Row],[IntegrityP]],'Reference - CVSSv3.0'!$B$15:$C$17,2,FALSE())) *  (1 - VLOOKUP(Table4[[#This Row],[AvailabilityP]],'Reference - CVSSv3.0'!$B$15:$C$17,2,FALSE()))))</f>
        <v>#N/A</v>
      </c>
      <c r="AM100" s="112" t="e">
        <f>IF(Table4[[#This Row],[ScopeP]]="Unchanged",6.42*Table4[[#This Row],[ISC BaseP]],IF(Table4[[#This Row],[ScopeP]]="Changed",7.52*(Table4[[#This Row],[ISC BaseP]] - 0.029) - 3.25 * POWER(Table4[[#This Row],[ISC BaseP]] - 0.02,15),NA()))</f>
        <v>#N/A</v>
      </c>
      <c r="AN100"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266">
      <c r="A101" s="107">
        <v>97</v>
      </c>
      <c r="B101" s="104" t="s">
        <v>210</v>
      </c>
      <c r="C101" s="108" t="str">
        <f>IF(VLOOKUP(Table4[[#This Row],[T ID]],Table5[#All],5,FALSE())="No","Not in scope",VLOOKUP(Table4[[#This Row],[T ID]],Table5[#All],2,FALSE()))</f>
        <v>Brute-force Attack
(CAPEC-112)</v>
      </c>
      <c r="D101" s="104" t="s">
        <v>155</v>
      </c>
      <c r="E101" s="108" t="str">
        <f>IF(VLOOKUP(Table4[[#This Row],[V ID]],Vulnerabilities[#All],3,FALSE())="No","Not in scope",VLOOKUP(Table4[[#This Row],[V ID]],Vulnerabilities[#All],2,FALSE()))</f>
        <v>Error Info containing sensitive data for Failed Authentication attempts</v>
      </c>
      <c r="F101" s="109" t="s">
        <v>81</v>
      </c>
      <c r="G101" s="108" t="str">
        <f>VLOOKUP(Table4[[#This Row],[A ID]],Assets[#All],3,FALSE())</f>
        <v>Azure Cloud DataBase</v>
      </c>
      <c r="H101" s="19" t="s">
        <v>327</v>
      </c>
      <c r="I101" s="38"/>
      <c r="J101" s="104" t="s">
        <v>271</v>
      </c>
      <c r="K101" s="104" t="s">
        <v>271</v>
      </c>
      <c r="L101" s="104" t="s">
        <v>280</v>
      </c>
      <c r="M101" s="110" t="s">
        <v>277</v>
      </c>
      <c r="N101" s="110" t="s">
        <v>280</v>
      </c>
      <c r="O101" s="110" t="s">
        <v>271</v>
      </c>
      <c r="P101" s="110" t="s">
        <v>278</v>
      </c>
      <c r="Q101" s="110" t="s">
        <v>274</v>
      </c>
      <c r="R101"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12">
        <f>(1 - ((1 - VLOOKUP(Table4[[#This Row],[Confidentiality]],'Reference - CVSSv3.0'!$B$15:$C$17,2,FALSE())) * (1 - VLOOKUP(Table4[[#This Row],[Integrity]],'Reference - CVSSv3.0'!$B$15:$C$17,2,FALSE())) *  (1 - VLOOKUP(Table4[[#This Row],[Availability]],'Reference - CVSSv3.0'!$B$15:$C$17,2,FALSE()))))</f>
        <v>0.73230400000000007</v>
      </c>
      <c r="T101" s="112">
        <f>IF(Table4[[#This Row],[Scope]]="Unchanged",6.42*Table4[[#This Row],[ISC Base]],IF(Table4[[#This Row],[Scope]]="Changed",7.52*(Table4[[#This Row],[ISC Base]] - 0.029) - 3.25 * POWER(Table4[[#This Row],[ISC Base]] - 0.02,15),NA()))</f>
        <v>4.7013916800000004</v>
      </c>
      <c r="U101"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13" t="s">
        <v>281</v>
      </c>
      <c r="W101" s="112">
        <f>VLOOKUP(Table4[[#This Row],[Threat Event Initiation]],NIST_Scale_LOAI[],2,FALSE())</f>
        <v>0.5</v>
      </c>
      <c r="X101"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1" t="s">
        <v>341</v>
      </c>
      <c r="AA101" s="273" t="s">
        <v>461</v>
      </c>
      <c r="AB101" s="225" t="s">
        <v>470</v>
      </c>
      <c r="AC101" s="38"/>
      <c r="AD101" s="38"/>
      <c r="AE101" s="38"/>
      <c r="AF101" s="110"/>
      <c r="AG101" s="110"/>
      <c r="AH101" s="110"/>
      <c r="AI101" s="110"/>
      <c r="AJ101" s="110"/>
      <c r="AK101"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12" t="e">
        <f>(1 - ((1 - VLOOKUP(Table4[[#This Row],[ConfidentialityP]],'Reference - CVSSv3.0'!$B$15:$C$17,2,FALSE())) * (1 - VLOOKUP(Table4[[#This Row],[IntegrityP]],'Reference - CVSSv3.0'!$B$15:$C$17,2,FALSE())) *  (1 - VLOOKUP(Table4[[#This Row],[AvailabilityP]],'Reference - CVSSv3.0'!$B$15:$C$17,2,FALSE()))))</f>
        <v>#N/A</v>
      </c>
      <c r="AM101" s="112" t="e">
        <f>IF(Table4[[#This Row],[ScopeP]]="Unchanged",6.42*Table4[[#This Row],[ISC BaseP]],IF(Table4[[#This Row],[ScopeP]]="Changed",7.52*(Table4[[#This Row],[ISC BaseP]] - 0.029) - 3.25 * POWER(Table4[[#This Row],[ISC BaseP]] - 0.02,15),NA()))</f>
        <v>#N/A</v>
      </c>
      <c r="AN101"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customHeight="1">
      <c r="A102" s="107">
        <v>98</v>
      </c>
      <c r="B102" s="104" t="s">
        <v>210</v>
      </c>
      <c r="C102" s="108" t="str">
        <f>IF(VLOOKUP(Table4[[#This Row],[T ID]],Table5[#All],5,FALSE())="No","Not in scope",VLOOKUP(Table4[[#This Row],[T ID]],Table5[#All],2,FALSE()))</f>
        <v>Brute-force Attack
(CAPEC-112)</v>
      </c>
      <c r="D102" s="104" t="s">
        <v>159</v>
      </c>
      <c r="E102" s="108" t="str">
        <f>IF(VLOOKUP(Table4[[#This Row],[V ID]],Vulnerabilities[#All],3,FALSE())="No","Not in scope",VLOOKUP(Table4[[#This Row],[V ID]],Vulnerabilities[#All],2,FALSE()))</f>
        <v>Having no limit on the login attempts</v>
      </c>
      <c r="F102" s="109" t="s">
        <v>78</v>
      </c>
      <c r="G102" s="108" t="str">
        <f>VLOOKUP(Table4[[#This Row],[A ID]],Assets[#All],3,FALSE())</f>
        <v>Smart medic app (Azure Portal Administrator)</v>
      </c>
      <c r="H102" s="19" t="s">
        <v>327</v>
      </c>
      <c r="I102" s="38"/>
      <c r="J102" s="104" t="s">
        <v>271</v>
      </c>
      <c r="K102" s="104" t="s">
        <v>271</v>
      </c>
      <c r="L102" s="104" t="s">
        <v>280</v>
      </c>
      <c r="M102" s="110" t="s">
        <v>277</v>
      </c>
      <c r="N102" s="110" t="s">
        <v>280</v>
      </c>
      <c r="O102" s="110" t="s">
        <v>271</v>
      </c>
      <c r="P102" s="110" t="s">
        <v>278</v>
      </c>
      <c r="Q102" s="110" t="s">
        <v>274</v>
      </c>
      <c r="R102"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12">
        <f>(1 - ((1 - VLOOKUP(Table4[[#This Row],[Confidentiality]],'Reference - CVSSv3.0'!$B$15:$C$17,2,FALSE())) * (1 - VLOOKUP(Table4[[#This Row],[Integrity]],'Reference - CVSSv3.0'!$B$15:$C$17,2,FALSE())) *  (1 - VLOOKUP(Table4[[#This Row],[Availability]],'Reference - CVSSv3.0'!$B$15:$C$17,2,FALSE()))))</f>
        <v>0.73230400000000007</v>
      </c>
      <c r="T102" s="112">
        <f>IF(Table4[[#This Row],[Scope]]="Unchanged",6.42*Table4[[#This Row],[ISC Base]],IF(Table4[[#This Row],[Scope]]="Changed",7.52*(Table4[[#This Row],[ISC Base]] - 0.029) - 3.25 * POWER(Table4[[#This Row],[ISC Base]] - 0.02,15),NA()))</f>
        <v>4.7013916800000004</v>
      </c>
      <c r="U102"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13" t="s">
        <v>281</v>
      </c>
      <c r="W102" s="112">
        <f>VLOOKUP(Table4[[#This Row],[Threat Event Initiation]],NIST_Scale_LOAI[],2,FALSE())</f>
        <v>0.5</v>
      </c>
      <c r="X102"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1" t="s">
        <v>341</v>
      </c>
      <c r="AA102" s="273" t="s">
        <v>461</v>
      </c>
      <c r="AB102" s="225" t="s">
        <v>468</v>
      </c>
      <c r="AC102" s="38"/>
      <c r="AD102" s="38"/>
      <c r="AE102" s="38"/>
      <c r="AF102" s="110"/>
      <c r="AG102" s="110"/>
      <c r="AH102" s="110"/>
      <c r="AI102" s="110"/>
      <c r="AJ102" s="110"/>
      <c r="AK102"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12" t="e">
        <f>(1 - ((1 - VLOOKUP(Table4[[#This Row],[ConfidentialityP]],'Reference - CVSSv3.0'!$B$15:$C$17,2,FALSE())) * (1 - VLOOKUP(Table4[[#This Row],[IntegrityP]],'Reference - CVSSv3.0'!$B$15:$C$17,2,FALSE())) *  (1 - VLOOKUP(Table4[[#This Row],[AvailabilityP]],'Reference - CVSSv3.0'!$B$15:$C$17,2,FALSE()))))</f>
        <v>#N/A</v>
      </c>
      <c r="AM102" s="112" t="e">
        <f>IF(Table4[[#This Row],[ScopeP]]="Unchanged",6.42*Table4[[#This Row],[ISC BaseP]],IF(Table4[[#This Row],[ScopeP]]="Changed",7.52*(Table4[[#This Row],[ISC BaseP]] - 0.029) - 3.25 * POWER(Table4[[#This Row],[ISC BaseP]] - 0.02,15),NA()))</f>
        <v>#N/A</v>
      </c>
      <c r="AN102"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c r="A103" s="55">
        <v>99</v>
      </c>
      <c r="B103" s="104" t="s">
        <v>219</v>
      </c>
      <c r="C103" s="108" t="str">
        <f>IF(VLOOKUP(Table4[[#This Row],[T ID]],Table5[#All],5,FALSE())="No","Not in scope",VLOOKUP(Table4[[#This Row],[T ID]],Table5[#All],2,FALSE()))</f>
        <v>Unauthorized Alterations
(S[T]RIDE)</v>
      </c>
      <c r="D103" s="104" t="s">
        <v>150</v>
      </c>
      <c r="E103" s="108" t="str">
        <f>IF(VLOOKUP(Table4[[#This Row],[V ID]],Vulnerabilities[#All],3,FALSE())="No","Not in scope",VLOOKUP(Table4[[#This Row],[V ID]],Vulnerabilities[#All],2,FALSE()))</f>
        <v>Improper/insufficient provisioning of IOT hub</v>
      </c>
      <c r="F103" s="109" t="s">
        <v>46</v>
      </c>
      <c r="G103" s="108" t="str">
        <f>VLOOKUP(Table4[[#This Row],[A ID]],Assets[#All],3,FALSE())</f>
        <v>Tablet OS/network details &amp; Tablet Application</v>
      </c>
      <c r="H103" s="21" t="s">
        <v>345</v>
      </c>
      <c r="I103" s="38"/>
      <c r="J103" s="104" t="s">
        <v>278</v>
      </c>
      <c r="K103" s="104" t="s">
        <v>278</v>
      </c>
      <c r="L103" s="104" t="s">
        <v>280</v>
      </c>
      <c r="M103" s="110" t="s">
        <v>277</v>
      </c>
      <c r="N103" s="110" t="s">
        <v>280</v>
      </c>
      <c r="O103" s="110" t="s">
        <v>280</v>
      </c>
      <c r="P103" s="110" t="s">
        <v>278</v>
      </c>
      <c r="Q103" s="110" t="s">
        <v>274</v>
      </c>
      <c r="R103"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12">
        <f>(1 - ((1 - VLOOKUP(Table4[[#This Row],[Confidentiality]],'Reference - CVSSv3.0'!$B$15:$C$17,2,FALSE())) * (1 - VLOOKUP(Table4[[#This Row],[Integrity]],'Reference - CVSSv3.0'!$B$15:$C$17,2,FALSE())) *  (1 - VLOOKUP(Table4[[#This Row],[Availability]],'Reference - CVSSv3.0'!$B$15:$C$17,2,FALSE()))))</f>
        <v>0.56000000000000005</v>
      </c>
      <c r="T103" s="112">
        <f>IF(Table4[[#This Row],[Scope]]="Unchanged",6.42*Table4[[#This Row],[ISC Base]],IF(Table4[[#This Row],[Scope]]="Changed",7.52*(Table4[[#This Row],[ISC Base]] - 0.029) - 3.25 * POWER(Table4[[#This Row],[ISC Base]] - 0.02,15),NA()))</f>
        <v>3.5952000000000002</v>
      </c>
      <c r="U103" s="112">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13" t="s">
        <v>271</v>
      </c>
      <c r="W103" s="112">
        <f>VLOOKUP(Table4[[#This Row],[Threat Event Initiation]],NIST_Scale_LOAI[],2,FALSE())</f>
        <v>0.2</v>
      </c>
      <c r="X103"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1" t="s">
        <v>346</v>
      </c>
      <c r="AA103" s="273" t="s">
        <v>347</v>
      </c>
      <c r="AB103" s="114"/>
      <c r="AC103" s="38"/>
      <c r="AD103" s="38"/>
      <c r="AE103" s="38"/>
      <c r="AF103" s="110"/>
      <c r="AG103" s="110"/>
      <c r="AH103" s="110"/>
      <c r="AI103" s="110"/>
      <c r="AJ103" s="110"/>
      <c r="AK103"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12" t="e">
        <f>(1 - ((1 - VLOOKUP(Table4[[#This Row],[ConfidentialityP]],'Reference - CVSSv3.0'!$B$15:$C$17,2,FALSE())) * (1 - VLOOKUP(Table4[[#This Row],[IntegrityP]],'Reference - CVSSv3.0'!$B$15:$C$17,2,FALSE())) *  (1 - VLOOKUP(Table4[[#This Row],[AvailabilityP]],'Reference - CVSSv3.0'!$B$15:$C$17,2,FALSE()))))</f>
        <v>#N/A</v>
      </c>
      <c r="AM103" s="112" t="e">
        <f>IF(Table4[[#This Row],[ScopeP]]="Unchanged",6.42*Table4[[#This Row],[ISC BaseP]],IF(Table4[[#This Row],[ScopeP]]="Changed",7.52*(Table4[[#This Row],[ISC BaseP]] - 0.029) - 3.25 * POWER(Table4[[#This Row],[ISC BaseP]] - 0.02,15),NA()))</f>
        <v>#N/A</v>
      </c>
      <c r="AN103"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210">
      <c r="A104" s="49">
        <v>100</v>
      </c>
      <c r="B104" s="87" t="s">
        <v>219</v>
      </c>
      <c r="C104" s="88" t="str">
        <f>IF(VLOOKUP(Table4[[#This Row],[T ID]],Table5[#All],5,FALSE())="No","Not in scope",VLOOKUP(Table4[[#This Row],[T ID]],Table5[#All],2,FALSE()))</f>
        <v>Unauthorized Alterations
(S[T]RIDE)</v>
      </c>
      <c r="D104" s="87" t="s">
        <v>152</v>
      </c>
      <c r="E104" s="88" t="str">
        <f>IF(VLOOKUP(Table4[[#This Row],[V ID]],Vulnerabilities[#All],3,FALSE())="No","Not in scope",VLOOKUP(Table4[[#This Row],[V ID]],Vulnerabilities[#All],2,FALSE()))</f>
        <v>Unsecured communication with unauthenticated 3rd party devices</v>
      </c>
      <c r="F104" s="94" t="s">
        <v>46</v>
      </c>
      <c r="G104" s="88" t="str">
        <f>VLOOKUP(Table4[[#This Row],[A ID]],Assets[#All],3,FALSE())</f>
        <v>Tablet OS/network details &amp; Tablet Application</v>
      </c>
      <c r="H104" s="19" t="s">
        <v>348</v>
      </c>
      <c r="I104" s="36"/>
      <c r="J104" s="87" t="s">
        <v>278</v>
      </c>
      <c r="K104" s="87" t="s">
        <v>278</v>
      </c>
      <c r="L104" s="87" t="s">
        <v>280</v>
      </c>
      <c r="M104" s="90" t="s">
        <v>277</v>
      </c>
      <c r="N104" s="90" t="s">
        <v>280</v>
      </c>
      <c r="O104" s="90" t="s">
        <v>280</v>
      </c>
      <c r="P104" s="90" t="s">
        <v>278</v>
      </c>
      <c r="Q104" s="90" t="s">
        <v>274</v>
      </c>
      <c r="R10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1">
        <f>(1 - ((1 - VLOOKUP(Table4[[#This Row],[Confidentiality]],'Reference - CVSSv3.0'!$B$15:$C$17,2,FALSE())) * (1 - VLOOKUP(Table4[[#This Row],[Integrity]],'Reference - CVSSv3.0'!$B$15:$C$17,2,FALSE())) *  (1 - VLOOKUP(Table4[[#This Row],[Availability]],'Reference - CVSSv3.0'!$B$15:$C$17,2,FALSE()))))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16" t="s">
        <v>271</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349</v>
      </c>
      <c r="AA104" s="225" t="s">
        <v>350</v>
      </c>
      <c r="AB104" s="101"/>
      <c r="AC104" s="36"/>
      <c r="AD104" s="36"/>
      <c r="AE104" s="36"/>
      <c r="AF104" s="90"/>
      <c r="AG104" s="90"/>
      <c r="AH104" s="90"/>
      <c r="AI104" s="90"/>
      <c r="AJ104" s="90"/>
      <c r="AK10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1" t="e">
        <f>(1 - ((1 - VLOOKUP(Table4[[#This Row],[ConfidentialityP]],'Reference - CVSSv3.0'!$B$15:$C$17,2,FALSE())) * (1 - VLOOKUP(Table4[[#This Row],[IntegrityP]],'Reference - CVSSv3.0'!$B$15:$C$17,2,FALSE())) *  (1 - VLOOKUP(Table4[[#This Row],[AvailabilityP]],'Reference - CVSSv3.0'!$B$15:$C$17,2,FALSE()))))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AP5:AP46 Y5:Y104">
    <cfRule type="cellIs" dxfId="12" priority="2" operator="equal">
      <formula>"Critical"</formula>
    </cfRule>
    <cfRule type="cellIs" dxfId="11" priority="3" operator="equal">
      <formula>"HIGH"</formula>
    </cfRule>
    <cfRule type="cellIs" dxfId="10" priority="4" operator="equal">
      <formula>"Medium"</formula>
    </cfRule>
    <cfRule type="cellIs" dxfId="9" priority="5" operator="equal">
      <formula>"None"</formula>
    </cfRule>
    <cfRule type="cellIs" dxfId="8"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1" spans="1:14" s="26" customFormat="1" ht="14">
      <c r="A1" s="2" t="s">
        <v>351</v>
      </c>
      <c r="B1" s="60"/>
      <c r="C1" s="60"/>
      <c r="D1" s="60"/>
      <c r="E1" s="61"/>
      <c r="F1" s="60"/>
      <c r="G1" s="60"/>
      <c r="H1" s="60"/>
      <c r="I1" s="60"/>
      <c r="J1" s="60"/>
      <c r="K1" s="60"/>
      <c r="L1" s="60"/>
      <c r="M1" s="60"/>
    </row>
    <row r="2" spans="1:14" s="26" customFormat="1" ht="14">
      <c r="A2" s="2"/>
      <c r="B2" s="60"/>
      <c r="C2" s="60"/>
      <c r="D2" s="60"/>
      <c r="E2" s="61"/>
      <c r="F2" s="60"/>
      <c r="G2" s="60"/>
      <c r="H2" s="60"/>
      <c r="I2" s="60"/>
      <c r="J2" s="60"/>
      <c r="K2" s="60"/>
      <c r="L2" s="60"/>
      <c r="M2" s="60"/>
    </row>
    <row r="3" spans="1:14" s="26" customFormat="1" ht="14">
      <c r="A3" s="2"/>
      <c r="B3" s="60"/>
      <c r="C3" s="60"/>
      <c r="D3" s="60"/>
      <c r="E3" s="61"/>
      <c r="F3" s="60"/>
      <c r="G3" s="60"/>
      <c r="H3" s="60"/>
      <c r="I3" s="60"/>
      <c r="J3" s="60"/>
      <c r="K3" s="60"/>
      <c r="L3" s="60"/>
      <c r="M3" s="60"/>
    </row>
    <row r="4" spans="1:14" s="26" customFormat="1" ht="28">
      <c r="A4" s="117" t="s">
        <v>228</v>
      </c>
      <c r="B4" s="118" t="s">
        <v>229</v>
      </c>
      <c r="C4" s="119" t="s">
        <v>230</v>
      </c>
      <c r="D4" s="120" t="s">
        <v>231</v>
      </c>
      <c r="E4" s="121" t="s">
        <v>232</v>
      </c>
      <c r="F4" s="122" t="s">
        <v>233</v>
      </c>
      <c r="G4" s="123" t="s">
        <v>352</v>
      </c>
      <c r="H4" s="123" t="s">
        <v>234</v>
      </c>
      <c r="I4" s="124" t="s">
        <v>235</v>
      </c>
      <c r="J4" s="125" t="s">
        <v>353</v>
      </c>
      <c r="K4" s="126" t="s">
        <v>252</v>
      </c>
      <c r="L4" s="127" t="s">
        <v>354</v>
      </c>
      <c r="M4" s="128" t="s">
        <v>269</v>
      </c>
      <c r="N4"/>
    </row>
    <row r="5" spans="1:14" s="26" customFormat="1" ht="70">
      <c r="A5" s="49">
        <f>Table4[[#This Row],[
ID '#]]</f>
        <v>1</v>
      </c>
      <c r="B5" s="129" t="str">
        <f>IF(Table4[[#This Row],[T ID]]&gt;0,Table4[[#This Row],[T ID]],"")</f>
        <v>T01</v>
      </c>
      <c r="C5" s="19" t="str">
        <f>Table4[[#This Row],[Threat Event(s)]]</f>
        <v>Deliver undirected malware
(CAPEC-185)</v>
      </c>
      <c r="D5" s="36" t="str">
        <f>IF(Table4[[#This Row],[V ID]]&gt;0,Table4[[#This Row],[V ID]],"")</f>
        <v>V13</v>
      </c>
      <c r="E5" s="19" t="str">
        <f>Table4[[#This Row],[Vulnerabilities]]</f>
        <v>Unprotected external USB Port on the tablet/devices.</v>
      </c>
      <c r="F5" s="36" t="str">
        <f>IF(Table4[[#This Row],[A ID]]&gt;0,Table4[[#This Row],[A ID]],"")</f>
        <v>A01</v>
      </c>
      <c r="G5" s="19" t="str">
        <f>Table4[[#This Row],[Asset]]</f>
        <v>Tablet Resources - web cam, microphone, OTG devices, Removable USB, Tablet Application, Network interfaces (Bluetooth, Wifi)</v>
      </c>
      <c r="H5" s="19" t="str">
        <f>IF(Table4[[#This Row],[Impact Description]]&gt;0,Table4[[#This Row],[Impact Description]],"")</f>
        <v xml:space="preserve">1) Malicious utilization of  computer resources 2) computing power  
3) denial of service attacks, 
4) ransomware attack 
5) Bitcoin mining, etc </v>
      </c>
      <c r="I5" s="36" t="str">
        <f>IF(Table4[[#This Row],[Safety Impact 
(Risk ID'# or N/A)]]&gt;0,Table4[[#This Row],[Safety Impact 
(Risk ID'# or N/A)]],"")</f>
        <v/>
      </c>
      <c r="J5" s="89" t="str">
        <f>Table4[[#This Row],[Security 
Risk 
Level]]</f>
        <v>LOW</v>
      </c>
      <c r="K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89" t="str">
        <f>Table4[[#This Row],[Security Risk LevelP]]</f>
        <v/>
      </c>
      <c r="M5" s="36" t="str">
        <f>IF(Table4[[#This Row],[Residual Security Risk Acceptability Justification]]&gt;0,Table4[[#This Row],[Residual Security Risk Acceptability Justification]],"")</f>
        <v xml:space="preserve"> </v>
      </c>
    </row>
    <row r="6" spans="1:14" s="26" customFormat="1" ht="70">
      <c r="A6" s="49">
        <f>Table4[[#This Row],[
ID '#]]</f>
        <v>2</v>
      </c>
      <c r="B6" s="129" t="str">
        <f>IF(Table4[[#This Row],[T ID]]&gt;0,Table4[[#This Row],[T ID]],"")</f>
        <v>T01</v>
      </c>
      <c r="C6" s="88" t="str">
        <f>Table4[[#This Row],[Threat Event(s)]]</f>
        <v>Deliver undirected malware
(CAPEC-185)</v>
      </c>
      <c r="D6" s="36" t="str">
        <f>IF(Table4[[#This Row],[V ID]]&gt;0,Table4[[#This Row],[V ID]],"")</f>
        <v>V13</v>
      </c>
      <c r="E6" s="88" t="str">
        <f>Table4[[#This Row],[Vulnerabilities]]</f>
        <v>Unprotected external USB Port on the tablet/devices.</v>
      </c>
      <c r="F6" s="130" t="str">
        <f>IF(Table4[[#This Row],[A ID]]&gt;0,Table4[[#This Row],[A ID]],"")</f>
        <v>A03</v>
      </c>
      <c r="G6" s="88" t="str">
        <f>Table4[[#This Row],[Asset]]</f>
        <v>Smart medic (Stryker device) System Component</v>
      </c>
      <c r="H6" s="19" t="str">
        <f>IF(Table4[[#This Row],[Impact Description]]&gt;0,Table4[[#This Row],[Impact Description]],"")</f>
        <v xml:space="preserve">1) Malicious utilization of  computer resources 2) computing power  
3) denial of service attacks, 
4) ransomware attack 
5) Bitcoin mining, etc </v>
      </c>
      <c r="I6" s="36" t="str">
        <f>IF(Table4[[#This Row],[Safety Impact 
(Risk ID'# or N/A)]]&gt;0,Table4[[#This Row],[Safety Impact 
(Risk ID'# or N/A)]],"")</f>
        <v/>
      </c>
      <c r="J6" s="18" t="str">
        <f>Table4[[#This Row],[Security 
Risk 
Level]]</f>
        <v>LOW</v>
      </c>
      <c r="K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96" t="str">
        <f>Table4[[#This Row],[Security Risk LevelP]]</f>
        <v/>
      </c>
      <c r="M6" s="36" t="str">
        <f>IF(Table4[[#This Row],[Residual Security Risk Acceptability Justification]]&gt;0,Table4[[#This Row],[Residual Security Risk Acceptability Justification]],"")</f>
        <v/>
      </c>
    </row>
    <row r="7" spans="1:14" s="26" customFormat="1" ht="112">
      <c r="A7" s="49">
        <f>Table4[[#This Row],[
ID '#]]</f>
        <v>3</v>
      </c>
      <c r="B7" s="129" t="str">
        <f>IF(Table4[[#This Row],[T ID]]&gt;0,Table4[[#This Row],[T ID]],"")</f>
        <v>T01</v>
      </c>
      <c r="C7" s="19" t="str">
        <f>Table4[[#This Row],[Threat Event(s)]]</f>
        <v>Deliver undirected malware
(CAPEC-185)</v>
      </c>
      <c r="D7" s="36" t="str">
        <f>IF(Table4[[#This Row],[V ID]]&gt;0,Table4[[#This Row],[V ID]],"")</f>
        <v>V02</v>
      </c>
      <c r="E7" s="19" t="str">
        <f>Table4[[#This Row],[Vulnerabilities]]</f>
        <v>External communications and exposure for communciation channels from and to application and devices like tablet and smartmedic device.</v>
      </c>
      <c r="F7" s="36" t="str">
        <f>IF(Table4[[#This Row],[A ID]]&gt;0,Table4[[#This Row],[A ID]],"")</f>
        <v>A03</v>
      </c>
      <c r="G7" s="19" t="str">
        <f>Table4[[#This Row],[Asset]]</f>
        <v>Smart medic (Stryker device) System Component</v>
      </c>
      <c r="H7" s="19" t="str">
        <f>IF(Table4[[#This Row],[Impact Description]]&gt;0,Table4[[#This Row],[Impact Description]],"")</f>
        <v xml:space="preserve">1) Malicious utilization of  computer resources 2) computing power  
3) denial of service attacks, 
4) ransomware attack 
5) Bitcoin mining, etc </v>
      </c>
      <c r="I7" s="36" t="str">
        <f>IF(Table4[[#This Row],[Safety Impact 
(Risk ID'# or N/A)]]&gt;0,Table4[[#This Row],[Safety Impact 
(Risk ID'# or N/A)]],"")</f>
        <v/>
      </c>
      <c r="J7" s="89" t="str">
        <f>Table4[[#This Row],[Security 
Risk 
Level]]</f>
        <v>LOW</v>
      </c>
      <c r="K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89" t="str">
        <f>Table4[[#This Row],[Security Risk LevelP]]</f>
        <v/>
      </c>
      <c r="M7" s="36" t="str">
        <f>IF(Table4[[#This Row],[Residual Security Risk Acceptability Justification]]&gt;0,Table4[[#This Row],[Residual Security Risk Acceptability Justification]],"")</f>
        <v/>
      </c>
    </row>
    <row r="8" spans="1:14" s="26" customFormat="1" ht="112">
      <c r="A8" s="49">
        <f>Table4[[#This Row],[
ID '#]]</f>
        <v>4</v>
      </c>
      <c r="B8" s="129" t="str">
        <f>IF(Table4[[#This Row],[T ID]]&gt;0,Table4[[#This Row],[T ID]],"")</f>
        <v>T01</v>
      </c>
      <c r="C8" s="88" t="str">
        <f>Table4[[#This Row],[Threat Event(s)]]</f>
        <v>Deliver undirected malware
(CAPEC-185)</v>
      </c>
      <c r="D8" s="36" t="str">
        <f>IF(Table4[[#This Row],[V ID]]&gt;0,Table4[[#This Row],[V ID]],"")</f>
        <v>V02</v>
      </c>
      <c r="E8" s="88" t="str">
        <f>Table4[[#This Row],[Vulnerabilities]]</f>
        <v>External communications and exposure for communciation channels from and to application and devices like tablet and smartmedic device.</v>
      </c>
      <c r="F8" s="130" t="str">
        <f>IF(Table4[[#This Row],[A ID]]&gt;0,Table4[[#This Row],[A ID]],"")</f>
        <v>A01</v>
      </c>
      <c r="G8" s="88" t="str">
        <f>Table4[[#This Row],[Asset]]</f>
        <v>Tablet Resources - web cam, microphone, OTG devices, Removable USB, Tablet Application, Network interfaces (Bluetooth, Wifi)</v>
      </c>
      <c r="H8" s="19" t="str">
        <f>IF(Table4[[#This Row],[Impact Description]]&gt;0,Table4[[#This Row],[Impact Description]],"")</f>
        <v xml:space="preserve">1) Malicious utilization of  computer resources 2) computing power  
3) denial of service attacks, 
4) ransomware attack 
5) Bitcoin mining, etc </v>
      </c>
      <c r="I8" s="36" t="str">
        <f>IF(Table4[[#This Row],[Safety Impact 
(Risk ID'# or N/A)]]&gt;0,Table4[[#This Row],[Safety Impact 
(Risk ID'# or N/A)]],"")</f>
        <v/>
      </c>
      <c r="J8" s="18" t="str">
        <f>Table4[[#This Row],[Security 
Risk 
Level]]</f>
        <v>LOW</v>
      </c>
      <c r="K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96" t="str">
        <f>Table4[[#This Row],[Security Risk LevelP]]</f>
        <v/>
      </c>
      <c r="M8" s="36" t="str">
        <f>IF(Table4[[#This Row],[Residual Security Risk Acceptability Justification]]&gt;0,Table4[[#This Row],[Residual Security Risk Acceptability Justification]],"")</f>
        <v/>
      </c>
    </row>
    <row r="9" spans="1:14" s="26" customFormat="1" ht="70">
      <c r="A9" s="49">
        <f>Table4[[#This Row],[
ID '#]]</f>
        <v>5</v>
      </c>
      <c r="B9" s="129" t="str">
        <f>IF(Table4[[#This Row],[T ID]]&gt;0,Table4[[#This Row],[T ID]],"")</f>
        <v>T01</v>
      </c>
      <c r="C9" s="88" t="str">
        <f>Table4[[#This Row],[Threat Event(s)]]</f>
        <v>Deliver undirected malware
(CAPEC-185)</v>
      </c>
      <c r="D9" s="36" t="str">
        <f>IF(Table4[[#This Row],[V ID]]&gt;0,Table4[[#This Row],[V ID]],"")</f>
        <v>V22</v>
      </c>
      <c r="E9" s="88" t="str">
        <f>Table4[[#This Row],[Vulnerabilities]]</f>
        <v>Legacy system identification if any</v>
      </c>
      <c r="F9" s="130" t="str">
        <f>IF(Table4[[#This Row],[A ID]]&gt;0,Table4[[#This Row],[A ID]],"")</f>
        <v>A03</v>
      </c>
      <c r="G9" s="88"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
      </c>
      <c r="J9" s="18" t="str">
        <f>Table4[[#This Row],[Security 
Risk 
Level]]</f>
        <v>LOW</v>
      </c>
      <c r="K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96" t="str">
        <f>Table4[[#This Row],[Security Risk LevelP]]</f>
        <v/>
      </c>
      <c r="M9" s="36" t="str">
        <f>IF(Table4[[#This Row],[Residual Security Risk Acceptability Justification]]&gt;0,Table4[[#This Row],[Residual Security Risk Acceptability Justification]],"")</f>
        <v/>
      </c>
    </row>
    <row r="10" spans="1:14" s="26" customFormat="1" ht="70">
      <c r="A10" s="49">
        <f>Table4[[#This Row],[
ID '#]]</f>
        <v>6</v>
      </c>
      <c r="B10" s="129"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30"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
      </c>
      <c r="J10" s="18" t="str">
        <f>Table4[[#This Row],[Security 
Risk 
Level]]</f>
        <v>LOW</v>
      </c>
      <c r="K1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6" t="str">
        <f>Table4[[#This Row],[Security Risk LevelP]]</f>
        <v/>
      </c>
      <c r="M10" s="36" t="str">
        <f>IF(Table4[[#This Row],[Residual Security Risk Acceptability Justification]]&gt;0,Table4[[#This Row],[Residual Security Risk Acceptability Justification]],"")</f>
        <v/>
      </c>
    </row>
    <row r="11" spans="1:14" s="26" customFormat="1" ht="70">
      <c r="A11" s="49">
        <f>Table4[[#This Row],[
ID '#]]</f>
        <v>7</v>
      </c>
      <c r="B11" s="129" t="str">
        <f>IF(Table4[[#This Row],[T ID]]&gt;0,Table4[[#This Row],[T ID]],"")</f>
        <v>T01</v>
      </c>
      <c r="C11" s="88" t="str">
        <f>Table4[[#This Row],[Threat Event(s)]]</f>
        <v>Deliver undirected malware
(CAPEC-185)</v>
      </c>
      <c r="D11" s="36" t="str">
        <f>IF(Table4[[#This Row],[V ID]]&gt;0,Table4[[#This Row],[V ID]],"")</f>
        <v>V08</v>
      </c>
      <c r="E11" s="88" t="str">
        <f>Table4[[#This Row],[Vulnerabilities]]</f>
        <v>Ineffective patch management of firware, OS and applications thoughout the information system plan</v>
      </c>
      <c r="F11" s="130" t="str">
        <f>IF(Table4[[#This Row],[A ID]]&gt;0,Table4[[#This Row],[A ID]],"")</f>
        <v>A05</v>
      </c>
      <c r="G11" s="88"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
      </c>
      <c r="J11" s="18" t="str">
        <f>Table4[[#This Row],[Security 
Risk 
Level]]</f>
        <v>LOW</v>
      </c>
      <c r="K1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96" t="str">
        <f>Table4[[#This Row],[Security Risk LevelP]]</f>
        <v/>
      </c>
      <c r="M11" s="36" t="str">
        <f>IF(Table4[[#This Row],[Residual Security Risk Acceptability Justification]]&gt;0,Table4[[#This Row],[Residual Security Risk Acceptability Justification]],"")</f>
        <v/>
      </c>
    </row>
    <row r="12" spans="1:14" s="26" customFormat="1" ht="70">
      <c r="A12" s="49">
        <f>Table4[[#This Row],[
ID '#]]</f>
        <v>8</v>
      </c>
      <c r="B12" s="129"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30"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
      </c>
      <c r="J12" s="18" t="str">
        <f>Table4[[#This Row],[Security 
Risk 
Level]]</f>
        <v>LOW</v>
      </c>
      <c r="K1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6" t="str">
        <f>Table4[[#This Row],[Security Risk LevelP]]</f>
        <v/>
      </c>
      <c r="M12" s="36" t="str">
        <f>IF(Table4[[#This Row],[Residual Security Risk Acceptability Justification]]&gt;0,Table4[[#This Row],[Residual Security Risk Acceptability Justification]],"")</f>
        <v/>
      </c>
    </row>
    <row r="13" spans="1:14" s="26" customFormat="1" ht="70">
      <c r="A13" s="49">
        <f>Table4[[#This Row],[
ID '#]]</f>
        <v>9</v>
      </c>
      <c r="B13" s="129"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30"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
      </c>
      <c r="J13" s="18" t="str">
        <f>Table4[[#This Row],[Security 
Risk 
Level]]</f>
        <v>LOW</v>
      </c>
      <c r="K1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6" t="str">
        <f>Table4[[#This Row],[Security Risk LevelP]]</f>
        <v/>
      </c>
      <c r="M13" s="36" t="str">
        <f>IF(Table4[[#This Row],[Residual Security Risk Acceptability Justification]]&gt;0,Table4[[#This Row],[Residual Security Risk Acceptability Justification]],"")</f>
        <v/>
      </c>
    </row>
    <row r="14" spans="1:14" s="26" customFormat="1" ht="70">
      <c r="A14" s="49">
        <f>Table4[[#This Row],[
ID '#]]</f>
        <v>10</v>
      </c>
      <c r="B14" s="129"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30"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
      </c>
      <c r="J14" s="18" t="str">
        <f>Table4[[#This Row],[Security 
Risk 
Level]]</f>
        <v>LOW</v>
      </c>
      <c r="K1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6" t="str">
        <f>Table4[[#This Row],[Security Risk LevelP]]</f>
        <v/>
      </c>
      <c r="M14" s="36" t="str">
        <f>IF(Table4[[#This Row],[Residual Security Risk Acceptability Justification]]&gt;0,Table4[[#This Row],[Residual Security Risk Acceptability Justification]],"")</f>
        <v/>
      </c>
    </row>
    <row r="15" spans="1:14" s="26" customFormat="1" ht="70">
      <c r="A15" s="49">
        <f>Table4[[#This Row],[
ID '#]]</f>
        <v>11</v>
      </c>
      <c r="B15" s="129"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30"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
      </c>
      <c r="J15" s="18" t="str">
        <f>Table4[[#This Row],[Security 
Risk 
Level]]</f>
        <v>LOW</v>
      </c>
      <c r="K1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6" t="str">
        <f>Table4[[#This Row],[Security Risk LevelP]]</f>
        <v/>
      </c>
      <c r="M15" s="36" t="str">
        <f>IF(Table4[[#This Row],[Residual Security Risk Acceptability Justification]]&gt;0,Table4[[#This Row],[Residual Security Risk Acceptability Justification]],"")</f>
        <v/>
      </c>
    </row>
    <row r="16" spans="1:14" s="26" customFormat="1" ht="70">
      <c r="A16" s="49">
        <f>Table4[[#This Row],[
ID '#]]</f>
        <v>12</v>
      </c>
      <c r="B16" s="129"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30"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
      </c>
      <c r="J16" s="18" t="str">
        <f>Table4[[#This Row],[Security 
Risk 
Level]]</f>
        <v>LOW</v>
      </c>
      <c r="K1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6" t="str">
        <f>Table4[[#This Row],[Security Risk LevelP]]</f>
        <v/>
      </c>
      <c r="M16" s="36" t="str">
        <f>IF(Table4[[#This Row],[Residual Security Risk Acceptability Justification]]&gt;0,Table4[[#This Row],[Residual Security Risk Acceptability Justification]],"")</f>
        <v/>
      </c>
    </row>
    <row r="17" spans="1:13" s="26" customFormat="1" ht="70">
      <c r="A17" s="49">
        <f>Table4[[#This Row],[
ID '#]]</f>
        <v>13</v>
      </c>
      <c r="B17" s="129"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30"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
      </c>
      <c r="J17" s="18" t="str">
        <f>Table4[[#This Row],[Security 
Risk 
Level]]</f>
        <v>LOW</v>
      </c>
      <c r="K1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6" t="str">
        <f>Table4[[#This Row],[Security Risk LevelP]]</f>
        <v/>
      </c>
      <c r="M17" s="36" t="str">
        <f>IF(Table4[[#This Row],[Residual Security Risk Acceptability Justification]]&gt;0,Table4[[#This Row],[Residual Security Risk Acceptability Justification]],"")</f>
        <v/>
      </c>
    </row>
    <row r="18" spans="1:13" s="26" customFormat="1" ht="70">
      <c r="A18" s="49">
        <f>Table4[[#This Row],[
ID '#]]</f>
        <v>14</v>
      </c>
      <c r="B18" s="129"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30"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
      </c>
      <c r="J18" s="18" t="str">
        <f>Table4[[#This Row],[Security 
Risk 
Level]]</f>
        <v>LOW</v>
      </c>
      <c r="K1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6" t="str">
        <f>Table4[[#This Row],[Security Risk LevelP]]</f>
        <v/>
      </c>
      <c r="M18" s="36" t="str">
        <f>IF(Table4[[#This Row],[Residual Security Risk Acceptability Justification]]&gt;0,Table4[[#This Row],[Residual Security Risk Acceptability Justification]],"")</f>
        <v/>
      </c>
    </row>
    <row r="19" spans="1:13" s="26" customFormat="1" ht="70">
      <c r="A19" s="49">
        <f>Table4[[#This Row],[
ID '#]]</f>
        <v>15</v>
      </c>
      <c r="B19" s="129"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30"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
      </c>
      <c r="J19" s="18" t="str">
        <f>Table4[[#This Row],[Security 
Risk 
Level]]</f>
        <v>LOW</v>
      </c>
      <c r="K1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6" t="str">
        <f>Table4[[#This Row],[Security Risk LevelP]]</f>
        <v/>
      </c>
      <c r="M19" s="36" t="str">
        <f>IF(Table4[[#This Row],[Residual Security Risk Acceptability Justification]]&gt;0,Table4[[#This Row],[Residual Security Risk Acceptability Justification]],"")</f>
        <v/>
      </c>
    </row>
    <row r="20" spans="1:13" s="26" customFormat="1" ht="70">
      <c r="A20" s="49">
        <f>Table4[[#This Row],[
ID '#]]</f>
        <v>16</v>
      </c>
      <c r="B20" s="129"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30"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
      </c>
      <c r="J20" s="18" t="str">
        <f>Table4[[#This Row],[Security 
Risk 
Level]]</f>
        <v>LOW</v>
      </c>
      <c r="K2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6" t="str">
        <f>Table4[[#This Row],[Security Risk LevelP]]</f>
        <v/>
      </c>
      <c r="M20" s="36" t="str">
        <f>IF(Table4[[#This Row],[Residual Security Risk Acceptability Justification]]&gt;0,Table4[[#This Row],[Residual Security Risk Acceptability Justification]],"")</f>
        <v/>
      </c>
    </row>
    <row r="21" spans="1:13" s="26" customFormat="1" ht="70">
      <c r="A21" s="49">
        <f>Table4[[#This Row],[
ID '#]]</f>
        <v>17</v>
      </c>
      <c r="B21" s="129"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30"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
      </c>
      <c r="J21" s="18" t="str">
        <f>Table4[[#This Row],[Security 
Risk 
Level]]</f>
        <v>LOW</v>
      </c>
      <c r="K2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6" t="str">
        <f>Table4[[#This Row],[Security Risk LevelP]]</f>
        <v/>
      </c>
      <c r="M21" s="36" t="str">
        <f>IF(Table4[[#This Row],[Residual Security Risk Acceptability Justification]]&gt;0,Table4[[#This Row],[Residual Security Risk Acceptability Justification]],"")</f>
        <v/>
      </c>
    </row>
    <row r="22" spans="1:13" s="26" customFormat="1" ht="70">
      <c r="A22" s="49">
        <f>Table4[[#This Row],[
ID '#]]</f>
        <v>18</v>
      </c>
      <c r="B22" s="129"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30"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
      </c>
      <c r="J22" s="18" t="str">
        <f>Table4[[#This Row],[Security 
Risk 
Level]]</f>
        <v>LOW</v>
      </c>
      <c r="K2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6" t="str">
        <f>Table4[[#This Row],[Security Risk LevelP]]</f>
        <v/>
      </c>
      <c r="M22" s="36" t="str">
        <f>IF(Table4[[#This Row],[Residual Security Risk Acceptability Justification]]&gt;0,Table4[[#This Row],[Residual Security Risk Acceptability Justification]],"")</f>
        <v/>
      </c>
    </row>
    <row r="23" spans="1:13" s="26" customFormat="1" ht="70">
      <c r="A23" s="49">
        <f>Table4[[#This Row],[
ID '#]]</f>
        <v>19</v>
      </c>
      <c r="B23" s="129"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30"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
      </c>
      <c r="J23" s="18" t="str">
        <f>Table4[[#This Row],[Security 
Risk 
Level]]</f>
        <v>LOW</v>
      </c>
      <c r="K2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6" t="str">
        <f>Table4[[#This Row],[Security Risk LevelP]]</f>
        <v/>
      </c>
      <c r="M23" s="36" t="str">
        <f>IF(Table4[[#This Row],[Residual Security Risk Acceptability Justification]]&gt;0,Table4[[#This Row],[Residual Security Risk Acceptability Justification]],"")</f>
        <v/>
      </c>
    </row>
    <row r="24" spans="1:13" s="26" customFormat="1" ht="70">
      <c r="A24" s="49">
        <f>Table4[[#This Row],[
ID '#]]</f>
        <v>20</v>
      </c>
      <c r="B24" s="129"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30"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
      </c>
      <c r="J24" s="18" t="str">
        <f>Table4[[#This Row],[Security 
Risk 
Level]]</f>
        <v>LOW</v>
      </c>
      <c r="K2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6" t="str">
        <f>Table4[[#This Row],[Security Risk LevelP]]</f>
        <v/>
      </c>
      <c r="M24" s="36" t="str">
        <f>IF(Table4[[#This Row],[Residual Security Risk Acceptability Justification]]&gt;0,Table4[[#This Row],[Residual Security Risk Acceptability Justification]],"")</f>
        <v/>
      </c>
    </row>
    <row r="25" spans="1:13" s="26" customFormat="1" ht="70">
      <c r="A25" s="49">
        <f>Table4[[#This Row],[
ID '#]]</f>
        <v>21</v>
      </c>
      <c r="B25" s="129"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30"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
      </c>
      <c r="J25" s="18" t="str">
        <f>Table4[[#This Row],[Security 
Risk 
Level]]</f>
        <v>LOW</v>
      </c>
      <c r="K2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6" t="str">
        <f>Table4[[#This Row],[Security Risk LevelP]]</f>
        <v/>
      </c>
      <c r="M25" s="36" t="str">
        <f>IF(Table4[[#This Row],[Residual Security Risk Acceptability Justification]]&gt;0,Table4[[#This Row],[Residual Security Risk Acceptability Justification]],"")</f>
        <v>Justification</v>
      </c>
    </row>
    <row r="26" spans="1:13" s="26" customFormat="1" ht="70">
      <c r="A26" s="49">
        <f>Table4[[#This Row],[
ID '#]]</f>
        <v>22</v>
      </c>
      <c r="B26" s="129"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30"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
      </c>
      <c r="J26" s="18" t="str">
        <f>Table4[[#This Row],[Security 
Risk 
Level]]</f>
        <v>LOW</v>
      </c>
      <c r="K2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6" t="str">
        <f>Table4[[#This Row],[Security Risk LevelP]]</f>
        <v/>
      </c>
      <c r="M26" s="36" t="str">
        <f>IF(Table4[[#This Row],[Residual Security Risk Acceptability Justification]]&gt;0,Table4[[#This Row],[Residual Security Risk Acceptability Justification]],"")</f>
        <v/>
      </c>
    </row>
    <row r="27" spans="1:13" s="26" customFormat="1" ht="70">
      <c r="A27" s="49">
        <f>Table4[[#This Row],[
ID '#]]</f>
        <v>23</v>
      </c>
      <c r="B27" s="129"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30"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
      </c>
      <c r="J27" s="18" t="str">
        <f>Table4[[#This Row],[Security 
Risk 
Level]]</f>
        <v>LOW</v>
      </c>
      <c r="K2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6" t="str">
        <f>Table4[[#This Row],[Security Risk LevelP]]</f>
        <v/>
      </c>
      <c r="M27" s="36" t="str">
        <f>IF(Table4[[#This Row],[Residual Security Risk Acceptability Justification]]&gt;0,Table4[[#This Row],[Residual Security Risk Acceptability Justification]],"")</f>
        <v/>
      </c>
    </row>
    <row r="28" spans="1:13" s="26" customFormat="1" ht="70">
      <c r="A28" s="49">
        <f>Table4[[#This Row],[
ID '#]]</f>
        <v>24</v>
      </c>
      <c r="B28" s="129"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30"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
      </c>
      <c r="J28" s="18" t="str">
        <f>Table4[[#This Row],[Security 
Risk 
Level]]</f>
        <v>LOW</v>
      </c>
      <c r="K28" s="36" t="str">
        <f>IF(Table4[[#This Row],[Security Risk Control Measures]]&gt;0,Table4[[#This Row],[Security Risk Control Measures]],"")</f>
        <v>SOM responsibility
1. Statefull Firewall
2. Maintain access control (read/modify) permission list for any sensitive &amp; unencrypted data if present.</v>
      </c>
      <c r="L28" s="96" t="str">
        <f>Table4[[#This Row],[Security Risk LevelP]]</f>
        <v/>
      </c>
      <c r="M28" s="36" t="str">
        <f>IF(Table4[[#This Row],[Residual Security Risk Acceptability Justification]]&gt;0,Table4[[#This Row],[Residual Security Risk Acceptability Justification]],"")</f>
        <v/>
      </c>
    </row>
    <row r="29" spans="1:13" s="26" customFormat="1" ht="70">
      <c r="A29" s="49">
        <f>Table4[[#This Row],[
ID '#]]</f>
        <v>25</v>
      </c>
      <c r="B29" s="129"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30"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
      </c>
      <c r="J29" s="18" t="str">
        <f>Table4[[#This Row],[Security 
Risk 
Level]]</f>
        <v>LOW</v>
      </c>
      <c r="K2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6" t="str">
        <f>Table4[[#This Row],[Security Risk LevelP]]</f>
        <v/>
      </c>
      <c r="M29" s="36" t="str">
        <f>IF(Table4[[#This Row],[Residual Security Risk Acceptability Justification]]&gt;0,Table4[[#This Row],[Residual Security Risk Acceptability Justification]],"")</f>
        <v/>
      </c>
    </row>
    <row r="30" spans="1:13" s="26" customFormat="1" ht="70">
      <c r="A30" s="49">
        <f>Table4[[#This Row],[
ID '#]]</f>
        <v>26</v>
      </c>
      <c r="B30" s="129"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30"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
      </c>
      <c r="J30" s="18" t="str">
        <f>Table4[[#This Row],[Security 
Risk 
Level]]</f>
        <v>LOW</v>
      </c>
      <c r="K3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6"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29"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30"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
      </c>
      <c r="J31" s="18" t="str">
        <f>Table4[[#This Row],[Security 
Risk 
Level]]</f>
        <v>MEDIUM</v>
      </c>
      <c r="K31" s="36"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6" t="str">
        <f>Table4[[#This Row],[Security Risk LevelP]]</f>
        <v/>
      </c>
      <c r="M31" s="36" t="str">
        <f>IF(Table4[[#This Row],[Residual Security Risk Acceptability Justification]]&gt;0,Table4[[#This Row],[Residual Security Risk Acceptability Justification]],"")</f>
        <v/>
      </c>
    </row>
    <row r="32" spans="1:13" s="26" customFormat="1" ht="84">
      <c r="A32" s="49">
        <f>Table4[[#This Row],[
ID '#]]</f>
        <v>28</v>
      </c>
      <c r="B32" s="129"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30"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
      </c>
      <c r="J32" s="18" t="str">
        <f>Table4[[#This Row],[Security 
Risk 
Level]]</f>
        <v>LOW</v>
      </c>
      <c r="K3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6" t="str">
        <f>Table4[[#This Row],[Security Risk LevelP]]</f>
        <v/>
      </c>
      <c r="M32" s="36" t="str">
        <f>IF(Table4[[#This Row],[Residual Security Risk Acceptability Justification]]&gt;0,Table4[[#This Row],[Residual Security Risk Acceptability Justification]],"")</f>
        <v/>
      </c>
    </row>
    <row r="33" spans="1:13" s="26" customFormat="1" ht="84">
      <c r="A33" s="49">
        <f>Table4[[#This Row],[
ID '#]]</f>
        <v>29</v>
      </c>
      <c r="B33" s="129"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30"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
      </c>
      <c r="J33" s="18" t="str">
        <f>Table4[[#This Row],[Security 
Risk 
Level]]</f>
        <v>LOW</v>
      </c>
      <c r="K3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6" t="str">
        <f>Table4[[#This Row],[Security Risk LevelP]]</f>
        <v/>
      </c>
      <c r="M33" s="36" t="str">
        <f>IF(Table4[[#This Row],[Residual Security Risk Acceptability Justification]]&gt;0,Table4[[#This Row],[Residual Security Risk Acceptability Justification]],"")</f>
        <v/>
      </c>
    </row>
    <row r="34" spans="1:13" s="26" customFormat="1" ht="84">
      <c r="A34" s="49">
        <f>Table4[[#This Row],[
ID '#]]</f>
        <v>30</v>
      </c>
      <c r="B34" s="129"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30"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
      </c>
      <c r="J34" s="18" t="str">
        <f>Table4[[#This Row],[Security 
Risk 
Level]]</f>
        <v>LOW</v>
      </c>
      <c r="K3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6" t="str">
        <f>Table4[[#This Row],[Security Risk LevelP]]</f>
        <v/>
      </c>
      <c r="M34" s="36" t="str">
        <f>IF(Table4[[#This Row],[Residual Security Risk Acceptability Justification]]&gt;0,Table4[[#This Row],[Residual Security Risk Acceptability Justification]],"")</f>
        <v/>
      </c>
    </row>
    <row r="35" spans="1:13" s="26" customFormat="1" ht="84">
      <c r="A35" s="49">
        <f>Table4[[#This Row],[
ID '#]]</f>
        <v>31</v>
      </c>
      <c r="B35" s="129"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30"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
      </c>
      <c r="J35" s="18" t="str">
        <f>Table4[[#This Row],[Security 
Risk 
Level]]</f>
        <v>MEDIUM</v>
      </c>
      <c r="K35" s="36"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6" t="str">
        <f>Table4[[#This Row],[Security Risk LevelP]]</f>
        <v/>
      </c>
      <c r="M35" s="36" t="str">
        <f>IF(Table4[[#This Row],[Residual Security Risk Acceptability Justification]]&gt;0,Table4[[#This Row],[Residual Security Risk Acceptability Justification]],"")</f>
        <v/>
      </c>
    </row>
    <row r="36" spans="1:13" s="26" customFormat="1" ht="84">
      <c r="A36" s="49">
        <f>Table4[[#This Row],[
ID '#]]</f>
        <v>32</v>
      </c>
      <c r="B36" s="129"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30"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
      </c>
      <c r="J36" s="18" t="str">
        <f>Table4[[#This Row],[Security 
Risk 
Level]]</f>
        <v>LOW</v>
      </c>
      <c r="K3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6" t="str">
        <f>Table4[[#This Row],[Security Risk LevelP]]</f>
        <v/>
      </c>
      <c r="M36" s="36" t="str">
        <f>IF(Table4[[#This Row],[Residual Security Risk Acceptability Justification]]&gt;0,Table4[[#This Row],[Residual Security Risk Acceptability Justification]],"")</f>
        <v/>
      </c>
    </row>
    <row r="37" spans="1:13" s="26" customFormat="1" ht="84">
      <c r="A37" s="49">
        <f>Table4[[#This Row],[
ID '#]]</f>
        <v>33</v>
      </c>
      <c r="B37" s="129"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30"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
      </c>
      <c r="J37" s="18" t="str">
        <f>Table4[[#This Row],[Security 
Risk 
Level]]</f>
        <v>LOW</v>
      </c>
      <c r="K37" s="36"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6" t="str">
        <f>Table4[[#This Row],[Security Risk LevelP]]</f>
        <v/>
      </c>
      <c r="M37" s="36" t="str">
        <f>IF(Table4[[#This Row],[Residual Security Risk Acceptability Justification]]&gt;0,Table4[[#This Row],[Residual Security Risk Acceptability Justification]],"")</f>
        <v/>
      </c>
    </row>
    <row r="38" spans="1:13" s="26" customFormat="1" ht="84">
      <c r="A38" s="49">
        <f>Table4[[#This Row],[
ID '#]]</f>
        <v>34</v>
      </c>
      <c r="B38" s="129"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30"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
      </c>
      <c r="J38" s="18" t="str">
        <f>Table4[[#This Row],[Security 
Risk 
Level]]</f>
        <v>LOW</v>
      </c>
      <c r="K3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6" t="str">
        <f>Table4[[#This Row],[Security Risk LevelP]]</f>
        <v/>
      </c>
      <c r="M38" s="36" t="str">
        <f>IF(Table4[[#This Row],[Residual Security Risk Acceptability Justification]]&gt;0,Table4[[#This Row],[Residual Security Risk Acceptability Justification]],"")</f>
        <v/>
      </c>
    </row>
    <row r="39" spans="1:13" s="26" customFormat="1" ht="84">
      <c r="A39" s="49">
        <f>Table4[[#This Row],[
ID '#]]</f>
        <v>35</v>
      </c>
      <c r="B39" s="129"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30"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
      </c>
      <c r="J39" s="18" t="str">
        <f>Table4[[#This Row],[Security 
Risk 
Level]]</f>
        <v>LOW</v>
      </c>
      <c r="K3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6" t="str">
        <f>Table4[[#This Row],[Security Risk LevelP]]</f>
        <v/>
      </c>
      <c r="M39" s="36" t="str">
        <f>IF(Table4[[#This Row],[Residual Security Risk Acceptability Justification]]&gt;0,Table4[[#This Row],[Residual Security Risk Acceptability Justification]],"")</f>
        <v/>
      </c>
    </row>
    <row r="40" spans="1:13" s="26" customFormat="1" ht="84">
      <c r="A40" s="49">
        <f>Table4[[#This Row],[
ID '#]]</f>
        <v>36</v>
      </c>
      <c r="B40" s="129"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30"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
      </c>
      <c r="J40" s="18" t="str">
        <f>Table4[[#This Row],[Security 
Risk 
Level]]</f>
        <v>LOW</v>
      </c>
      <c r="K4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6" t="str">
        <f>Table4[[#This Row],[Security Risk LevelP]]</f>
        <v/>
      </c>
      <c r="M40" s="36" t="str">
        <f>IF(Table4[[#This Row],[Residual Security Risk Acceptability Justification]]&gt;0,Table4[[#This Row],[Residual Security Risk Acceptability Justification]],"")</f>
        <v/>
      </c>
    </row>
    <row r="41" spans="1:13" s="26" customFormat="1" ht="84">
      <c r="A41" s="49">
        <f>Table4[[#This Row],[
ID '#]]</f>
        <v>37</v>
      </c>
      <c r="B41" s="129"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30"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
      </c>
      <c r="J41" s="18" t="str">
        <f>Table4[[#This Row],[Security 
Risk 
Level]]</f>
        <v>LOW</v>
      </c>
      <c r="K41"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6" t="str">
        <f>Table4[[#This Row],[Security Risk LevelP]]</f>
        <v/>
      </c>
      <c r="M41" s="36" t="str">
        <f>IF(Table4[[#This Row],[Residual Security Risk Acceptability Justification]]&gt;0,Table4[[#This Row],[Residual Security Risk Acceptability Justification]],"")</f>
        <v/>
      </c>
    </row>
    <row r="42" spans="1:13" s="26" customFormat="1" ht="70">
      <c r="A42" s="49">
        <f>Table4[[#This Row],[
ID '#]]</f>
        <v>38</v>
      </c>
      <c r="B42" s="129"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30"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
      </c>
      <c r="J42" s="18" t="str">
        <f>Table4[[#This Row],[Security 
Risk 
Level]]</f>
        <v>LOW</v>
      </c>
      <c r="K4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6" t="str">
        <f>Table4[[#This Row],[Security Risk LevelP]]</f>
        <v/>
      </c>
      <c r="M42" s="36" t="str">
        <f>IF(Table4[[#This Row],[Residual Security Risk Acceptability Justification]]&gt;0,Table4[[#This Row],[Residual Security Risk Acceptability Justification]],"")</f>
        <v/>
      </c>
    </row>
    <row r="43" spans="1:13" s="26" customFormat="1" ht="70">
      <c r="A43" s="49">
        <f>Table4[[#This Row],[
ID '#]]</f>
        <v>39</v>
      </c>
      <c r="B43" s="129"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30"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
      </c>
      <c r="J43" s="18" t="str">
        <f>Table4[[#This Row],[Security 
Risk 
Level]]</f>
        <v>MEDIUM</v>
      </c>
      <c r="K43" s="36"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6" t="str">
        <f>Table4[[#This Row],[Security Risk LevelP]]</f>
        <v/>
      </c>
      <c r="M43" s="36" t="str">
        <f>IF(Table4[[#This Row],[Residual Security Risk Acceptability Justification]]&gt;0,Table4[[#This Row],[Residual Security Risk Acceptability Justification]],"")</f>
        <v/>
      </c>
    </row>
    <row r="44" spans="1:13" s="26" customFormat="1" ht="70">
      <c r="A44" s="49">
        <f>Table4[[#This Row],[
ID '#]]</f>
        <v>40</v>
      </c>
      <c r="B44" s="129"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30"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
      </c>
      <c r="J44" s="18" t="str">
        <f>Table4[[#This Row],[Security 
Risk 
Level]]</f>
        <v>LOW</v>
      </c>
      <c r="K4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6" t="str">
        <f>Table4[[#This Row],[Security Risk LevelP]]</f>
        <v/>
      </c>
      <c r="M44" s="36" t="str">
        <f>IF(Table4[[#This Row],[Residual Security Risk Acceptability Justification]]&gt;0,Table4[[#This Row],[Residual Security Risk Acceptability Justification]],"")</f>
        <v/>
      </c>
    </row>
    <row r="45" spans="1:13" s="26" customFormat="1" ht="70">
      <c r="A45" s="49">
        <f>Table4[[#This Row],[
ID '#]]</f>
        <v>41</v>
      </c>
      <c r="B45" s="129"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30"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
      </c>
      <c r="J45" s="18" t="str">
        <f>Table4[[#This Row],[Security 
Risk 
Level]]</f>
        <v>MEDIUM</v>
      </c>
      <c r="K45" s="36"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6" t="str">
        <f>Table4[[#This Row],[Security Risk LevelP]]</f>
        <v/>
      </c>
      <c r="M45" s="36" t="str">
        <f>IF(Table4[[#This Row],[Residual Security Risk Acceptability Justification]]&gt;0,Table4[[#This Row],[Residual Security Risk Acceptability Justification]],"")</f>
        <v/>
      </c>
    </row>
    <row r="46" spans="1:13" s="26" customFormat="1" ht="70">
      <c r="A46" s="49">
        <f>Table4[[#This Row],[
ID '#]]</f>
        <v>42</v>
      </c>
      <c r="B46" s="129"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30"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
      </c>
      <c r="J46" s="18" t="str">
        <f>Table4[[#This Row],[Security 
Risk 
Level]]</f>
        <v>LOW</v>
      </c>
      <c r="K46"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6" t="str">
        <f>Table4[[#This Row],[Security Risk LevelP]]</f>
        <v/>
      </c>
      <c r="M46" s="36" t="str">
        <f>IF(Table4[[#This Row],[Residual Security Risk Acceptability Justification]]&gt;0,Table4[[#This Row],[Residual Security Risk Acceptability Justification]],"")</f>
        <v/>
      </c>
    </row>
    <row r="47" spans="1:13" s="26" customFormat="1" ht="70">
      <c r="A47" s="49">
        <f>Table4[[#This Row],[
ID '#]]</f>
        <v>43</v>
      </c>
      <c r="B47" s="129"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30"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
      </c>
      <c r="J47" s="18" t="str">
        <f>Table4[[#This Row],[Security 
Risk 
Level]]</f>
        <v>MEDIUM</v>
      </c>
      <c r="K47"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6" t="str">
        <f>Table4[[#This Row],[Security Risk LevelP]]</f>
        <v/>
      </c>
      <c r="M47" s="36" t="str">
        <f>IF(Table4[[#This Row],[Residual Security Risk Acceptability Justification]]&gt;0,Table4[[#This Row],[Residual Security Risk Acceptability Justification]],"")</f>
        <v/>
      </c>
    </row>
    <row r="48" spans="1:13" s="26" customFormat="1" ht="70">
      <c r="A48" s="49">
        <f>Table4[[#This Row],[
ID '#]]</f>
        <v>44</v>
      </c>
      <c r="B48" s="129"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30"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
      </c>
      <c r="J48" s="18" t="str">
        <f>Table4[[#This Row],[Security 
Risk 
Level]]</f>
        <v>LOW</v>
      </c>
      <c r="K48"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6" t="str">
        <f>Table4[[#This Row],[Security Risk LevelP]]</f>
        <v/>
      </c>
      <c r="M48" s="36" t="str">
        <f>IF(Table4[[#This Row],[Residual Security Risk Acceptability Justification]]&gt;0,Table4[[#This Row],[Residual Security Risk Acceptability Justification]],"")</f>
        <v/>
      </c>
    </row>
    <row r="49" spans="1:13" s="26" customFormat="1" ht="70">
      <c r="A49" s="49">
        <f>Table4[[#This Row],[
ID '#]]</f>
        <v>45</v>
      </c>
      <c r="B49" s="129"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30"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
      </c>
      <c r="J49" s="18" t="str">
        <f>Table4[[#This Row],[Security 
Risk 
Level]]</f>
        <v>LOW</v>
      </c>
      <c r="K49" s="36"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6" t="str">
        <f>Table4[[#This Row],[Security Risk LevelP]]</f>
        <v/>
      </c>
      <c r="M49" s="36" t="str">
        <f>IF(Table4[[#This Row],[Residual Security Risk Acceptability Justification]]&gt;0,Table4[[#This Row],[Residual Security Risk Acceptability Justification]],"")</f>
        <v/>
      </c>
    </row>
    <row r="50" spans="1:13" s="26" customFormat="1" ht="70">
      <c r="A50" s="49">
        <f>Table4[[#This Row],[
ID '#]]</f>
        <v>46</v>
      </c>
      <c r="B50" s="129"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30"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
      </c>
      <c r="J50" s="18" t="str">
        <f>Table4[[#This Row],[Security 
Risk 
Level]]</f>
        <v>LOW</v>
      </c>
      <c r="K50"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6" t="str">
        <f>Table4[[#This Row],[Security Risk LevelP]]</f>
        <v/>
      </c>
      <c r="M50" s="36" t="str">
        <f>IF(Table4[[#This Row],[Residual Security Risk Acceptability Justification]]&gt;0,Table4[[#This Row],[Residual Security Risk Acceptability Justification]],"")</f>
        <v/>
      </c>
    </row>
    <row r="51" spans="1:13" s="26" customFormat="1" ht="70">
      <c r="A51" s="49">
        <f>Table4[[#This Row],[
ID '#]]</f>
        <v>47</v>
      </c>
      <c r="B51" s="129"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30"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
      </c>
      <c r="J51" s="18" t="str">
        <f>Table4[[#This Row],[Security 
Risk 
Level]]</f>
        <v>LOW</v>
      </c>
      <c r="K5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6" t="str">
        <f>Table4[[#This Row],[Security Risk LevelP]]</f>
        <v/>
      </c>
      <c r="M51" s="36" t="str">
        <f>IF(Table4[[#This Row],[Residual Security Risk Acceptability Justification]]&gt;0,Table4[[#This Row],[Residual Security Risk Acceptability Justification]],"")</f>
        <v/>
      </c>
    </row>
    <row r="52" spans="1:13" s="26" customFormat="1" ht="70">
      <c r="A52" s="49">
        <f>Table4[[#This Row],[
ID '#]]</f>
        <v>48</v>
      </c>
      <c r="B52" s="129"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30"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
      </c>
      <c r="J52" s="18" t="str">
        <f>Table4[[#This Row],[Security 
Risk 
Level]]</f>
        <v>LOW</v>
      </c>
      <c r="K52"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6" t="str">
        <f>Table4[[#This Row],[Security Risk LevelP]]</f>
        <v/>
      </c>
      <c r="M52" s="36" t="str">
        <f>IF(Table4[[#This Row],[Residual Security Risk Acceptability Justification]]&gt;0,Table4[[#This Row],[Residual Security Risk Acceptability Justification]],"")</f>
        <v/>
      </c>
    </row>
    <row r="53" spans="1:13" s="26" customFormat="1" ht="70">
      <c r="A53" s="49">
        <f>Table4[[#This Row],[
ID '#]]</f>
        <v>49</v>
      </c>
      <c r="B53" s="129"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30"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
      </c>
      <c r="J53" s="18" t="str">
        <f>Table4[[#This Row],[Security 
Risk 
Level]]</f>
        <v>LOW</v>
      </c>
      <c r="K53"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6" t="str">
        <f>Table4[[#This Row],[Security Risk LevelP]]</f>
        <v/>
      </c>
      <c r="M53" s="36" t="str">
        <f>IF(Table4[[#This Row],[Residual Security Risk Acceptability Justification]]&gt;0,Table4[[#This Row],[Residual Security Risk Acceptability Justification]],"")</f>
        <v/>
      </c>
    </row>
    <row r="54" spans="1:13" s="26" customFormat="1" ht="112">
      <c r="A54" s="49">
        <f>Table4[[#This Row],[
ID '#]]</f>
        <v>50</v>
      </c>
      <c r="B54" s="129"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30"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
      </c>
      <c r="J54" s="18" t="str">
        <f>Table4[[#This Row],[Security 
Risk 
Level]]</f>
        <v>LOW</v>
      </c>
      <c r="K5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6" t="str">
        <f>Table4[[#This Row],[Security Risk LevelP]]</f>
        <v/>
      </c>
      <c r="M54" s="36" t="str">
        <f>IF(Table4[[#This Row],[Residual Security Risk Acceptability Justification]]&gt;0,Table4[[#This Row],[Residual Security Risk Acceptability Justification]],"")</f>
        <v/>
      </c>
    </row>
    <row r="55" spans="1:13" s="26" customFormat="1" ht="112">
      <c r="A55" s="49">
        <f>Table4[[#This Row],[
ID '#]]</f>
        <v>51</v>
      </c>
      <c r="B55" s="129"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30"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6" t="str">
        <f>Table4[[#This Row],[Security Risk LevelP]]</f>
        <v/>
      </c>
      <c r="M55" s="36" t="str">
        <f>IF(Table4[[#This Row],[Residual Security Risk Acceptability Justification]]&gt;0,Table4[[#This Row],[Residual Security Risk Acceptability Justification]],"")</f>
        <v/>
      </c>
    </row>
    <row r="56" spans="1:13" s="26" customFormat="1" ht="112">
      <c r="A56" s="49">
        <f>Table4[[#This Row],[
ID '#]]</f>
        <v>52</v>
      </c>
      <c r="B56" s="129"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30"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6" t="str">
        <f>Table4[[#This Row],[Security Risk LevelP]]</f>
        <v/>
      </c>
      <c r="M56" s="36" t="str">
        <f>IF(Table4[[#This Row],[Residual Security Risk Acceptability Justification]]&gt;0,Table4[[#This Row],[Residual Security Risk Acceptability Justification]],"")</f>
        <v/>
      </c>
    </row>
    <row r="57" spans="1:13" s="26" customFormat="1" ht="112">
      <c r="A57" s="49">
        <f>Table4[[#This Row],[
ID '#]]</f>
        <v>53</v>
      </c>
      <c r="B57" s="129"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30"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6" t="str">
        <f>Table4[[#This Row],[Security Risk LevelP]]</f>
        <v/>
      </c>
      <c r="M57" s="36" t="str">
        <f>IF(Table4[[#This Row],[Residual Security Risk Acceptability Justification]]&gt;0,Table4[[#This Row],[Residual Security Risk Acceptability Justification]],"")</f>
        <v/>
      </c>
    </row>
    <row r="58" spans="1:13" s="26" customFormat="1" ht="112">
      <c r="A58" s="49">
        <f>Table4[[#This Row],[
ID '#]]</f>
        <v>54</v>
      </c>
      <c r="B58" s="129"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30"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6" t="str">
        <f>Table4[[#This Row],[Security Risk LevelP]]</f>
        <v/>
      </c>
      <c r="M58" s="36" t="str">
        <f>IF(Table4[[#This Row],[Residual Security Risk Acceptability Justification]]&gt;0,Table4[[#This Row],[Residual Security Risk Acceptability Justification]],"")</f>
        <v/>
      </c>
    </row>
    <row r="59" spans="1:13" s="26" customFormat="1" ht="112">
      <c r="A59" s="49">
        <f>Table4[[#This Row],[
ID '#]]</f>
        <v>55</v>
      </c>
      <c r="B59" s="129"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30"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6" t="str">
        <f>Table4[[#This Row],[Security Risk LevelP]]</f>
        <v/>
      </c>
      <c r="M59" s="36" t="str">
        <f>IF(Table4[[#This Row],[Residual Security Risk Acceptability Justification]]&gt;0,Table4[[#This Row],[Residual Security Risk Acceptability Justification]],"")</f>
        <v/>
      </c>
    </row>
    <row r="60" spans="1:13" s="26" customFormat="1" ht="112">
      <c r="A60" s="49">
        <f>Table4[[#This Row],[
ID '#]]</f>
        <v>56</v>
      </c>
      <c r="B60" s="129"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30"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6" t="str">
        <f>Table4[[#This Row],[Security Risk LevelP]]</f>
        <v/>
      </c>
      <c r="M60" s="36" t="str">
        <f>IF(Table4[[#This Row],[Residual Security Risk Acceptability Justification]]&gt;0,Table4[[#This Row],[Residual Security Risk Acceptability Justification]],"")</f>
        <v/>
      </c>
    </row>
    <row r="61" spans="1:13" s="26" customFormat="1" ht="112">
      <c r="A61" s="49">
        <f>Table4[[#This Row],[
ID '#]]</f>
        <v>57</v>
      </c>
      <c r="B61" s="129"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30"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6" t="str">
        <f>Table4[[#This Row],[Security Risk LevelP]]</f>
        <v/>
      </c>
      <c r="M61" s="36" t="str">
        <f>IF(Table4[[#This Row],[Residual Security Risk Acceptability Justification]]&gt;0,Table4[[#This Row],[Residual Security Risk Acceptability Justification]],"")</f>
        <v/>
      </c>
    </row>
    <row r="62" spans="1:13" s="26" customFormat="1" ht="112">
      <c r="A62" s="49">
        <f>Table4[[#This Row],[
ID '#]]</f>
        <v>58</v>
      </c>
      <c r="B62" s="129"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30"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6" t="str">
        <f>Table4[[#This Row],[Security Risk LevelP]]</f>
        <v/>
      </c>
      <c r="M62" s="36" t="str">
        <f>IF(Table4[[#This Row],[Residual Security Risk Acceptability Justification]]&gt;0,Table4[[#This Row],[Residual Security Risk Acceptability Justification]],"")</f>
        <v/>
      </c>
    </row>
    <row r="63" spans="1:13" s="26" customFormat="1" ht="56">
      <c r="A63" s="49">
        <f>Table4[[#This Row],[
ID '#]]</f>
        <v>59</v>
      </c>
      <c r="B63" s="129"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30"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
      </c>
      <c r="J63" s="18" t="str">
        <f>Table4[[#This Row],[Security 
Risk 
Level]]</f>
        <v>LOW</v>
      </c>
      <c r="K63"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6" t="str">
        <f>Table4[[#This Row],[Security Risk LevelP]]</f>
        <v/>
      </c>
      <c r="M63" s="36" t="str">
        <f>IF(Table4[[#This Row],[Residual Security Risk Acceptability Justification]]&gt;0,Table4[[#This Row],[Residual Security Risk Acceptability Justification]],"")</f>
        <v/>
      </c>
    </row>
    <row r="64" spans="1:13" s="26" customFormat="1" ht="56">
      <c r="A64" s="49">
        <f>Table4[[#This Row],[
ID '#]]</f>
        <v>60</v>
      </c>
      <c r="B64" s="129"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30"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
      </c>
      <c r="J64" s="18" t="str">
        <f>Table4[[#This Row],[Security 
Risk 
Level]]</f>
        <v>MEDIUM</v>
      </c>
      <c r="K64"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6" t="str">
        <f>Table4[[#This Row],[Security Risk LevelP]]</f>
        <v/>
      </c>
      <c r="M64" s="36" t="str">
        <f>IF(Table4[[#This Row],[Residual Security Risk Acceptability Justification]]&gt;0,Table4[[#This Row],[Residual Security Risk Acceptability Justification]],"")</f>
        <v/>
      </c>
    </row>
    <row r="65" spans="1:13" s="26" customFormat="1" ht="56">
      <c r="A65" s="49">
        <f>Table4[[#This Row],[
ID '#]]</f>
        <v>61</v>
      </c>
      <c r="B65" s="129"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30"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
      </c>
      <c r="J65" s="18" t="str">
        <f>Table4[[#This Row],[Security 
Risk 
Level]]</f>
        <v>MEDIUM</v>
      </c>
      <c r="K65" s="36"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6" t="str">
        <f>Table4[[#This Row],[Security Risk LevelP]]</f>
        <v/>
      </c>
      <c r="M65" s="36" t="str">
        <f>IF(Table4[[#This Row],[Residual Security Risk Acceptability Justification]]&gt;0,Table4[[#This Row],[Residual Security Risk Acceptability Justification]],"")</f>
        <v/>
      </c>
    </row>
    <row r="66" spans="1:13" s="26" customFormat="1" ht="42">
      <c r="A66" s="49">
        <f>Table4[[#This Row],[
ID '#]]</f>
        <v>62</v>
      </c>
      <c r="B66" s="129"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30"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
      </c>
      <c r="J66" s="18" t="str">
        <f>Table4[[#This Row],[Security 
Risk 
Level]]</f>
        <v>LOW</v>
      </c>
      <c r="K66"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6" t="str">
        <f>Table4[[#This Row],[Security Risk LevelP]]</f>
        <v/>
      </c>
      <c r="M66" s="36" t="str">
        <f>IF(Table4[[#This Row],[Residual Security Risk Acceptability Justification]]&gt;0,Table4[[#This Row],[Residual Security Risk Acceptability Justification]],"")</f>
        <v/>
      </c>
    </row>
    <row r="67" spans="1:13" s="26" customFormat="1" ht="42">
      <c r="A67" s="49">
        <f>Table4[[#This Row],[
ID '#]]</f>
        <v>63</v>
      </c>
      <c r="B67" s="129"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30"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
      </c>
      <c r="J67" s="18" t="str">
        <f>Table4[[#This Row],[Security 
Risk 
Level]]</f>
        <v>LOW</v>
      </c>
      <c r="K67" s="36"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6" t="str">
        <f>Table4[[#This Row],[Security Risk LevelP]]</f>
        <v/>
      </c>
      <c r="M67" s="36" t="str">
        <f>IF(Table4[[#This Row],[Residual Security Risk Acceptability Justification]]&gt;0,Table4[[#This Row],[Residual Security Risk Acceptability Justification]],"")</f>
        <v/>
      </c>
    </row>
    <row r="68" spans="1:13" s="26" customFormat="1" ht="56">
      <c r="A68" s="49">
        <f>Table4[[#This Row],[
ID '#]]</f>
        <v>64</v>
      </c>
      <c r="B68" s="129"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30"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
      </c>
      <c r="J68" s="18" t="str">
        <f>Table4[[#This Row],[Security 
Risk 
Level]]</f>
        <v>LOW</v>
      </c>
      <c r="K68" s="36"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6" t="str">
        <f>Table4[[#This Row],[Security Risk LevelP]]</f>
        <v/>
      </c>
      <c r="M68" s="36" t="str">
        <f>IF(Table4[[#This Row],[Residual Security Risk Acceptability Justification]]&gt;0,Table4[[#This Row],[Residual Security Risk Acceptability Justification]],"")</f>
        <v/>
      </c>
    </row>
    <row r="69" spans="1:13" s="26" customFormat="1" ht="56">
      <c r="A69" s="49">
        <f>Table4[[#This Row],[
ID '#]]</f>
        <v>65</v>
      </c>
      <c r="B69" s="129"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30"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
      </c>
      <c r="J69" s="18" t="str">
        <f>Table4[[#This Row],[Security 
Risk 
Level]]</f>
        <v>LOW</v>
      </c>
      <c r="K69" s="36"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6" t="str">
        <f>Table4[[#This Row],[Security Risk LevelP]]</f>
        <v/>
      </c>
      <c r="M69" s="36" t="str">
        <f>IF(Table4[[#This Row],[Residual Security Risk Acceptability Justification]]&gt;0,Table4[[#This Row],[Residual Security Risk Acceptability Justification]],"")</f>
        <v/>
      </c>
    </row>
    <row r="70" spans="1:13" s="26" customFormat="1" ht="42">
      <c r="A70" s="49">
        <f>Table4[[#This Row],[
ID '#]]</f>
        <v>66</v>
      </c>
      <c r="B70" s="129"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30"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
      </c>
      <c r="J70" s="18" t="str">
        <f>Table4[[#This Row],[Security 
Risk 
Level]]</f>
        <v>LOW</v>
      </c>
      <c r="K70"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6" t="str">
        <f>Table4[[#This Row],[Security Risk LevelP]]</f>
        <v/>
      </c>
      <c r="M70" s="36" t="str">
        <f>IF(Table4[[#This Row],[Residual Security Risk Acceptability Justification]]&gt;0,Table4[[#This Row],[Residual Security Risk Acceptability Justification]],"")</f>
        <v/>
      </c>
    </row>
    <row r="71" spans="1:13" s="26" customFormat="1" ht="42">
      <c r="A71" s="49">
        <f>Table4[[#This Row],[
ID '#]]</f>
        <v>67</v>
      </c>
      <c r="B71" s="129"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30"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
      </c>
      <c r="J71" s="18" t="str">
        <f>Table4[[#This Row],[Security 
Risk 
Level]]</f>
        <v>LOW</v>
      </c>
      <c r="K71"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6" t="str">
        <f>Table4[[#This Row],[Security Risk LevelP]]</f>
        <v/>
      </c>
      <c r="M71" s="36" t="str">
        <f>IF(Table4[[#This Row],[Residual Security Risk Acceptability Justification]]&gt;0,Table4[[#This Row],[Residual Security Risk Acceptability Justification]],"")</f>
        <v/>
      </c>
    </row>
    <row r="72" spans="1:13" s="26" customFormat="1" ht="70">
      <c r="A72" s="49">
        <f>Table4[[#This Row],[
ID '#]]</f>
        <v>68</v>
      </c>
      <c r="B72" s="129"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30"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
      </c>
      <c r="J72" s="18" t="str">
        <f>Table4[[#This Row],[Security 
Risk 
Level]]</f>
        <v>LOW</v>
      </c>
      <c r="K7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6" t="str">
        <f>Table4[[#This Row],[Security Risk LevelP]]</f>
        <v/>
      </c>
      <c r="M72" s="36" t="str">
        <f>IF(Table4[[#This Row],[Residual Security Risk Acceptability Justification]]&gt;0,Table4[[#This Row],[Residual Security Risk Acceptability Justification]],"")</f>
        <v/>
      </c>
    </row>
    <row r="73" spans="1:13" s="26" customFormat="1" ht="42">
      <c r="A73" s="49">
        <f>Table4[[#This Row],[
ID '#]]</f>
        <v>69</v>
      </c>
      <c r="B73" s="129"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30"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
      </c>
      <c r="J73" s="18" t="str">
        <f>Table4[[#This Row],[Security 
Risk 
Level]]</f>
        <v>LOW</v>
      </c>
      <c r="K73" s="36"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6" t="str">
        <f>Table4[[#This Row],[Security Risk LevelP]]</f>
        <v/>
      </c>
      <c r="M73" s="36" t="str">
        <f>IF(Table4[[#This Row],[Residual Security Risk Acceptability Justification]]&gt;0,Table4[[#This Row],[Residual Security Risk Acceptability Justification]],"")</f>
        <v/>
      </c>
    </row>
    <row r="74" spans="1:13" s="26" customFormat="1" ht="42">
      <c r="A74" s="49">
        <f>Table4[[#This Row],[
ID '#]]</f>
        <v>70</v>
      </c>
      <c r="B74" s="129"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30"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
      </c>
      <c r="J74" s="18" t="str">
        <f>Table4[[#This Row],[Security 
Risk 
Level]]</f>
        <v>LOW</v>
      </c>
      <c r="K74" s="36"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6" t="str">
        <f>Table4[[#This Row],[Security Risk LevelP]]</f>
        <v/>
      </c>
      <c r="M74" s="36" t="str">
        <f>IF(Table4[[#This Row],[Residual Security Risk Acceptability Justification]]&gt;0,Table4[[#This Row],[Residual Security Risk Acceptability Justification]],"")</f>
        <v/>
      </c>
    </row>
    <row r="75" spans="1:13" s="26" customFormat="1" ht="70">
      <c r="A75" s="49">
        <f>Table4[[#This Row],[
ID '#]]</f>
        <v>71</v>
      </c>
      <c r="B75" s="129"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30"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
      </c>
      <c r="J75" s="18" t="str">
        <f>Table4[[#This Row],[Security 
Risk 
Level]]</f>
        <v>LOW</v>
      </c>
      <c r="K7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6" t="str">
        <f>Table4[[#This Row],[Security Risk LevelP]]</f>
        <v/>
      </c>
      <c r="M75" s="36" t="str">
        <f>IF(Table4[[#This Row],[Residual Security Risk Acceptability Justification]]&gt;0,Table4[[#This Row],[Residual Security Risk Acceptability Justification]],"")</f>
        <v/>
      </c>
    </row>
    <row r="76" spans="1:13" s="26" customFormat="1" ht="70">
      <c r="A76" s="49">
        <f>Table4[[#This Row],[
ID '#]]</f>
        <v>72</v>
      </c>
      <c r="B76" s="129"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30"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
      </c>
      <c r="J76" s="18" t="str">
        <f>Table4[[#This Row],[Security 
Risk 
Level]]</f>
        <v>LOW</v>
      </c>
      <c r="K7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6" t="str">
        <f>Table4[[#This Row],[Security Risk LevelP]]</f>
        <v/>
      </c>
      <c r="M76" s="36" t="str">
        <f>IF(Table4[[#This Row],[Residual Security Risk Acceptability Justification]]&gt;0,Table4[[#This Row],[Residual Security Risk Acceptability Justification]],"")</f>
        <v/>
      </c>
    </row>
    <row r="77" spans="1:13" s="26" customFormat="1" ht="14">
      <c r="A77" s="49"/>
      <c r="B77" s="36"/>
      <c r="C77" s="88"/>
      <c r="D77" s="36"/>
      <c r="E77" s="88"/>
      <c r="F77" s="130"/>
      <c r="G77" s="88"/>
      <c r="H77" s="19"/>
      <c r="I77" s="36"/>
      <c r="J77" s="18"/>
      <c r="K77" s="36"/>
      <c r="L77" s="96"/>
      <c r="M77" s="36"/>
    </row>
    <row r="78" spans="1:13" s="26" customFormat="1" ht="14">
      <c r="A78" s="49"/>
      <c r="B78" s="36"/>
      <c r="C78" s="88"/>
      <c r="D78" s="36"/>
      <c r="E78" s="88"/>
      <c r="F78" s="130"/>
      <c r="G78" s="88"/>
      <c r="H78" s="19"/>
      <c r="I78" s="36"/>
      <c r="J78" s="18"/>
      <c r="K78" s="36"/>
      <c r="L78" s="96"/>
      <c r="M78" s="36"/>
    </row>
    <row r="79" spans="1:13" s="26" customFormat="1" ht="14">
      <c r="A79" s="49"/>
      <c r="B79" s="36"/>
      <c r="C79" s="88"/>
      <c r="D79" s="36"/>
      <c r="E79" s="88"/>
      <c r="F79" s="130"/>
      <c r="G79" s="88"/>
      <c r="H79" s="19"/>
      <c r="I79" s="36"/>
      <c r="J79" s="18"/>
      <c r="K79" s="36"/>
      <c r="L79" s="96"/>
      <c r="M79" s="36"/>
    </row>
    <row r="80" spans="1:13" s="26" customFormat="1" ht="14">
      <c r="A80" s="49"/>
      <c r="B80" s="36"/>
      <c r="C80" s="88"/>
      <c r="D80" s="36"/>
      <c r="E80" s="88"/>
      <c r="F80" s="130"/>
      <c r="G80" s="88"/>
      <c r="H80" s="19"/>
      <c r="I80" s="36"/>
      <c r="J80" s="18"/>
      <c r="K80" s="36"/>
      <c r="L80" s="96"/>
      <c r="M80" s="36"/>
    </row>
    <row r="81" spans="1:13" s="26" customFormat="1" ht="14">
      <c r="A81" s="49"/>
      <c r="B81" s="36"/>
      <c r="C81" s="88"/>
      <c r="D81" s="36"/>
      <c r="E81" s="88"/>
      <c r="F81" s="130"/>
      <c r="G81" s="88"/>
      <c r="H81" s="19"/>
      <c r="I81" s="36"/>
      <c r="J81" s="18"/>
      <c r="K81" s="36"/>
      <c r="L81" s="96"/>
      <c r="M81" s="36"/>
    </row>
    <row r="82" spans="1:13" s="26" customFormat="1" ht="14">
      <c r="A82" s="49"/>
      <c r="B82" s="36"/>
      <c r="C82" s="88"/>
      <c r="D82" s="36"/>
      <c r="E82" s="88"/>
      <c r="F82" s="130"/>
      <c r="G82" s="88"/>
      <c r="H82" s="19"/>
      <c r="I82" s="36"/>
      <c r="J82" s="18"/>
      <c r="K82" s="36"/>
      <c r="L82" s="96"/>
      <c r="M82" s="36"/>
    </row>
    <row r="83" spans="1:13" s="26" customFormat="1" ht="14">
      <c r="A83" s="49"/>
      <c r="B83" s="36"/>
      <c r="C83" s="88"/>
      <c r="D83" s="36"/>
      <c r="E83" s="88"/>
      <c r="F83" s="130"/>
      <c r="G83" s="88"/>
      <c r="H83" s="19"/>
      <c r="I83" s="36"/>
      <c r="J83" s="18"/>
      <c r="K83" s="36"/>
      <c r="L83" s="96"/>
      <c r="M83" s="36"/>
    </row>
    <row r="84" spans="1:13" s="26" customFormat="1" ht="14">
      <c r="A84" s="49"/>
      <c r="B84" s="129"/>
      <c r="C84" s="19"/>
      <c r="D84" s="36"/>
      <c r="E84" s="19"/>
      <c r="F84" s="36"/>
      <c r="G84" s="19"/>
      <c r="H84" s="19"/>
      <c r="I84" s="36"/>
      <c r="J84" s="89"/>
      <c r="K84" s="36"/>
      <c r="L84" s="90"/>
      <c r="M84" s="36"/>
    </row>
    <row r="85" spans="1:13" s="26" customFormat="1">
      <c r="E85" s="58"/>
    </row>
    <row r="86" spans="1:13" s="26" customFormat="1">
      <c r="A86" s="24"/>
      <c r="B86" s="24"/>
      <c r="C86" s="44"/>
      <c r="D86" s="24"/>
      <c r="E86" s="25"/>
      <c r="F86" s="24"/>
      <c r="G86" s="24"/>
    </row>
    <row r="87" spans="1:13" s="26" customFormat="1" ht="14">
      <c r="A87" s="22" t="s">
        <v>90</v>
      </c>
      <c r="C87" s="45"/>
      <c r="E87" s="3"/>
    </row>
    <row r="88" spans="1:13" s="26" customFormat="1" ht="32.25" customHeight="1">
      <c r="B88" s="286" t="s">
        <v>91</v>
      </c>
      <c r="C88" s="286"/>
      <c r="D88" s="286"/>
      <c r="E88" s="286"/>
      <c r="F88" s="286"/>
      <c r="G88" s="286"/>
      <c r="H88" s="286"/>
    </row>
    <row r="89" spans="1:13" s="26" customFormat="1">
      <c r="A89" s="24"/>
      <c r="B89" s="24"/>
      <c r="C89" s="44"/>
      <c r="D89" s="24"/>
      <c r="E89" s="25"/>
      <c r="F89" s="24"/>
      <c r="G89" s="24"/>
    </row>
    <row r="90" spans="1:13" s="26" customFormat="1">
      <c r="A90" s="24"/>
      <c r="B90" s="24"/>
      <c r="C90" s="44"/>
      <c r="D90" s="24"/>
      <c r="E90" s="25"/>
      <c r="F90" s="24"/>
      <c r="G90" s="24"/>
    </row>
    <row r="91" spans="1:13" s="26" customFormat="1">
      <c r="A91" s="24"/>
      <c r="B91" s="24"/>
      <c r="C91" s="44"/>
      <c r="D91" s="24"/>
      <c r="E91" s="25"/>
      <c r="F91" s="24"/>
      <c r="G91" s="24"/>
    </row>
    <row r="92" spans="1:13" s="26" customFormat="1" ht="32.25" customHeight="1">
      <c r="A92" s="24"/>
      <c r="B92" s="24"/>
      <c r="C92" s="44"/>
      <c r="D92" s="24"/>
      <c r="E92" s="25"/>
      <c r="F92" s="24"/>
      <c r="G92" s="24"/>
      <c r="H92" s="23"/>
    </row>
  </sheetData>
  <mergeCells count="1">
    <mergeCell ref="B88:H88"/>
  </mergeCells>
  <conditionalFormatting sqref="L5:L84 J5:J84">
    <cfRule type="cellIs" dxfId="6" priority="2" operator="equal">
      <formula>"Critical"</formula>
    </cfRule>
    <cfRule type="cellIs" dxfId="5" priority="3" operator="equal">
      <formula>"HIGH"</formula>
    </cfRule>
    <cfRule type="cellIs" dxfId="4" priority="4" operator="equal">
      <formula>"Medium"</formula>
    </cfRule>
    <cfRule type="cellIs" dxfId="3" priority="5" operator="equal">
      <formula>"None"</formula>
    </cfRule>
    <cfRule type="cellIs" dxfId="2"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0" customFormat="1" ht="27.75" customHeight="1">
      <c r="B1" s="131" t="s">
        <v>355</v>
      </c>
    </row>
    <row r="2" spans="2:18" s="60" customFormat="1" ht="14"/>
    <row r="3" spans="2:18" s="60" customFormat="1" ht="17.5">
      <c r="B3" s="294" t="s">
        <v>356</v>
      </c>
      <c r="C3" s="294"/>
      <c r="D3" s="294"/>
      <c r="E3" s="294"/>
      <c r="F3" s="294"/>
      <c r="G3" s="294"/>
      <c r="H3" s="294"/>
      <c r="I3" s="294"/>
      <c r="J3" s="294"/>
      <c r="K3" s="294"/>
      <c r="L3" s="294"/>
      <c r="M3" s="294"/>
      <c r="N3" s="294"/>
      <c r="P3" s="294" t="s">
        <v>357</v>
      </c>
      <c r="Q3" s="294"/>
      <c r="R3" s="294"/>
    </row>
    <row r="4" spans="2:18" s="60" customFormat="1" ht="15">
      <c r="B4" s="297" t="s">
        <v>239</v>
      </c>
      <c r="C4" s="297"/>
      <c r="D4" s="297"/>
      <c r="E4" s="297" t="s">
        <v>240</v>
      </c>
      <c r="F4" s="297"/>
      <c r="G4" s="297"/>
      <c r="H4" s="297" t="s">
        <v>358</v>
      </c>
      <c r="I4" s="297"/>
      <c r="J4" s="297"/>
      <c r="K4" s="297"/>
      <c r="L4" s="298" t="s">
        <v>242</v>
      </c>
      <c r="M4" s="298"/>
      <c r="N4" s="298"/>
      <c r="P4" s="133"/>
      <c r="Q4" s="134" t="s">
        <v>359</v>
      </c>
      <c r="R4" s="135" t="s">
        <v>360</v>
      </c>
    </row>
    <row r="5" spans="2:18" s="60" customFormat="1" ht="15">
      <c r="B5" s="136" t="s">
        <v>361</v>
      </c>
      <c r="C5" s="136" t="s">
        <v>362</v>
      </c>
      <c r="D5" s="136" t="s">
        <v>363</v>
      </c>
      <c r="E5" s="136" t="s">
        <v>364</v>
      </c>
      <c r="F5" s="136" t="s">
        <v>362</v>
      </c>
      <c r="G5" s="136" t="s">
        <v>363</v>
      </c>
      <c r="H5" s="136" t="s">
        <v>361</v>
      </c>
      <c r="I5" s="293" t="s">
        <v>362</v>
      </c>
      <c r="J5" s="293"/>
      <c r="K5" s="136" t="s">
        <v>363</v>
      </c>
      <c r="L5" s="136" t="s">
        <v>361</v>
      </c>
      <c r="M5" s="136" t="s">
        <v>362</v>
      </c>
      <c r="N5" s="136" t="s">
        <v>363</v>
      </c>
      <c r="P5" s="137"/>
      <c r="Q5" s="138" t="s">
        <v>365</v>
      </c>
      <c r="R5" s="139">
        <v>0.04</v>
      </c>
    </row>
    <row r="6" spans="2:18" s="60" customFormat="1" ht="15">
      <c r="B6" s="140" t="s">
        <v>277</v>
      </c>
      <c r="C6" s="141">
        <v>0.85</v>
      </c>
      <c r="D6" s="59" t="s">
        <v>366</v>
      </c>
      <c r="E6" s="140" t="s">
        <v>271</v>
      </c>
      <c r="F6" s="141">
        <v>0.77</v>
      </c>
      <c r="G6" s="59" t="s">
        <v>367</v>
      </c>
      <c r="H6" s="140" t="s">
        <v>278</v>
      </c>
      <c r="I6" s="142">
        <v>0.85</v>
      </c>
      <c r="J6" s="143">
        <v>0.85</v>
      </c>
      <c r="K6" s="59" t="s">
        <v>366</v>
      </c>
      <c r="L6" s="140" t="s">
        <v>278</v>
      </c>
      <c r="M6" s="144">
        <v>0.85</v>
      </c>
      <c r="N6" s="145" t="s">
        <v>366</v>
      </c>
      <c r="P6" s="137"/>
      <c r="Q6" s="146" t="s">
        <v>271</v>
      </c>
      <c r="R6" s="147">
        <v>0.2</v>
      </c>
    </row>
    <row r="7" spans="2:18" s="60" customFormat="1" ht="15">
      <c r="B7" s="140" t="s">
        <v>334</v>
      </c>
      <c r="C7" s="148">
        <v>0.62</v>
      </c>
      <c r="D7" s="59" t="s">
        <v>368</v>
      </c>
      <c r="E7" s="140" t="s">
        <v>280</v>
      </c>
      <c r="F7" s="148">
        <v>0.44</v>
      </c>
      <c r="G7" s="59" t="s">
        <v>369</v>
      </c>
      <c r="H7" s="140" t="s">
        <v>271</v>
      </c>
      <c r="I7" s="149">
        <v>0.62</v>
      </c>
      <c r="J7" s="143">
        <v>0.68</v>
      </c>
      <c r="K7" s="59" t="s">
        <v>367</v>
      </c>
      <c r="L7" s="140" t="s">
        <v>273</v>
      </c>
      <c r="M7" s="150">
        <v>0.62</v>
      </c>
      <c r="N7" s="145" t="s">
        <v>370</v>
      </c>
      <c r="P7" s="137"/>
      <c r="Q7" s="151" t="s">
        <v>281</v>
      </c>
      <c r="R7" s="147">
        <v>0.5</v>
      </c>
    </row>
    <row r="8" spans="2:18" s="60" customFormat="1" ht="15">
      <c r="B8" s="140" t="s">
        <v>279</v>
      </c>
      <c r="C8" s="148">
        <v>0.55000000000000004</v>
      </c>
      <c r="D8" s="59" t="s">
        <v>367</v>
      </c>
      <c r="E8" s="140"/>
      <c r="F8" s="148"/>
      <c r="G8" s="59"/>
      <c r="H8" s="140" t="s">
        <v>280</v>
      </c>
      <c r="I8" s="149">
        <v>0.27</v>
      </c>
      <c r="J8" s="143">
        <v>0.5</v>
      </c>
      <c r="K8" s="59" t="s">
        <v>369</v>
      </c>
      <c r="L8" s="140"/>
      <c r="M8" s="143"/>
      <c r="N8" s="145"/>
      <c r="P8" s="137"/>
      <c r="Q8" s="152" t="s">
        <v>280</v>
      </c>
      <c r="R8" s="147">
        <v>0.8</v>
      </c>
    </row>
    <row r="9" spans="2:18" s="60" customFormat="1" ht="15">
      <c r="B9" s="140" t="s">
        <v>272</v>
      </c>
      <c r="C9" s="148">
        <v>0.2</v>
      </c>
      <c r="D9" s="145" t="s">
        <v>371</v>
      </c>
      <c r="E9" s="153"/>
      <c r="G9" s="154"/>
      <c r="H9" s="140"/>
      <c r="I9" s="149"/>
      <c r="J9" s="143"/>
      <c r="K9" s="145"/>
      <c r="L9" s="140"/>
      <c r="M9" s="143"/>
      <c r="N9" s="145"/>
      <c r="P9" s="137"/>
      <c r="Q9" s="155" t="s">
        <v>372</v>
      </c>
      <c r="R9" s="147">
        <v>1</v>
      </c>
    </row>
    <row r="10" spans="2:18" s="60" customFormat="1" ht="15">
      <c r="B10" s="156"/>
      <c r="C10" s="157"/>
      <c r="D10" s="158"/>
      <c r="E10" s="159"/>
      <c r="F10" s="160"/>
      <c r="G10" s="161"/>
      <c r="H10" s="156"/>
      <c r="I10" s="162"/>
      <c r="J10" s="163"/>
      <c r="K10" s="158"/>
      <c r="L10" s="156"/>
      <c r="M10" s="163"/>
      <c r="N10" s="158"/>
      <c r="P10" s="132"/>
      <c r="R10" s="147"/>
    </row>
    <row r="11" spans="2:18" s="60" customFormat="1" ht="14"/>
    <row r="12" spans="2:18" s="60" customFormat="1" ht="17.5">
      <c r="B12" s="294" t="s">
        <v>373</v>
      </c>
      <c r="C12" s="294"/>
      <c r="D12" s="294"/>
      <c r="E12" s="294"/>
      <c r="F12" s="294"/>
      <c r="G12" s="294"/>
      <c r="H12" s="294"/>
      <c r="I12" s="294"/>
      <c r="J12" s="294"/>
      <c r="K12" s="294"/>
      <c r="L12" s="294"/>
      <c r="M12" s="294"/>
      <c r="N12" s="294"/>
      <c r="P12" s="164" t="s">
        <v>374</v>
      </c>
      <c r="Q12" s="165" t="s">
        <v>100</v>
      </c>
    </row>
    <row r="13" spans="2:18" s="60" customFormat="1" ht="15">
      <c r="B13" s="295" t="s">
        <v>375</v>
      </c>
      <c r="C13" s="295"/>
      <c r="D13" s="295"/>
      <c r="E13" s="295"/>
      <c r="F13" s="295"/>
      <c r="G13" s="295"/>
      <c r="H13" s="295"/>
      <c r="I13" s="295"/>
      <c r="J13" s="295"/>
      <c r="K13" s="295"/>
      <c r="L13" s="295"/>
      <c r="M13" s="295"/>
      <c r="N13" s="295"/>
      <c r="P13" s="140"/>
      <c r="Q13" s="143" t="s">
        <v>376</v>
      </c>
    </row>
    <row r="14" spans="2:18" s="60" customFormat="1" ht="14">
      <c r="B14" s="136" t="s">
        <v>361</v>
      </c>
      <c r="C14" s="136" t="s">
        <v>362</v>
      </c>
      <c r="D14" s="136" t="s">
        <v>363</v>
      </c>
      <c r="E14" s="166"/>
      <c r="F14" s="166"/>
      <c r="G14" s="166"/>
      <c r="H14" s="166"/>
      <c r="I14" s="166"/>
      <c r="J14" s="166"/>
      <c r="K14" s="166"/>
      <c r="L14" s="166"/>
      <c r="M14" s="166"/>
      <c r="N14" s="165"/>
      <c r="P14" s="156"/>
      <c r="Q14" s="163"/>
    </row>
    <row r="15" spans="2:18" s="60" customFormat="1" ht="16">
      <c r="B15" s="167" t="s">
        <v>278</v>
      </c>
      <c r="C15" s="141">
        <v>0</v>
      </c>
      <c r="D15" s="168" t="s">
        <v>366</v>
      </c>
      <c r="E15" s="169" t="s">
        <v>377</v>
      </c>
      <c r="N15" s="143"/>
    </row>
    <row r="16" spans="2:18" s="60" customFormat="1" ht="14">
      <c r="B16" s="153" t="s">
        <v>271</v>
      </c>
      <c r="C16" s="148">
        <v>0.22</v>
      </c>
      <c r="D16" s="170" t="s">
        <v>367</v>
      </c>
      <c r="N16" s="143"/>
    </row>
    <row r="17" spans="2:17" s="60" customFormat="1" ht="14">
      <c r="B17" s="153" t="s">
        <v>280</v>
      </c>
      <c r="C17" s="148">
        <v>0.56000000000000005</v>
      </c>
      <c r="D17" s="170" t="s">
        <v>369</v>
      </c>
      <c r="N17" s="143"/>
    </row>
    <row r="18" spans="2:17" s="60" customFormat="1" ht="14">
      <c r="B18" s="159"/>
      <c r="C18" s="157"/>
      <c r="D18" s="171"/>
      <c r="E18" s="160"/>
      <c r="F18" s="160"/>
      <c r="G18" s="160"/>
      <c r="H18" s="160"/>
      <c r="I18" s="160"/>
      <c r="J18" s="160"/>
      <c r="K18" s="160"/>
      <c r="L18" s="160"/>
      <c r="M18" s="160"/>
      <c r="N18" s="163"/>
    </row>
    <row r="19" spans="2:17" s="60" customFormat="1" ht="14"/>
    <row r="20" spans="2:17" s="60" customFormat="1" ht="17.5">
      <c r="B20" s="294" t="s">
        <v>243</v>
      </c>
      <c r="C20" s="294"/>
      <c r="D20" s="294"/>
      <c r="E20" s="294"/>
      <c r="F20" s="294"/>
      <c r="G20" s="294"/>
      <c r="H20" s="294"/>
      <c r="I20" s="294"/>
      <c r="J20" s="294"/>
      <c r="K20" s="294"/>
      <c r="L20" s="294"/>
      <c r="M20" s="294"/>
      <c r="N20" s="294"/>
    </row>
    <row r="21" spans="2:17" s="60" customFormat="1" ht="42.75" customHeight="1">
      <c r="B21" s="172" t="s">
        <v>274</v>
      </c>
      <c r="C21" s="296" t="s">
        <v>378</v>
      </c>
      <c r="D21" s="296"/>
      <c r="E21" s="296"/>
      <c r="F21" s="296"/>
      <c r="G21" s="296"/>
      <c r="H21" s="296"/>
      <c r="I21" s="296"/>
      <c r="J21" s="296"/>
      <c r="K21" s="296"/>
      <c r="L21" s="296"/>
      <c r="M21" s="296"/>
      <c r="N21" s="173" t="s">
        <v>379</v>
      </c>
    </row>
    <row r="22" spans="2:17" s="60" customFormat="1" ht="44.15" customHeight="1">
      <c r="B22" s="174" t="s">
        <v>380</v>
      </c>
      <c r="C22" s="291" t="s">
        <v>381</v>
      </c>
      <c r="D22" s="291"/>
      <c r="E22" s="291"/>
      <c r="F22" s="291"/>
      <c r="G22" s="291"/>
      <c r="H22" s="291"/>
      <c r="I22" s="291"/>
      <c r="J22" s="291"/>
      <c r="K22" s="291"/>
      <c r="L22" s="291"/>
      <c r="M22" s="291"/>
      <c r="N22" s="175" t="s">
        <v>382</v>
      </c>
      <c r="O22" s="22"/>
      <c r="P22" s="22"/>
      <c r="Q22" s="22"/>
    </row>
    <row r="23" spans="2:17" s="60" customFormat="1" ht="15">
      <c r="B23" s="174"/>
      <c r="C23" s="291"/>
      <c r="D23" s="291"/>
      <c r="E23" s="291"/>
      <c r="F23" s="291"/>
      <c r="G23" s="291"/>
      <c r="H23" s="291"/>
      <c r="I23" s="291"/>
      <c r="J23" s="291"/>
      <c r="K23" s="291"/>
      <c r="L23" s="291"/>
      <c r="M23" s="291"/>
      <c r="N23" s="175"/>
    </row>
    <row r="24" spans="2:17" s="60" customFormat="1" ht="14"/>
    <row r="25" spans="2:17" s="60" customFormat="1" ht="14">
      <c r="B25" s="60" t="s">
        <v>383</v>
      </c>
    </row>
    <row r="26" spans="2:17" s="60" customFormat="1" ht="262.5" customHeight="1">
      <c r="B26" s="26" t="s">
        <v>384</v>
      </c>
      <c r="C26" s="292" t="s">
        <v>385</v>
      </c>
      <c r="D26" s="292"/>
      <c r="E26" s="292"/>
      <c r="F26" s="292"/>
      <c r="G26" s="292"/>
      <c r="H26" s="292"/>
      <c r="I26" s="292"/>
      <c r="J26" s="292"/>
    </row>
    <row r="29" spans="2:17">
      <c r="B29" s="22" t="s">
        <v>90</v>
      </c>
    </row>
    <row r="30" spans="2:17" ht="48" customHeight="1">
      <c r="C30" s="286" t="s">
        <v>91</v>
      </c>
      <c r="D30" s="286"/>
      <c r="E30" s="286"/>
      <c r="F30" s="286"/>
      <c r="G30" s="286"/>
      <c r="H30" s="286"/>
      <c r="I30" s="286"/>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s="26" customFormat="1" ht="14">
      <c r="A1" s="131" t="s">
        <v>386</v>
      </c>
      <c r="C1" s="45"/>
    </row>
    <row r="2" spans="1:8" s="26" customFormat="1" ht="14">
      <c r="C2" s="45"/>
    </row>
    <row r="3" spans="1:8" s="26" customFormat="1" ht="14.5" customHeight="1">
      <c r="A3" s="299" t="s">
        <v>387</v>
      </c>
      <c r="B3" s="299"/>
      <c r="C3" s="299"/>
      <c r="E3" s="300" t="s">
        <v>388</v>
      </c>
      <c r="F3" s="300"/>
      <c r="G3" s="300"/>
    </row>
    <row r="4" spans="1:8" s="26" customFormat="1" ht="14">
      <c r="A4" s="176" t="s">
        <v>389</v>
      </c>
      <c r="B4" s="177" t="s">
        <v>175</v>
      </c>
      <c r="C4" s="178" t="s">
        <v>390</v>
      </c>
      <c r="E4" s="179" t="s">
        <v>389</v>
      </c>
      <c r="F4" s="180" t="s">
        <v>391</v>
      </c>
      <c r="G4" s="181" t="s">
        <v>390</v>
      </c>
    </row>
    <row r="5" spans="1:8" s="26" customFormat="1" ht="42">
      <c r="A5" s="182" t="s">
        <v>392</v>
      </c>
      <c r="B5" s="6" t="s">
        <v>393</v>
      </c>
      <c r="C5" s="183" t="s">
        <v>394</v>
      </c>
      <c r="E5" s="182" t="s">
        <v>395</v>
      </c>
      <c r="F5" s="184" t="s">
        <v>396</v>
      </c>
      <c r="G5" s="185" t="s">
        <v>394</v>
      </c>
    </row>
    <row r="6" spans="1:8" s="26" customFormat="1" ht="28">
      <c r="A6" s="14" t="s">
        <v>397</v>
      </c>
      <c r="B6" s="6" t="s">
        <v>398</v>
      </c>
      <c r="C6" s="183" t="s">
        <v>394</v>
      </c>
      <c r="E6" s="14" t="s">
        <v>399</v>
      </c>
      <c r="F6" s="184" t="s">
        <v>400</v>
      </c>
      <c r="G6" s="186" t="s">
        <v>394</v>
      </c>
    </row>
    <row r="7" spans="1:8" s="26" customFormat="1" ht="28">
      <c r="A7" s="14" t="s">
        <v>401</v>
      </c>
      <c r="B7" s="6" t="s">
        <v>402</v>
      </c>
      <c r="C7" s="183" t="s">
        <v>394</v>
      </c>
      <c r="E7" s="14" t="s">
        <v>403</v>
      </c>
      <c r="F7" s="184" t="s">
        <v>404</v>
      </c>
      <c r="G7" s="186" t="s">
        <v>394</v>
      </c>
    </row>
    <row r="8" spans="1:8" s="26" customFormat="1" ht="28">
      <c r="A8" s="14" t="s">
        <v>405</v>
      </c>
      <c r="B8" s="6" t="s">
        <v>406</v>
      </c>
      <c r="C8" s="183" t="s">
        <v>366</v>
      </c>
      <c r="E8" s="14" t="s">
        <v>407</v>
      </c>
      <c r="F8" s="184" t="s">
        <v>408</v>
      </c>
      <c r="G8" s="186" t="s">
        <v>394</v>
      </c>
    </row>
    <row r="9" spans="1:8" s="26" customFormat="1" ht="28">
      <c r="A9" s="14" t="s">
        <v>409</v>
      </c>
      <c r="B9" s="6" t="s">
        <v>410</v>
      </c>
      <c r="C9" s="183" t="s">
        <v>366</v>
      </c>
      <c r="E9" s="14" t="s">
        <v>411</v>
      </c>
      <c r="F9" s="184" t="s">
        <v>412</v>
      </c>
      <c r="G9" s="186" t="s">
        <v>394</v>
      </c>
    </row>
    <row r="10" spans="1:8" s="26" customFormat="1" ht="42">
      <c r="A10" s="187" t="s">
        <v>413</v>
      </c>
      <c r="B10" s="188" t="s">
        <v>414</v>
      </c>
      <c r="C10" s="189" t="s">
        <v>366</v>
      </c>
      <c r="E10" s="187" t="s">
        <v>415</v>
      </c>
      <c r="F10" s="190" t="s">
        <v>416</v>
      </c>
      <c r="G10" s="191" t="s">
        <v>366</v>
      </c>
    </row>
    <row r="11" spans="1:8" s="26" customFormat="1" ht="14">
      <c r="C11" s="45"/>
    </row>
    <row r="12" spans="1:8" s="26" customFormat="1" ht="14">
      <c r="C12" s="45"/>
    </row>
    <row r="13" spans="1:8" s="26" customFormat="1" ht="14">
      <c r="C13" s="45"/>
    </row>
    <row r="14" spans="1:8" s="26" customFormat="1" ht="14">
      <c r="A14" s="22" t="s">
        <v>90</v>
      </c>
      <c r="C14" s="45"/>
    </row>
    <row r="15" spans="1:8" s="26" customFormat="1" ht="32.25" customHeight="1">
      <c r="B15" s="286" t="s">
        <v>91</v>
      </c>
      <c r="C15" s="286"/>
      <c r="D15" s="286"/>
      <c r="E15" s="286"/>
      <c r="F15" s="286"/>
      <c r="G15" s="286"/>
      <c r="H15" s="286"/>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301" t="s">
        <v>417</v>
      </c>
      <c r="B1" s="301"/>
      <c r="C1" s="301"/>
      <c r="D1" s="301"/>
      <c r="E1" s="301"/>
      <c r="F1" s="301"/>
      <c r="G1" s="301"/>
      <c r="H1" s="301"/>
    </row>
    <row r="2" spans="1:8" ht="58">
      <c r="A2" s="192" t="s">
        <v>172</v>
      </c>
      <c r="B2" s="192" t="s">
        <v>173</v>
      </c>
      <c r="C2" s="192" t="s">
        <v>174</v>
      </c>
      <c r="D2" s="193" t="s">
        <v>175</v>
      </c>
      <c r="E2" s="194" t="s">
        <v>418</v>
      </c>
      <c r="F2" s="192" t="s">
        <v>419</v>
      </c>
      <c r="G2" s="192" t="s">
        <v>420</v>
      </c>
      <c r="H2" s="192" t="s">
        <v>421</v>
      </c>
    </row>
    <row r="3" spans="1:8" s="201" customFormat="1" ht="48">
      <c r="A3" s="195" t="s">
        <v>422</v>
      </c>
      <c r="B3" s="196" t="s">
        <v>423</v>
      </c>
      <c r="C3" s="196" t="s">
        <v>424</v>
      </c>
      <c r="D3" s="197" t="s">
        <v>392</v>
      </c>
      <c r="E3" s="198" t="s">
        <v>425</v>
      </c>
      <c r="F3" s="199" t="s">
        <v>365</v>
      </c>
      <c r="G3" s="199" t="s">
        <v>365</v>
      </c>
      <c r="H3" s="200" t="s">
        <v>365</v>
      </c>
    </row>
    <row r="4" spans="1:8">
      <c r="A4" s="202"/>
      <c r="B4" s="202"/>
      <c r="C4" s="202"/>
      <c r="D4" s="202"/>
      <c r="E4" s="203"/>
      <c r="F4" s="202"/>
      <c r="G4" s="202"/>
      <c r="H4" s="202"/>
    </row>
    <row r="5" spans="1:8">
      <c r="A5" s="202"/>
      <c r="B5" s="202"/>
      <c r="C5" s="202"/>
      <c r="D5" s="202"/>
      <c r="E5" s="203"/>
      <c r="F5" s="202"/>
      <c r="G5" s="202"/>
      <c r="H5" s="202"/>
    </row>
    <row r="6" spans="1:8">
      <c r="A6" s="202"/>
      <c r="B6" s="202"/>
      <c r="C6" s="202"/>
      <c r="D6" s="202"/>
      <c r="E6" s="203"/>
      <c r="F6" s="202"/>
      <c r="G6" s="202"/>
      <c r="H6" s="202"/>
    </row>
    <row r="7" spans="1:8">
      <c r="A7" s="202"/>
      <c r="B7" s="202"/>
      <c r="C7" s="202"/>
      <c r="D7" s="202"/>
      <c r="E7" s="203"/>
      <c r="F7" s="202"/>
      <c r="G7" s="202"/>
      <c r="H7" s="202"/>
    </row>
    <row r="8" spans="1:8">
      <c r="A8" s="202"/>
      <c r="B8" s="202"/>
      <c r="C8" s="202"/>
      <c r="D8" s="202"/>
      <c r="E8" s="203"/>
      <c r="F8" s="202"/>
      <c r="G8" s="202"/>
      <c r="H8" s="202"/>
    </row>
    <row r="9" spans="1:8">
      <c r="A9" s="202"/>
      <c r="B9" s="202"/>
      <c r="C9" s="202"/>
      <c r="D9" s="202"/>
      <c r="E9" s="203"/>
      <c r="F9" s="202"/>
      <c r="G9" s="202"/>
      <c r="H9" s="202"/>
    </row>
    <row r="10" spans="1:8">
      <c r="A10" s="202"/>
      <c r="B10" s="202"/>
      <c r="C10" s="202"/>
      <c r="D10" s="202"/>
      <c r="E10" s="203"/>
      <c r="F10" s="202"/>
      <c r="G10" s="202"/>
      <c r="H10" s="202"/>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dcterms:created xsi:type="dcterms:W3CDTF">2017-03-06T20:58:36Z</dcterms:created>
  <dcterms:modified xsi:type="dcterms:W3CDTF">2022-04-11T08:08:33Z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