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psrt\"/>
    </mc:Choice>
  </mc:AlternateContent>
  <xr:revisionPtr revIDLastSave="0" documentId="13_ncr:1_{AA666EC2-CD52-47B2-A9F9-E893664B9BFC}" xr6:coauthVersionLast="47" xr6:coauthVersionMax="47" xr10:uidLastSave="{00000000-0000-0000-0000-000000000000}"/>
  <bookViews>
    <workbookView xWindow="-110" yWindow="-110" windowWidth="19420" windowHeight="1042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Priv" localSheetId="6">'Reference - CVSSv3.0'!$H$6:$H$8</definedName>
    <definedName name="Scope" localSheetId="6">'Reference - CVSSv3.0'!$B$21:$B$22</definedName>
    <definedName name="Ux" localSheetId="6">'Reference - CVSSv3.0'!$L$6:$L$7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G37" i="5" s="1"/>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 r="Y37" i="4" l="1"/>
  <c r="J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tc={E13E1C97-2F0B-4D7F-951B-8400C6A66D38}</author>
    <author>tc={9E65C971-A44D-4A34-9E4C-E048A26D76A9}</author>
    <author>tc={0889C404-9F91-481E-BF4B-2665FB414591}</author>
    <author>tc={210EBF0F-37E8-4D13-B6FC-7D0EF151C624}</author>
    <author>tc={58FCA359-1395-4A01-A83F-6B86039B95A3}</author>
    <author>tc={CAACB884-FF6B-4492-8E64-D88AD7C59991}</author>
    <author>tc={28D33F3E-B3E7-429A-8F5B-96507EF5491E}</author>
    <author>tc={4522E9D4-70EF-47F3-A3BE-552F6EB0F268}</author>
    <author>tc={2FB6C9BD-D9FD-4309-9308-3089747C365B}</author>
    <author>tc={6E33D450-15BE-4ECC-921F-EAAC178D5691}</author>
    <author>tc={3663AD37-134D-4CA6-B795-7E736C0503ED}</author>
    <author>tc={1B9F7161-75F7-4342-B220-4EAE2E3ACF11}</author>
    <author>tc={3C7F772F-B428-47A5-A62A-FA0B6FE45112}</author>
    <author>tc={17CC27D6-F762-47E4-9FD0-C42A1E8E2FF7}</author>
    <author>tc={4F76CB36-89B2-4545-A5A4-750097658118}</author>
    <author>tc={9E8E38F7-0DE4-4F44-A15B-459A752AC6BF}</author>
    <author>tc={4BC3649D-13BF-4AAB-BB63-0B75A663F6A4}</author>
    <author>tc={15010620-51A5-47B8-88B4-A456EB55714A}</author>
    <author>tc={2E5D1BC3-4E01-4C61-9412-5E8DEE0BA66D}</author>
    <author>tc={54511DB0-8EE7-441C-A16B-65F1C1FFE939}</author>
    <author>tc={D3A8B52F-2CD8-40BC-B5B8-9668D6F765F8}</author>
    <author>tc={69F4E1F0-2ADE-4670-81FB-3FD30D84CC46}</author>
    <author>tc={5B6EFAD6-B857-478A-B275-530ADD599846}</author>
    <author>tc={18E42DB6-F2EE-4206-878C-378C85C0E970}</author>
    <author>tc={CEDEF377-E749-4584-A131-0F2E90441A29}</author>
    <author>tc={6E54BB0B-6C67-4173-91E1-B930953F2385}</author>
    <author>tc={CB7E8A3D-6323-4BF4-A0A2-640FAAB8579B}</author>
    <author>tc={0E516D4E-4CC3-4A9E-846F-88E146EF40B8}</author>
    <author>tc={7D8318F1-EEB7-4416-B3F7-BFB20EBA7C4A}</author>
    <author>tc={1D67679C-F823-4F54-969B-23D9F3C157AF}</author>
    <author>tc={45280CB4-102B-417F-941F-384DC2FCE3FD}</author>
    <author>tc={4BC2B799-CC6D-4349-AFF5-7EEF60BCB7A4}</author>
    <author>tc={8053B6C5-703E-4321-93AA-BD586BD5AA7B}</author>
    <author>tc={3BCC256E-DEA6-4766-A629-0B0F11D789E5}</author>
    <author>tc={28C21D5B-641B-40C3-A0BC-E7E03A7FACDD}</author>
    <author>tc={8AD6F979-6D41-4F07-9F4A-CEF362640D71}</author>
    <author>tc={79C1BF52-FF2F-482A-B9D5-9D49E4786C08}</author>
    <author>tc={276CC8B4-C81C-4E9F-BEC2-F70C1756C41E}</author>
    <author>tc={5DE7EB5D-DD23-44B4-9FC5-377046E9AB60}</author>
    <author>tc={1219CA64-6151-419F-8891-4355247DEF96}</author>
    <author>tc={A53F0B01-B0EC-4DAA-895A-86AB156AD632}</author>
    <author>tc={38ECBC61-84B8-492E-B966-AE0E060E0575}</author>
    <author>tc={173E440D-1816-47A4-B5A1-6E43101C685D}</author>
    <author>tc={CB4CE9F0-F047-41B1-921A-26E2AC2F5B68}</author>
    <author>tc={A350D764-B917-452B-B52B-AEFBD84162A3}</author>
    <author>tc={460A8D6C-9F61-4E04-BF06-7EA138F3DA6B}</author>
    <author>tc={91605B5E-7258-4852-9569-F8F9C9BD38BC}</author>
    <author>tc={E4A79DA0-99B0-4704-8EDC-5D7E79E8686A}</author>
    <author>tc={D4434FD1-7D32-41D9-8611-378229518274}</author>
    <author>tc={D85881CD-D31A-4F72-82FF-657B0B8C4F48}</author>
    <author>tc={0F9389CA-B82E-43F5-B76E-DFC96A680075}</author>
    <author>tc={02386B3D-8BE1-476A-9E33-47F1D260F50D}</author>
    <author>tc={CC4E2C93-5654-41FA-85AD-ED8C99283118}</author>
    <author>tc={77188557-FF21-444F-90A6-52252B4E0FFE}</author>
    <author>tc={E72BF756-D605-471D-8D2E-77139EC6C67B}</author>
    <author>tc={994E1B53-C34D-4F24-8871-9570D68A2BA1}</author>
    <author>tc={16571F86-7AC3-40C9-AC5A-63B40C45FB1E}</author>
    <author>tc={43DBA38D-D350-4605-A364-B2FDF6ABBB70}</author>
    <author>tc={85371A4A-968F-46D8-9801-8897F8AD37D2}</author>
    <author>tc={DBDFC3AC-400D-4827-BF88-66471F649EA9}</author>
    <author>tc={EF9096A5-3102-4A26-942D-4A4DF819C5B2}</author>
    <author>tc={48603974-4029-4C8C-9896-F4B7376640F8}</author>
    <author>tc={81D057DC-CC7E-45F9-9253-E5D90FF6FFD4}</author>
    <author>tc={AB1EFCBE-8294-4B41-9052-B167EF02950E}</author>
    <author>tc={1817CDE1-D5A6-4E1D-903B-7697004133D8}</author>
    <author>tc={6025450B-6FE9-4657-9B82-1618CF042D03}</author>
    <author>tc={4FA34A47-F54D-4B7E-8A05-E191D6DA2CEA}</author>
    <author>tc={DB4FD457-6E32-446A-AC2B-650483EBEE6A}</author>
    <author>tc={DBCF9656-A79C-4403-B83D-8868209E4CAA}</author>
    <author>tc={6D5B6900-D3CF-4ED5-9A81-EEAA774BF938}</author>
    <author>tc={1D7CC351-1DCF-465A-A444-CDA5FB427205}</author>
    <author>tc={30798C7C-A5D1-47E5-AF43-39638407D7C1}</author>
    <author>tc={EDCBB678-0172-4F0F-BB9A-09F2F41811E9}</author>
    <author>tc={72868864-C48F-4CF7-B79D-5E28CA5F2A8C}</author>
    <author>tc={A9A1EBCB-4BCB-4906-928C-6D8502D93D9F}</author>
    <author>tc={DB92E810-2EFA-4C96-B62F-49DE1BF2F26F}</author>
    <author>tc={0CB2C599-46A8-4602-B134-A24E2CB125FB}</author>
    <author>tc={10AF2BB1-DC69-4F36-B2F7-31512CCF3728}</author>
    <author>tc={CA02399B-FE0E-40C9-9F93-DC6308B83608}</author>
    <author>tc={57BFBCEB-FC24-4D01-9B48-6146D6E15D28}</author>
    <author>tc={99443521-214E-46E4-9973-FAB5DC03EE04}</author>
    <author>tc={C4BF6A3F-CEEE-4CFF-AE16-0B8405D871DD}</author>
    <author>tc={6061A721-45D7-40FB-807C-C8C813954826}</author>
    <author>tc={4C316865-995C-475D-AD1C-CE13E2F7E2D8}</author>
  </authors>
  <commentList>
    <comment ref="I4" authorId="0" shapeId="0" xr:uid="{E13E1C97-2F0B-4D7F-951B-8400C6A66D38}">
      <text>
        <t>[Threaded comment]
Your version of Excel allows you to read this threaded comment; however, any edits to it will get removed if the file is opened in a newer version of Excel. Learn more: https://go.microsoft.com/fwlink/?linkid=870924
Comment:
    Added risk ID D-L1 for data tampering cause in Risk Table. Check for other else mention NA</t>
      </text>
    </comment>
    <comment ref="AA5" authorId="1" shapeId="0" xr:uid="{9E65C971-A44D-4A34-9E4C-E048A26D76A9}">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 authorId="2" shapeId="0" xr:uid="{0889C404-9F91-481E-BF4B-2665FB414591}">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7" authorId="3" shapeId="0" xr:uid="{210EBF0F-37E8-4D13-B6FC-7D0EF151C624}">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8" authorId="4" shapeId="0" xr:uid="{58FCA359-1395-4A01-A83F-6B86039B95A3}">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9" authorId="5" shapeId="0" xr:uid="{CAACB884-FF6B-4492-8E64-D88AD7C59991}">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10" authorId="6" shapeId="0" xr:uid="{28D33F3E-B3E7-429A-8F5B-96507EF5491E}">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11" authorId="7" shapeId="0" xr:uid="{4522E9D4-70EF-47F3-A3BE-552F6EB0F268}">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12" authorId="8" shapeId="0" xr:uid="{2FB6C9BD-D9FD-4309-9308-3089747C365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13" authorId="9" shapeId="0" xr:uid="{6E33D450-15BE-4ECC-921F-EAAC178D5691}">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14" authorId="10" shapeId="0" xr:uid="{3663AD37-134D-4CA6-B795-7E736C0503E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15" authorId="11" shapeId="0" xr:uid="{1B9F7161-75F7-4342-B220-4EAE2E3ACF11}">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16" authorId="12" shapeId="0" xr:uid="{3C7F772F-B428-47A5-A62A-FA0B6FE45112}">
      <text>
        <t>[Threaded comment]
Your version of Excel allows you to read this threaded comment; however, any edits to it will get removed if the file is opened in a newer version of Excel. Learn more: https://go.microsoft.com/fwlink/?linkid=870924
Comment:
    3. SRS item: System logs for SM device</t>
      </text>
    </comment>
    <comment ref="AA17" authorId="13" shapeId="0" xr:uid="{17CC27D6-F762-47E4-9FD0-C42A1E8E2FF7}">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18" authorId="14" shapeId="0" xr:uid="{4F76CB36-89B2-4545-A5A4-750097658118}">
      <text>
        <t>[Threaded comment]
Your version of Excel allows you to read this threaded comment; however, any edits to it will get removed if the file is opened in a newer version of Excel. Learn more: https://go.microsoft.com/fwlink/?linkid=870924
Comment:
    Is there any seperate SRS doc for Stryker device. If yes, pls map to that</t>
      </text>
    </comment>
    <comment ref="AA19" authorId="15" shapeId="0" xr:uid="{9E8E38F7-0DE4-4F44-A15B-459A752AC6BF}">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0" authorId="16" shapeId="0" xr:uid="{4BC3649D-13BF-4AAB-BB63-0B75A663F6A4}">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1" authorId="17" shapeId="0" xr:uid="{15010620-51A5-47B8-88B4-A456EB55714A}">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2" authorId="18" shapeId="0" xr:uid="{2E5D1BC3-4E01-4C61-9412-5E8DEE0BA66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3" authorId="19" shapeId="0" xr:uid="{54511DB0-8EE7-441C-A16B-65F1C1FFE939}">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4" authorId="20" shapeId="0" xr:uid="{D3A8B52F-2CD8-40BC-B5B8-9668D6F765F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5" authorId="21" shapeId="0" xr:uid="{69F4E1F0-2ADE-4670-81FB-3FD30D84CC46}">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6" authorId="22" shapeId="0" xr:uid="{5B6EFAD6-B857-478A-B275-530ADD599846}">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7" authorId="23" shapeId="0" xr:uid="{18E42DB6-F2EE-4206-878C-378C85C0E970}">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9" authorId="24" shapeId="0" xr:uid="{CEDEF377-E749-4584-A131-0F2E90441A29}">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0" authorId="25" shapeId="0" xr:uid="{6E54BB0B-6C67-4173-91E1-B930953F2385}">
      <text>
        <t>[Threaded comment]
Your version of Excel allows you to read this threaded comment; however, any edits to it will get removed if the file is opened in a newer version of Excel. Learn more: https://go.microsoft.com/fwlink/?linkid=870924
Comment:
    Asset based mapping need to be done</t>
      </text>
    </comment>
    <comment ref="AA32" authorId="26" shapeId="0" xr:uid="{CB7E8A3D-6323-4BF4-A0A2-640FAAB8579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3" authorId="27" shapeId="0" xr:uid="{0E516D4E-4CC3-4A9E-846F-88E146EF40B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4" authorId="28" shapeId="0" xr:uid="{7D8318F1-EEB7-4416-B3F7-BFB20EBA7C4A}">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35" authorId="29" shapeId="0" xr:uid="{1D67679C-F823-4F54-969B-23D9F3C157AF}">
      <text>
        <t>[Threaded comment]
Your version of Excel allows you to read this threaded comment; however, any edits to it will get removed if the file is opened in a newer version of Excel. Learn more: https://go.microsoft.com/fwlink/?linkid=870924
Comment:
    Asset based mapping need to be done
1. Device is of a Stryker property and that has to be identified in provisioning process</t>
      </text>
    </comment>
    <comment ref="AA36" authorId="30" shapeId="0" xr:uid="{45280CB4-102B-417F-941F-384DC2FCE3F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8" authorId="31" shapeId="0" xr:uid="{4BC2B799-CC6D-4349-AFF5-7EEF60BCB7A4}">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9" authorId="32" shapeId="0" xr:uid="{8053B6C5-703E-4321-93AA-BD586BD5AA7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0" authorId="33" shapeId="0" xr:uid="{3BCC256E-DEA6-4766-A629-0B0F11D789E5}">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1" authorId="34" shapeId="0" xr:uid="{28C21D5B-641B-40C3-A0BC-E7E03A7FACDD}">
      <text>
        <t>[Threaded comment]
Your version of Excel allows you to read this threaded comment; however, any edits to it will get removed if the file is opened in a newer version of Excel. Learn more: https://go.microsoft.com/fwlink/?linkid=870924
Comment:
    for 1. Asset based mapping need to be done
3. mismatched
for Admin web app: Admin manual
5. Asset based mapping need to be done</t>
      </text>
    </comment>
    <comment ref="AA42" authorId="35" shapeId="0" xr:uid="{8AD6F979-6D41-4F07-9F4A-CEF362640D71}">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3" authorId="36" shapeId="0" xr:uid="{79C1BF52-FF2F-482A-B9D5-9D49E4786C08}">
      <text>
        <t>[Threaded comment]
Your version of Excel allows you to read this threaded comment; however, any edits to it will get removed if the file is opened in a newer version of Excel. Learn more: https://go.microsoft.com/fwlink/?linkid=870924
Comment:
    for 1. Asset based mapping need to be done.
2. Mention for tablet &amp; admin app too.
3. Asset based mapping need to be done</t>
      </text>
    </comment>
    <comment ref="AA44" authorId="37" shapeId="0" xr:uid="{276CC8B4-C81C-4E9F-BEC2-F70C1756C41E}">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5" authorId="38" shapeId="0" xr:uid="{5DE7EB5D-DD23-44B4-9FC5-377046E9AB60}">
      <text>
        <t>[Threaded comment]
Your version of Excel allows you to read this threaded comment; however, any edits to it will get removed if the file is opened in a newer version of Excel. Learn more: https://go.microsoft.com/fwlink/?linkid=870924
Comment:
    for 3. mention for NSA also
4. for other device(s)/app</t>
      </text>
    </comment>
    <comment ref="AA46" authorId="39" shapeId="0" xr:uid="{1219CA64-6151-419F-8891-4355247DEF96}">
      <text>
        <t>[Threaded comment]
Your version of Excel allows you to read this threaded comment; however, any edits to it will get removed if the file is opened in a newer version of Excel. Learn more: https://go.microsoft.com/fwlink/?linkid=870924
Comment:
    for 1. installation manual for both admin web app &amp; tablet?
3. Mention for NSA also
6. Mapping should be done according to the authentication flow</t>
      </text>
    </comment>
    <comment ref="AA47" authorId="40" shapeId="0" xr:uid="{A53F0B01-B0EC-4DAA-895A-86AB156AD632}">
      <text>
        <t>[Threaded comment]
Your version of Excel allows you to read this threaded comment; however, any edits to it will get removed if the file is opened in a newer version of Excel. Learn more: https://go.microsoft.com/fwlink/?linkid=870924
Comment:
    1,3 -mention for other devices/apps
6. mapping should be done according th the authentication flow</t>
      </text>
    </comment>
    <comment ref="AA48" authorId="41" shapeId="0" xr:uid="{38ECBC61-84B8-492E-B966-AE0E060E0575}">
      <text>
        <t>[Threaded comment]
Your version of Excel allows you to read this threaded comment; however, any edits to it will get removed if the file is opened in a newer version of Excel. Learn more: https://go.microsoft.com/fwlink/?linkid=870924
Comment:
    for 1. Mismatched
3.
4.Mismatched (what is the error &amp; corresponded error info)
Is 1 error info display for all the unsuccessful attempts?</t>
      </text>
    </comment>
    <comment ref="AA49" authorId="42" shapeId="0" xr:uid="{173E440D-1816-47A4-B5A1-6E43101C685D}">
      <text>
        <t>[Threaded comment]
Your version of Excel allows you to read this threaded comment; however, any edits to it will get removed if the file is opened in a newer version of Excel. Learn more: https://go.microsoft.com/fwlink/?linkid=870924
Comment:
    for 1,2. Asset based mapping to be done
4. List of errors &amp; the corresponding display messages to be enumerated</t>
      </text>
    </comment>
    <comment ref="AA51" authorId="43" shapeId="0" xr:uid="{CB4CE9F0-F047-41B1-921A-26E2AC2F5B6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2" authorId="44" shapeId="0" xr:uid="{A350D764-B917-452B-B52B-AEFBD84162A3}">
      <text>
        <t>[Threaded comment]
Your version of Excel allows you to read this threaded comment; however, any edits to it will get removed if the file is opened in a newer version of Excel. Learn more: https://go.microsoft.com/fwlink/?linkid=870924
Comment:
    3.mention for NSA also
4,5.map to srs
6.mapping should be done according to the authentication flow</t>
      </text>
    </comment>
    <comment ref="AA53" authorId="45" shapeId="0" xr:uid="{460A8D6C-9F61-4E04-BF06-7EA138F3DA6B}">
      <text>
        <t>[Threaded comment]
Your version of Excel allows you to read this threaded comment; however, any edits to it will get removed if the file is opened in a newer version of Excel. Learn more: https://go.microsoft.com/fwlink/?linkid=870924
Comment:
    3.mention for NSA also
4,5. map to srs
6.mapping should be done according to the authentication flow</t>
      </text>
    </comment>
    <comment ref="AA54" authorId="46" shapeId="0" xr:uid="{91605B5E-7258-4852-9569-F8F9C9BD38BC}">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5" authorId="47" shapeId="0" xr:uid="{E4A79DA0-99B0-4704-8EDC-5D7E79E8686A}">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6" authorId="48" shapeId="0" xr:uid="{D4434FD1-7D32-41D9-8611-378229518274}">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7" authorId="49" shapeId="0" xr:uid="{D85881CD-D31A-4F72-82FF-657B0B8C4F4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8" authorId="50" shapeId="0" xr:uid="{0F9389CA-B82E-43F5-B76E-DFC96A680075}">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9" authorId="51" shapeId="0" xr:uid="{02386B3D-8BE1-476A-9E33-47F1D260F50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0" authorId="52" shapeId="0" xr:uid="{CC4E2C93-5654-41FA-85AD-ED8C9928311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1" authorId="53" shapeId="0" xr:uid="{77188557-FF21-444F-90A6-52252B4E0FFE}">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2" authorId="54" shapeId="0" xr:uid="{E72BF756-D605-471D-8D2E-77139EC6C67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3" authorId="55" shapeId="0" xr:uid="{994E1B53-C34D-4F24-8871-9570D68A2BA1}">
      <text>
        <t>[Threaded comment]
Your version of Excel allows you to read this threaded comment; however, any edits to it will get removed if the file is opened in a newer version of Excel. Learn more: https://go.microsoft.com/fwlink/?linkid=870924
Comment:
    1. Tablet:Adminstrator
   Admin, non-admin:Non-administrative accounts
2. IT team
3. Deepak mailed to ketan.</t>
      </text>
    </comment>
    <comment ref="AA65" authorId="56" shapeId="0" xr:uid="{16571F86-7AC3-40C9-AC5A-63B40C45FB1E}">
      <text>
        <t>[Threaded comment]
Your version of Excel allows you to read this threaded comment; however, any edits to it will get removed if the file is opened in a newer version of Excel. Learn more: https://go.microsoft.com/fwlink/?linkid=870924
Comment:
    3. Asset based mapping to be done</t>
      </text>
    </comment>
    <comment ref="AA66" authorId="57" shapeId="0" xr:uid="{43DBA38D-D350-4605-A364-B2FDF6ABBB70}">
      <text>
        <t>[Threaded comment]
Your version of Excel allows you to read this threaded comment; however, any edits to it will get removed if the file is opened in a newer version of Excel. Learn more: https://go.microsoft.com/fwlink/?linkid=870924
Comment:
    1. Mismatched 
Ask his to identify sensitive data &amp; ensure encryption provided (D..23,D..24,D..97)
3.
for Tablet: mention the implemented hardended details, as we referred previously
for Admin web app: Admin manual
5. Ensure sensitive data is not in plain text &amp; strong encryption enabled for all such data.</t>
      </text>
    </comment>
    <comment ref="AA67" authorId="58" shapeId="0" xr:uid="{85371A4A-968F-46D8-9801-8897F8AD37D2}">
      <text>
        <t>[Threaded comment]
Your version of Excel allows you to read this threaded comment; however, any edits to it will get removed if the file is opened in a newer version of Excel. Learn more: https://go.microsoft.com/fwlink/?linkid=870924
Comment:
    1. mention for NSA also
5. List/Identify sensitive data &amp; Ensure sensitive data is not in plain text &amp; strong encryption enabled for all such data. List down the encryption details.</t>
      </text>
    </comment>
    <comment ref="AA68" authorId="59" shapeId="0" xr:uid="{DBDFC3AC-400D-4827-BF88-66471F649EA9}">
      <text>
        <t>[Threaded comment]
Your version of Excel allows you to read this threaded comment; however, any edits to it will get removed if the file is opened in a newer version of Excel. Learn more: https://go.microsoft.com/fwlink/?linkid=870924
Comment:
    3. Data to &amp; from the cloud and its encryption details.
4. Map to SRS D001020024 -2.17.2 for both Tablet &amp; NSA
5. Mention subclauses also &amp; mention for Tablet too</t>
      </text>
    </comment>
    <comment ref="AA70" authorId="60" shapeId="0" xr:uid="{EF9096A5-3102-4A26-942D-4A4DF819C5B2}">
      <text>
        <t>[Threaded comment]
Your version of Excel allows you to read this threaded comment; however, any edits to it will get removed if the file is opened in a newer version of Excel. Learn more: https://go.microsoft.com/fwlink/?linkid=870924
Comment:
    for Tablet:
1. offline authentication crypto details
2. keys, security tokens
for NSA:
1. Any certs received during NSA authentication?
for D.....20097: pls mention crypto APIs</t>
      </text>
    </comment>
    <comment ref="AA71" authorId="61" shapeId="0" xr:uid="{48603974-4029-4C8C-9896-F4B7376640F8}">
      <text>
        <t>[Threaded comment]
Your version of Excel allows you to read this threaded comment; however, any edits to it will get removed if the file is opened in a newer version of Excel. Learn more: https://go.microsoft.com/fwlink/?linkid=870924
Comment:
    for Tablet:
Transmitted health data encryption details (eg: SHA-256)
for NSA: (receiving channel)
Transmitting end point &amp; encryption details
for D....20097: pls mention as crypto APIs</t>
      </text>
    </comment>
    <comment ref="AA72" authorId="62" shapeId="0" xr:uid="{81D057DC-CC7E-45F9-9253-E5D90FF6FFD4}">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74" authorId="63" shapeId="0" xr:uid="{AB1EFCBE-8294-4B41-9052-B167EF02950E}">
      <text>
        <t>[Threaded comment]
Your version of Excel allows you to read this threaded comment; however, any edits to it will get removed if the file is opened in a newer version of Excel. Learn more: https://go.microsoft.com/fwlink/?linkid=870924
Comment:
    2. Mismatched</t>
      </text>
    </comment>
    <comment ref="AA75" authorId="64" shapeId="0" xr:uid="{1817CDE1-D5A6-4E1D-903B-7697004133D8}">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76" authorId="65" shapeId="0" xr:uid="{6025450B-6FE9-4657-9B82-1618CF042D03}">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77" authorId="66" shapeId="0" xr:uid="{4FA34A47-F54D-4B7E-8A05-E191D6DA2CEA}">
      <text>
        <t>[Threaded comment]
Your version of Excel allows you to read this threaded comment; however, any edits to it will get removed if the file is opened in a newer version of Excel. Learn more: https://go.microsoft.com/fwlink/?linkid=870924
Comment:
    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
      </text>
    </comment>
    <comment ref="AA78" authorId="67" shapeId="0" xr:uid="{DB4FD457-6E32-446A-AC2B-650483EBEE6A}">
      <text>
        <t>[Threaded comment]
Your version of Excel allows you to read this threaded comment; however, any edits to it will get removed if the file is opened in a newer version of Excel. Learn more: https://go.microsoft.com/fwlink/?linkid=870924
Comment:
    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
      </text>
    </comment>
    <comment ref="AA79" authorId="68" shapeId="0" xr:uid="{DBCF9656-A79C-4403-B83D-8868209E4CAA}">
      <text>
        <t>[Threaded comment]
Your version of Excel allows you to read this threaded comment; however, any edits to it will get removed if the file is opened in a newer version of Excel. Learn more: https://go.microsoft.com/fwlink/?linkid=870924
Comment:
    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
      </text>
    </comment>
    <comment ref="AA80" authorId="69" shapeId="0" xr:uid="{6D5B6900-D3CF-4ED5-9A81-EEAA774BF938}">
      <text>
        <t>[Threaded comment]
Your version of Excel allows you to read this threaded comment; however, any edits to it will get removed if the file is opened in a newer version of Excel. Learn more: https://go.microsoft.com/fwlink/?linkid=870924
Comment:
    1.mismatched
3. mention for NSA also
4,5. map to srs
6. mapping should be done according to the authentication flow</t>
      </text>
    </comment>
    <comment ref="AA81" authorId="70" shapeId="0" xr:uid="{1D7CC351-1DCF-465A-A444-CDA5FB427205}">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2" authorId="71" shapeId="0" xr:uid="{30798C7C-A5D1-47E5-AF43-39638407D7C1}">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4" authorId="72" shapeId="0" xr:uid="{EDCBB678-0172-4F0F-BB9A-09F2F41811E9}">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5" authorId="73" shapeId="0" xr:uid="{72868864-C48F-4CF7-B79D-5E28CA5F2A8C}">
      <text>
        <t>[Threaded comment]
Your version of Excel allows you to read this threaded comment; however, any edits to it will get removed if the file is opened in a newer version of Excel. Learn more: https://go.microsoft.com/fwlink/?linkid=870924
Comment:
    1. mention for NSA also
5. List/Identify sensitive data &amp; Ensure sensitive data is not in plain text &amp; strong encryption enabled for all such data. List down the encryption details.</t>
      </text>
    </comment>
    <comment ref="AA86" authorId="74" shapeId="0" xr:uid="{A9A1EBCB-4BCB-4906-928C-6D8502D93D9F}">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7" authorId="75" shapeId="0" xr:uid="{DB92E810-2EFA-4C96-B62F-49DE1BF2F26F}">
      <text>
        <t>[Threaded comment]
Your version of Excel allows you to read this threaded comment; however, any edits to it will get removed if the file is opened in a newer version of Excel. Learn more: https://go.microsoft.com/fwlink/?linkid=870924
Comment:
    2. Asset based mapping to be done
4,5. map to srs</t>
      </text>
    </comment>
    <comment ref="AA89" authorId="76" shapeId="0" xr:uid="{0CB2C599-46A8-4602-B134-A24E2CB125FB}">
      <text>
        <t>[Threaded comment]
Your version of Excel allows you to read this threaded comment; however, any edits to it will get removed if the file is opened in a newer version of Excel. Learn more: https://go.microsoft.com/fwlink/?linkid=870924
Comment:
    1. Mismatched
2. Asset based mapping to be done
4,5. map to srs
6.mapping should be done according to the authentication flow</t>
      </text>
    </comment>
    <comment ref="AA91" authorId="77" shapeId="0" xr:uid="{10AF2BB1-DC69-4F36-B2F7-31512CCF3728}">
      <text>
        <t>[Threaded comment]
Your version of Excel allows you to read this threaded comment; however, any edits to it will get removed if the file is opened in a newer version of Excel. Learn more: https://go.microsoft.com/fwlink/?linkid=870924
Comment:
    1,3,5. Mismatched</t>
      </text>
    </comment>
    <comment ref="AA96" authorId="78" shapeId="0" xr:uid="{CA02399B-FE0E-40C9-9F93-DC6308B83608}">
      <text>
        <t>[Threaded comment]
Your version of Excel allows you to read this threaded comment; however, any edits to it will get removed if the file is opened in a newer version of Excel. Learn more: https://go.microsoft.com/fwlink/?linkid=870924
Comment:
    for our side logs has to be generated &amp; stored</t>
      </text>
    </comment>
    <comment ref="AA97" authorId="79" shapeId="0" xr:uid="{57BFBCEB-FC24-4D01-9B48-6146D6E15D28}">
      <text>
        <t>[Threaded comment]
Your version of Excel allows you to read this threaded comment; however, any edits to it will get removed if the file is opened in a newer version of Excel. Learn more: https://go.microsoft.com/fwlink/?linkid=870924
Comment:
    ensure audit is happening and list down all the currently configured auditable events. so we can map to SOM</t>
      </text>
    </comment>
    <comment ref="AA99" authorId="80" shapeId="0" xr:uid="{99443521-214E-46E4-9973-FAB5DC03EE04}">
      <text>
        <t>[Threaded comment]
Your version of Excel allows you to read this threaded comment; however, any edits to it will get removed if the file is opened in a newer version of Excel. Learn more: https://go.microsoft.com/fwlink/?linkid=870924
Comment:
    1. Asset based mapping to be done</t>
      </text>
    </comment>
    <comment ref="AA101" authorId="81" shapeId="0" xr:uid="{C4BF6A3F-CEEE-4CFF-AE16-0B8405D871DD}">
      <text>
        <t>[Threaded comment]
Your version of Excel allows you to read this threaded comment; however, any edits to it will get removed if the file is opened in a newer version of Excel. Learn more: https://go.microsoft.com/fwlink/?linkid=870924
Comment:
    1. what is the error &amp; corresponded display info to the user</t>
      </text>
    </comment>
    <comment ref="AA102" authorId="82" shapeId="0" xr:uid="{6061A721-45D7-40FB-807C-C8C813954826}">
      <text>
        <t>[Threaded comment]
Your version of Excel allows you to read this threaded comment; however, any edits to it will get removed if the file is opened in a newer version of Excel. Learn more: https://go.microsoft.com/fwlink/?linkid=870924
Comment:
    for 1. Mismatched</t>
      </text>
    </comment>
    <comment ref="AA104" authorId="83" shapeId="0" xr:uid="{4C316865-995C-475D-AD1C-CE13E2F7E2D8}">
      <text>
        <t>[Threaded comment]
Your version of Excel allows you to read this threaded comment; however, any edits to it will get removed if the file is opened in a newer version of Excel. Learn more: https://go.microsoft.com/fwlink/?linkid=870924
Comment:
    3.mismatched</t>
      </text>
    </comment>
  </commentList>
</comments>
</file>

<file path=xl/sharedStrings.xml><?xml version="1.0" encoding="utf-8"?>
<sst xmlns="http://schemas.openxmlformats.org/spreadsheetml/2006/main" count="2063" uniqueCount="473">
  <si>
    <t>System &amp; Asset Identification</t>
  </si>
  <si>
    <t xml:space="preserve">Medical Device / System: </t>
  </si>
  <si>
    <t>Scope:</t>
  </si>
  <si>
    <t>Date:</t>
  </si>
  <si>
    <t>&lt;2021-07-12&gt;</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</si>
  <si>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</si>
  <si>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</si>
  <si>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</si>
  <si>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</si>
  <si>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</si>
  <si>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</si>
  <si>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</si>
  <si>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</si>
  <si>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</si>
  <si>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</si>
  <si>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</si>
  <si>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</si>
  <si>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</si>
  <si>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</si>
  <si>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</si>
  <si>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</si>
  <si>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</si>
  <si>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</si>
  <si>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</si>
  <si>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</si>
  <si>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</si>
  <si>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</si>
  <si>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</si>
  <si>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</si>
  <si>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</si>
  <si>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</si>
  <si>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</si>
  <si>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</si>
  <si>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</si>
  <si>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</si>
  <si>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</si>
  <si>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</si>
  <si>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</si>
  <si>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</si>
  <si>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</si>
  <si>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</si>
  <si>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</si>
  <si>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</si>
  <si>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</si>
  <si>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</si>
  <si>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</si>
  <si>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</si>
  <si>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</si>
  <si>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</si>
  <si>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</si>
  <si>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</si>
  <si>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</si>
  <si>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</si>
  <si>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</si>
  <si>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</si>
  <si>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</si>
  <si>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</si>
  <si>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</si>
  <si>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</si>
  <si>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</si>
  <si>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</si>
  <si>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</si>
  <si>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</si>
  <si>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</si>
  <si>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</si>
  <si>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</si>
  <si>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</si>
  <si>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</si>
  <si>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</si>
  <si>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</si>
  <si>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</si>
  <si>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</si>
  <si>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</si>
  <si>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</si>
  <si>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</si>
  <si>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</si>
  <si>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</si>
  <si>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</si>
  <si>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</si>
  <si>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</si>
  <si>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</si>
  <si>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</si>
  <si>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</si>
  <si>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</si>
  <si>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</si>
  <si>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</si>
  <si>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</si>
  <si>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</si>
  <si>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</si>
  <si>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</si>
  <si>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</si>
  <si>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</si>
  <si>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</si>
  <si>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</si>
  <si>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</si>
  <si>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</si>
  <si>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</si>
  <si>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</si>
  <si>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</si>
  <si>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</si>
  <si>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</si>
  <si>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</si>
  <si>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</si>
  <si>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</si>
  <si>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</si>
  <si>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</si>
  <si>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</si>
  <si>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</si>
  <si>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</si>
  <si>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</si>
  <si>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</si>
  <si>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</si>
  <si>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</si>
  <si>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</si>
  <si>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</si>
  <si>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</si>
  <si>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</si>
  <si>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</si>
  <si>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</si>
  <si>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</si>
  <si>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</si>
  <si>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</si>
  <si>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</si>
  <si>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</si>
  <si>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</si>
  <si>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</si>
  <si>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</si>
  <si>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</si>
  <si>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</si>
  <si>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</si>
  <si>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</si>
  <si>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</si>
  <si>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</si>
  <si>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</si>
  <si>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</si>
  <si>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</si>
  <si>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</si>
  <si>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</si>
  <si>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</si>
  <si>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</si>
  <si>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</si>
  <si>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</si>
  <si>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</si>
  <si>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</si>
  <si>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</si>
  <si>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</si>
  <si>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</si>
  <si>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</si>
  <si>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</si>
  <si>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</si>
  <si>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</si>
  <si>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</si>
  <si>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</si>
  <si>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</si>
  <si>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</si>
  <si>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</si>
  <si>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</si>
  <si>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</si>
  <si>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</si>
  <si>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</si>
  <si>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</si>
  <si>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</si>
  <si>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</si>
  <si>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</si>
  <si>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</si>
  <si>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</si>
  <si>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</si>
  <si>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</si>
  <si>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</si>
  <si>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</si>
  <si>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</si>
  <si>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</si>
  <si>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</si>
  <si>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</si>
  <si>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</si>
  <si>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</si>
  <si>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</si>
  <si>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</si>
  <si>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</si>
  <si>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</si>
  <si>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</si>
  <si>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</si>
  <si>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</si>
  <si>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</si>
  <si>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</si>
  <si>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</si>
  <si>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</si>
  <si>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</si>
  <si>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</si>
  <si>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</si>
  <si>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</si>
  <si>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</si>
  <si>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</si>
  <si>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</si>
  <si>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</si>
  <si>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</si>
  <si>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</si>
  <si>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</si>
  <si>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</si>
  <si>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</si>
  <si>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</si>
  <si>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</si>
  <si>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</si>
  <si>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</si>
  <si>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</si>
  <si>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</si>
  <si>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</si>
  <si>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</si>
  <si>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</si>
  <si>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</si>
  <si>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</si>
  <si>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</si>
  <si>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</si>
  <si>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</si>
  <si>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</si>
  <si>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</si>
  <si>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</si>
  <si>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</si>
  <si>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</si>
  <si>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</si>
  <si>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</si>
  <si>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</si>
  <si>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</si>
  <si>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</si>
  <si>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</si>
  <si>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</si>
  <si>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</si>
  <si>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</si>
  <si>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</si>
  <si>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</si>
  <si>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</si>
  <si>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</si>
  <si>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</si>
  <si>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</si>
  <si>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</si>
  <si>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</si>
  <si>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</si>
  <si>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</si>
  <si>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</si>
  <si>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</si>
  <si>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</si>
  <si>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</si>
  <si>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</si>
  <si>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None</t>
  </si>
  <si>
    <t>Network</t>
  </si>
  <si>
    <t>Changed</t>
  </si>
  <si>
    <r>
      <rPr>
        <sz val="11"/>
        <color rgb="FF000000"/>
        <rFont val="Cambria"/>
        <family val="1"/>
        <charset val="1"/>
      </rP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</si>
  <si>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Local</t>
  </si>
  <si>
    <t>High</t>
  </si>
  <si>
    <t>Moderate</t>
  </si>
  <si>
    <t>Justification</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</si>
  <si>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</si>
  <si>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</si>
  <si>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</si>
  <si>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</si>
  <si>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</si>
  <si>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Tampering of forensic data
2) This involves modifying/corrupting/deleting the values of Logs, 
3) Modifying registry values 
4) Uninstalling all malcious applications/tools   
5) Deleting all folders which were created</t>
  </si>
  <si>
    <r>
      <rPr>
        <sz val="11"/>
        <color rgb="FF000000"/>
        <rFont val="Cambria"/>
        <family val="1"/>
        <charset val="1"/>
      </rP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</si>
  <si>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1) Gaining access to the portal 
2) Accessing confidential data, 
3) Lead misuse of confidential data
4)  Company defamation</t>
  </si>
  <si>
    <t>1) Bring down the service availability 
2) Blocking the end user usage</t>
  </si>
  <si>
    <t>Information of health data can be exploit and disclose with various means like network, tablet etc.  .</t>
  </si>
  <si>
    <t>1. Statefull firewall
2. Configure and upgrade routers for the n/w security
3. Configure firewalls to reject any packets with spoofed addresses.
4. Use secure tunnel communication channel</t>
  </si>
  <si>
    <r>
      <rPr>
        <sz val="11"/>
        <color rgb="FF000000"/>
        <rFont val="Cambria"/>
        <family val="1"/>
        <charset val="1"/>
      </rPr>
      <t xml:space="preserve">1. SOM D001020115 - 23. Malware Detection/Protection
2. SOM D001020115 - 16. Transmission confidentiality and integrity
3. SOM D001020115 - 23. Malware Detection/Protection
4. </t>
    </r>
    <r>
      <rPr>
        <sz val="11"/>
        <color rgb="FF00000A"/>
        <rFont val="Cambria"/>
        <family val="1"/>
      </rPr>
      <t>SRS D001020024 -2.17.2The Application shall provide secure tunnel Communications channel</t>
    </r>
  </si>
  <si>
    <t xml:space="preserve">1. Weak algorithms such as DES, RC4, etc.. should be avoided and usage of  strong algorithms such as AES, RSA, etc.. are recomended
2. Typical key lengths are 128 and 256 bits for private keys and 2048 for public keys are recommended.
</t>
  </si>
  <si>
    <t>1. Secure communication with Secure Sockets Layer (SSL) or TLS protocols that provide message confidentiality 
2. Secure sensitive data in the channel flow using strong encryption
3. Statefull firewall
4. Proper way of network access control</t>
  </si>
  <si>
    <t>1) Allowing application or script to perform abnormal activites on the system.
2) Modifying the data, tampering the confidential data making it unavailable or challenging the integrity of data.</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</si>
  <si>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</si>
  <si>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</si>
  <si>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</si>
  <si>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</si>
  <si>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</si>
  <si>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</si>
  <si>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</si>
  <si>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r>
      <rPr>
        <sz val="11"/>
        <color rgb="FF000000"/>
        <rFont val="Cambria"/>
        <family val="1"/>
        <charset val="1"/>
      </rPr>
      <t xml:space="preserve">1. </t>
    </r>
    <r>
      <rPr>
        <sz val="11"/>
        <color rgb="FF00000A"/>
        <rFont val="Cambria"/>
        <family val="1"/>
      </rPr>
      <t xml:space="preserve">SRS D001020024 -2.17.2The Application shall provide secure tunnel Communications channel
</t>
    </r>
    <r>
      <rPr>
        <sz val="11"/>
        <color rgb="FF000000"/>
        <rFont val="Cambria"/>
        <family val="1"/>
        <charset val="1"/>
      </rPr>
      <t xml:space="preserve">
2. SOM D001020115 - 16. Transmission confidentiality and integrity
3. SOM D001020115 - 23. Malware Detection/Protection
4. SOM D001020115 - 05. Access control policy and management
5.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</si>
  <si>
    <t>1) An attacker may attempt to discover a weak credential by systematically trying every possible combination of letters, numbers, and symbols until it discovers the one correct combination that works.</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</si>
  <si>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</si>
  <si>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</si>
  <si>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t>1) This threat may hamper digital or physical resources, infractructure and end points
2) Get the user (employee/ client/ customer) to download malware, send money or perform actions that are dangerous.</t>
  </si>
  <si>
    <t>Adjacent Network</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</si>
  <si>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</si>
  <si>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</si>
  <si>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</si>
  <si>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</si>
  <si>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</si>
  <si>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</si>
  <si>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</si>
  <si>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</si>
  <si>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</si>
  <si>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</si>
  <si>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</si>
  <si>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</si>
  <si>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</si>
  <si>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</si>
  <si>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</si>
  <si>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</si>
  <si>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</si>
  <si>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</si>
  <si>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</si>
  <si>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</si>
  <si>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</si>
  <si>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</si>
  <si>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</si>
  <si>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</si>
  <si>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</si>
  <si>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</si>
  <si>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</si>
  <si>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</si>
  <si>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</si>
  <si>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</si>
  <si>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</si>
  <si>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</si>
  <si>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</si>
  <si>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</si>
  <si>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</si>
  <si>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</si>
  <si>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</si>
  <si>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</si>
  <si>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</si>
  <si>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</si>
  <si>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</si>
  <si>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</si>
  <si>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</si>
  <si>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</si>
  <si>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</si>
  <si>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</si>
  <si>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</si>
  <si>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</si>
  <si>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</si>
  <si>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</si>
  <si>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</si>
  <si>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</si>
  <si>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</si>
  <si>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</si>
  <si>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</si>
  <si>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</si>
  <si>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</si>
  <si>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</si>
  <si>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</si>
  <si>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</si>
  <si>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</si>
  <si>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</si>
  <si>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</si>
  <si>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</si>
  <si>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</si>
  <si>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</si>
  <si>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</si>
  <si>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</si>
  <si>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</si>
  <si>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</si>
  <si>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</si>
  <si>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</si>
  <si>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</si>
  <si>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</si>
  <si>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</si>
  <si>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</si>
  <si>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</si>
  <si>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</si>
  <si>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</si>
  <si>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</si>
  <si>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</si>
  <si>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</si>
  <si>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</si>
  <si>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</si>
  <si>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</si>
  <si>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</si>
  <si>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</si>
  <si>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r>
      <t xml:space="preserve">1. </t>
    </r>
    <r>
      <rPr>
        <sz val="11"/>
        <color rgb="FFFF0000"/>
        <rFont val="Cambria"/>
        <family val="1"/>
      </rPr>
      <t xml:space="preserve">SRS D001020024 -2.17.2The Application shall provide secure tunnel Communications channel
</t>
    </r>
    <r>
      <rPr>
        <sz val="11"/>
        <color rgb="FFFF0000"/>
        <rFont val="Cambria"/>
        <family val="1"/>
        <charset val="1"/>
      </rPr>
      <t xml:space="preserve">
2. SOM D001020115 - 16. Transmission confidentiality and integrity
3. SOM D001020115 - 23. Malware Detection/Protection
4. SOM D001020115 - 05. Access control policy and management
5.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2.1.2.1 Application shall allow the user to enter Hospital Code. The code has a maximum of 9 chars and a feature to hide it using asterisk form.</t>
    </r>
  </si>
  <si>
    <r>
      <t xml:space="preserve">1. </t>
    </r>
    <r>
      <rPr>
        <sz val="11"/>
        <color rgb="FFFF0000"/>
        <rFont val="Cambria"/>
        <family val="1"/>
      </rPr>
      <t>SRS D001020097 –</t>
    </r>
    <r>
      <rPr>
        <sz val="11"/>
        <color rgb="FFFF0000"/>
        <rFont val="Times New Roman"/>
        <family val="1"/>
      </rPr>
      <t xml:space="preserve">2.8.1Application shall use APIs to communicate between browser application and the backend.
</t>
    </r>
    <r>
      <rPr>
        <sz val="11"/>
        <color rgb="FFFF0000"/>
        <rFont val="Cambria"/>
        <family val="1"/>
        <charset val="1"/>
      </rPr>
      <t xml:space="preserve">
2.</t>
    </r>
    <r>
      <rPr>
        <sz val="11"/>
        <color rgb="FFFF0000"/>
        <rFont val="Cambria"/>
        <family val="1"/>
      </rPr>
      <t xml:space="preserve"> SRS D001020097 –</t>
    </r>
    <r>
      <rPr>
        <sz val="11"/>
        <color rgb="FFFF0000"/>
        <rFont val="Times New Roman"/>
        <family val="1"/>
      </rPr>
      <t xml:space="preserve">2.8.1Application shall use APIs to communicate between browser application and the backend.
</t>
    </r>
  </si>
  <si>
    <r>
      <rPr>
        <sz val="11"/>
        <color rgb="FFFF0000"/>
        <rFont val="Cambria"/>
        <family val="1"/>
      </rPr>
      <t>1.NA- SOM - (Firewall and HDO )</t>
    </r>
    <r>
      <rPr>
        <sz val="11"/>
        <color rgb="FF000000"/>
        <rFont val="Cambria"/>
        <family val="1"/>
      </rPr>
      <t xml:space="preserve">
 2.SOM D001020115 - 23. Malware Detection/Protection
3. </t>
    </r>
    <r>
      <rPr>
        <sz val="11"/>
        <color rgb="FF00000A"/>
        <rFont val="Cambria"/>
        <family val="1"/>
      </rPr>
      <t>SRS D001020024 -2.17.2The Application shall provide secure tunnel Communications channel</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</si>
  <si>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</si>
  <si>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Only stryker made/authenticated devices should communicate with smart medic device &amp; tablet</t>
    </r>
    <r>
      <rPr>
        <sz val="11"/>
        <color rgb="FF000000"/>
        <rFont val="Cambria"/>
        <family val="1"/>
        <charset val="1"/>
      </rPr>
      <t xml:space="preserve">
2. Asset should be behind stateful firewall
3.  Use secure tunnel communications channel </t>
    </r>
  </si>
  <si>
    <r>
      <rPr>
        <sz val="11"/>
        <color rgb="FFFF0000"/>
        <rFont val="Cambria"/>
        <family val="1"/>
      </rPr>
      <t>1. Only Stryker/HDO authenticated devices should communicate with smart medic device &amp; tablet</t>
    </r>
    <r>
      <rPr>
        <sz val="11"/>
        <color rgb="FF000000"/>
        <rFont val="Cambria"/>
        <family val="1"/>
        <charset val="1"/>
      </rPr>
      <t xml:space="preserve">
2. Asset should be behind stateful firewall
3. Use secure tunnel communications channel </t>
    </r>
  </si>
  <si>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</si>
  <si>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SOM responsibility
1. Statefull Firewall
2. Maintain access control (read/modify) permission list for any sensitive &amp; unencrypted data if present.</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</si>
  <si>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</si>
  <si>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TBD</t>
    </r>
    <r>
      <rPr>
        <sz val="11"/>
        <color rgb="FF000000"/>
        <rFont val="Cambria"/>
        <family val="1"/>
      </rPr>
      <t xml:space="preserve">
4. </t>
    </r>
    <r>
      <rPr>
        <sz val="11"/>
        <color rgb="FF00000A"/>
        <rFont val="Cambria"/>
        <family val="1"/>
      </rPr>
      <t>SRS D001020024 -2.17.2The Application shall provide secure tunnel Communications channel</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</si>
  <si>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 xml:space="preserve">SM Device needs to do this </t>
    </r>
    <r>
      <rPr>
        <sz val="11"/>
        <color rgb="FF000000"/>
        <rFont val="Cambria"/>
        <family val="1"/>
      </rPr>
      <t xml:space="preserve">
4. </t>
    </r>
    <r>
      <rPr>
        <sz val="11"/>
        <color rgb="FF00000A"/>
        <rFont val="Cambria"/>
        <family val="1"/>
      </rPr>
      <t>SRS D001020024 -2.17.2The Application shall provide secure tunnel Communications channel</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</si>
  <si>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TBD</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</si>
  <si>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SRS D001020024 - 2.17.8 - Only Stryker made/ authenticated devices should be able to communicate with SM device and tablet.</t>
    </r>
    <r>
      <rPr>
        <sz val="11"/>
        <color rgb="FF000000"/>
        <rFont val="Cambria"/>
        <family val="1"/>
      </rPr>
      <t xml:space="preserve">
2. SOM D001020115 - 23. Malware Detection/Protection
3. </t>
    </r>
    <r>
      <rPr>
        <sz val="11"/>
        <color rgb="FF00000A"/>
        <rFont val="Cambria"/>
        <family val="1"/>
      </rPr>
      <t>SRS D001020024 -2.17.2The Application shall provide secure tunnel Communications channel</t>
    </r>
  </si>
  <si>
    <r>
      <t>1.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 xml:space="preserve">
2.SRS D001020097 – 2.8.1Application shall use APIs to communicate between browser application and the backend.
SRS D001020023-2.8.1Application shall use APIs to communicate between browser application and the backend.
                                                                                           3.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2.1.2.6 The Application shall be validated by using invisible captcha during login.
4.</t>
    </r>
    <r>
      <rPr>
        <sz val="11"/>
        <color rgb="FFFF0000"/>
        <rFont val="Cambria"/>
        <family val="1"/>
      </rPr>
      <t>SRS D001020097 –</t>
    </r>
    <r>
      <rPr>
        <sz val="11"/>
        <color rgb="FFFF0000"/>
        <rFont val="Times New Roman"/>
        <family val="1"/>
      </rPr>
      <t xml:space="preserve">2.1.7.1.1 Something went wrong with API operation try again / contact API admin.
</t>
    </r>
    <r>
      <rPr>
        <sz val="11"/>
        <color rgb="FFFF0000"/>
        <rFont val="Cambria"/>
        <family val="1"/>
      </rPr>
      <t>SRS D001020023-</t>
    </r>
    <r>
      <rPr>
        <sz val="11"/>
        <color rgb="FFFF0000"/>
        <rFont val="Times New Roman"/>
        <family val="1"/>
      </rPr>
      <t xml:space="preserve">2.1.4.1.1 Something went wrong with API operation try again / contact API admin.                                   SRS D001020097 – 2.1.2.1.1, 2.1.2.4 Invalid email or password, only 3 attempts left.  -- Never create/use credentials with personal details such as date of birth, spouse, or child’s or pet’s name. </t>
    </r>
  </si>
  <si>
    <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t>
    </r>
    <r>
      <rPr>
        <sz val="11"/>
        <color rgb="FFFF0000"/>
        <rFont val="Cambria"/>
        <family val="1"/>
      </rPr>
      <t>3.TBD</t>
    </r>
    <r>
      <rPr>
        <sz val="11"/>
        <color rgb="FF000000"/>
        <rFont val="Cambria"/>
        <family val="1"/>
      </rPr>
      <t xml:space="preserve">
4. </t>
    </r>
    <r>
      <rPr>
        <sz val="11"/>
        <color rgb="FF00000A"/>
        <rFont val="Cambria"/>
        <family val="1"/>
      </rPr>
      <t xml:space="preserve">SRS D001020024 -2.17.2The Application shall provide secure tunnel Communications channel
</t>
    </r>
  </si>
  <si>
    <r>
      <t>1.</t>
    </r>
    <r>
      <rPr>
        <sz val="11"/>
        <color rgb="FF000000"/>
        <rFont val="Cambria"/>
        <family val="1"/>
      </rPr>
      <t xml:space="preserve">SRS </t>
    </r>
    <r>
      <rPr>
        <sz val="11"/>
        <color rgb="FF00000A"/>
        <rFont val="Cambria"/>
        <family val="1"/>
      </rPr>
      <t>D001020023-</t>
    </r>
    <r>
      <rPr>
        <sz val="11"/>
        <color rgb="FF000000"/>
        <rFont val="Cambria"/>
        <family val="1"/>
        <charset val="1"/>
      </rPr>
      <t xml:space="preserve"> </t>
    </r>
    <r>
      <rPr>
        <sz val="11"/>
        <color rgb="FF00000A"/>
        <rFont val="Times New Roman"/>
        <family val="1"/>
      </rPr>
      <t xml:space="preserve">2.1.6.21The application shall allow to assign and edit  patient reference ID to patient.
</t>
    </r>
    <r>
      <rPr>
        <sz val="11"/>
        <color rgb="FF000000"/>
        <rFont val="Cambria"/>
        <family val="1"/>
        <charset val="1"/>
      </rPr>
      <t xml:space="preserve">
2.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3. NA
4. NA</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</si>
  <si>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 xml:space="preserve">TBD </t>
    </r>
    <r>
      <rPr>
        <sz val="11"/>
        <color rgb="FF000000"/>
        <rFont val="Cambria"/>
        <family val="1"/>
      </rPr>
      <t xml:space="preserve"> 
4. </t>
    </r>
    <r>
      <rPr>
        <sz val="11"/>
        <color rgb="FF00000A"/>
        <rFont val="Cambria"/>
        <family val="1"/>
      </rPr>
      <t>SRS D001020024 -2.17.2The Application shall provide secure tunnel Communications channel</t>
    </r>
  </si>
  <si>
    <r>
      <t xml:space="preserve">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t>
    </r>
    <r>
      <rPr>
        <sz val="11"/>
        <color rgb="FFFF0000"/>
        <rFont val="Cambria"/>
        <family val="1"/>
      </rPr>
      <t>4. Maintain access control (read/modify) permission list for any sensitive &amp; unencrypted data if present.</t>
    </r>
    <r>
      <rPr>
        <sz val="11"/>
        <color rgb="FF000000"/>
        <rFont val="Cambria"/>
        <family val="1"/>
        <charset val="1"/>
      </rPr>
      <t xml:space="preserve">
5. Stateful firewall</t>
    </r>
  </si>
  <si>
    <t>Shiva - suggestions needed</t>
  </si>
  <si>
    <r>
      <rPr>
        <sz val="11"/>
        <color rgb="FFFF0000"/>
        <rFont val="Cambria"/>
        <family val="1"/>
      </rPr>
      <t>1. Implement server-side encryption using Service-Managed keys/recomended practise by azure.</t>
    </r>
    <r>
      <rPr>
        <sz val="11"/>
        <color rgb="FF000000"/>
        <rFont val="Cambria"/>
        <family val="1"/>
        <charset val="1"/>
      </rPr>
      <t xml:space="preserve">
2. Proper way of network access control 
3. Encryption for sensitive data in transit, for ex: when files are moved to cloud storage, etc..
</t>
    </r>
    <r>
      <rPr>
        <sz val="11"/>
        <color rgb="FFFF0000"/>
        <rFont val="Cambria"/>
        <family val="1"/>
      </rPr>
      <t>4. Transfer over encrypted tunnel
5. Use strong encryption algorithm</t>
    </r>
  </si>
  <si>
    <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3.TBD - Shiva
4. </t>
    </r>
    <r>
      <rPr>
        <sz val="11"/>
        <color rgb="FF00000A"/>
        <rFont val="Cambria"/>
        <family val="1"/>
      </rPr>
      <t xml:space="preserve">SRS D001020024 -2.17.2The Application shall provide secure tunnel Communications channel
</t>
    </r>
  </si>
  <si>
    <r>
      <t xml:space="preserve">1. </t>
    </r>
    <r>
      <rPr>
        <sz val="11"/>
        <color rgb="FF000000"/>
        <rFont val="Cambria"/>
        <family val="1"/>
      </rPr>
      <t xml:space="preserve">SRS </t>
    </r>
    <r>
      <rPr>
        <sz val="11"/>
        <color rgb="FF00000A"/>
        <rFont val="Cambria"/>
        <family val="1"/>
      </rPr>
      <t xml:space="preserve">D001020097 – 2.1.2.1.1 Invalid email or password, only 3 attempts left.
</t>
    </r>
    <r>
      <rPr>
        <sz val="11"/>
        <color rgb="FF000000"/>
        <rFont val="Cambria"/>
        <family val="1"/>
        <charset val="1"/>
      </rPr>
      <t xml:space="preserve">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6.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</si>
  <si>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r>
      <t xml:space="preserve">1. </t>
    </r>
    <r>
      <rPr>
        <sz val="11"/>
        <color rgb="FF00000A"/>
        <rFont val="Cambria"/>
        <family val="1"/>
      </rPr>
      <t xml:space="preserve">SRS D001020024 -2.17.2The Application shall provide secure tunnel Communications channel
</t>
    </r>
    <r>
      <rPr>
        <sz val="11"/>
        <color rgb="FF000000"/>
        <rFont val="Cambria"/>
        <family val="1"/>
        <charset val="1"/>
      </rPr>
      <t xml:space="preserve">
2.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3. SOM D001020115 - 23. Malware Detection/Protection
4. SOM D001020115 - 05. Access control policy and management</t>
    </r>
  </si>
  <si>
    <r>
      <t xml:space="preserve">1.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2. SOM D001020115 - 05. Access control policy and management
3.</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4. </t>
    </r>
    <r>
      <rPr>
        <sz val="11"/>
        <color rgb="FF00000A"/>
        <rFont val="Cambria"/>
        <family val="1"/>
      </rPr>
      <t xml:space="preserve">SRS D001020024 -2.17.2The Application shall provide secure tunnel Communications channel
</t>
    </r>
    <r>
      <rPr>
        <sz val="11"/>
        <color rgb="FF000000"/>
        <rFont val="Cambria"/>
        <family val="1"/>
      </rPr>
      <t xml:space="preserve">
</t>
    </r>
    <r>
      <rPr>
        <sz val="11"/>
        <color rgb="FF000000"/>
        <rFont val="Cambria"/>
        <family val="1"/>
        <charset val="1"/>
      </rPr>
      <t>5.</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</si>
  <si>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</si>
  <si>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r>
      <t xml:space="preserve">1.  Identification of the sensitive data in storage and encryption of storage subsystem
2. Stateful firewall
</t>
    </r>
    <r>
      <rPr>
        <sz val="11"/>
        <color rgb="FFFF0000"/>
        <rFont val="Cambria"/>
        <family val="1"/>
      </rPr>
      <t xml:space="preserve">3. Hardening of the host system containing sensitive data at rest 
4. Maintain access control (read/modify) permission list for any sensitive &amp; unencrypted data if present.
</t>
    </r>
    <r>
      <rPr>
        <sz val="11"/>
        <color rgb="FF000000"/>
        <rFont val="Cambria"/>
        <family val="1"/>
        <charset val="1"/>
      </rPr>
      <t xml:space="preserve">5. Use strong encrption algorithm </t>
    </r>
  </si>
  <si>
    <r>
      <t xml:space="preserve">1. SRS D001020024 -2.17.6The Application shall support the use of anti-malware mechanism
</t>
    </r>
    <r>
      <rPr>
        <sz val="11"/>
        <color rgb="FFFF0000"/>
        <rFont val="Cambria"/>
        <family val="1"/>
        <charset val="1"/>
      </rPr>
      <t xml:space="preserve">2. SOM D001020115 - 23. Malware Detection/Protection
</t>
    </r>
    <r>
      <rPr>
        <sz val="11"/>
        <color rgb="FFFF0000"/>
        <rFont val="Cambria"/>
        <family val="1"/>
      </rPr>
      <t xml:space="preserve">3.TBD - shiva
</t>
    </r>
    <r>
      <rPr>
        <sz val="11"/>
        <color rgb="FFFF0000"/>
        <rFont val="Cambria"/>
        <family val="1"/>
        <charset val="1"/>
      </rPr>
      <t xml:space="preserve">
4. SRS D001020097 : 2.25.1 :Application shall have the User Management Screen to configure and manage the users as per the roles.
5.</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2.1.2.1 Application shall allow the user to enter Hospital Code. The code has a maximum of 9 chars and a feature to hide it using asterisk form.</t>
    </r>
  </si>
  <si>
    <r>
      <t xml:space="preserve">1. </t>
    </r>
    <r>
      <rPr>
        <sz val="11"/>
        <color rgb="FF00000A"/>
        <rFont val="Cambria"/>
        <family val="1"/>
      </rPr>
      <t>SRS D001020024 -</t>
    </r>
    <r>
      <rPr>
        <sz val="11"/>
        <color rgb="FF00000A"/>
        <rFont val="Times New Roman"/>
        <family val="1"/>
      </rPr>
      <t xml:space="preserve">2.1.2.2 If the Admin Pin is valid and then the application shall navigate further.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
2.SRS </t>
    </r>
    <r>
      <rPr>
        <sz val="11"/>
        <rFont val="Cambria"/>
        <family val="1"/>
      </rPr>
      <t>D001020023-</t>
    </r>
    <r>
      <rPr>
        <sz val="11"/>
        <color rgb="FF00000A"/>
        <rFont val="Cambria"/>
        <family val="1"/>
      </rPr>
      <t xml:space="preserve">2.13.1Communication between browser application and backend shall be secured.
</t>
    </r>
    <r>
      <rPr>
        <sz val="11"/>
        <color rgb="FF000000"/>
        <rFont val="Cambria"/>
        <family val="1"/>
      </rPr>
      <t xml:space="preserve">
3. </t>
    </r>
    <r>
      <rPr>
        <sz val="11"/>
        <color rgb="FF00000A"/>
        <rFont val="Cambria"/>
        <family val="1"/>
      </rPr>
      <t xml:space="preserve">SRS D001020024 -2.17.4 The Application shall establish technical controls to mitigate the potential for compromise to the integrity and confidentiality of health data stored on the product or removable media
</t>
    </r>
    <r>
      <rPr>
        <sz val="11"/>
        <color rgb="FF000000"/>
        <rFont val="Cambria"/>
        <family val="1"/>
        <charset val="1"/>
      </rPr>
      <t xml:space="preserve">
4. SRS D001020097 : 2.25.1 :Application shall have the User Management Screen to configure and manage the users as per the roles.
</t>
    </r>
    <r>
      <rPr>
        <sz val="11"/>
        <color rgb="FF00000A"/>
        <rFont val="Times New Roman"/>
        <family val="1"/>
      </rPr>
      <t xml:space="preserve">
</t>
    </r>
    <r>
      <rPr>
        <sz val="11"/>
        <color rgb="FF000000"/>
        <rFont val="Cambria"/>
        <family val="1"/>
        <charset val="1"/>
      </rPr>
      <t>5. SOM D001020115 - 23. Malware Detection/Protection</t>
    </r>
  </si>
  <si>
    <t xml:space="preserve">1.NSA-SAD-D001020031-6.7-Security
2. SRS D001020023 -  2.13.2 - System shall store patient id in anonymized fashion.
3. SRS D001020097 – 2.1.2.1.1, 2.1.2.4 Invalid email or password, only 3 attempts left.  -- Never create/use credentials with personal details such as date of birth, spouse, or child’s or pet’s name. 
4. SRS 2.17.3 D001020097 generic error  messages  should be displayed  upon validation of credentials to mitigate risk of account harvesting or enumeration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</si>
  <si>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</si>
  <si>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</si>
  <si>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</si>
  <si>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</si>
  <si>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</si>
  <si>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</si>
  <si>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</si>
  <si>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</si>
  <si>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</si>
  <si>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</si>
  <si>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</si>
  <si>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</si>
  <si>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</si>
  <si>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</si>
  <si>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</si>
  <si>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</si>
  <si>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</si>
  <si>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</si>
  <si>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</si>
  <si>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</si>
  <si>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</si>
  <si>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</si>
  <si>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</si>
  <si>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</si>
  <si>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</si>
  <si>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</si>
  <si>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</si>
  <si>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</si>
  <si>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</si>
  <si>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</si>
  <si>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 xml:space="preserve">Initial Release DR1-4 </t>
  </si>
  <si>
    <t>01</t>
  </si>
  <si>
    <t>DR5-7 updates</t>
  </si>
  <si>
    <t>SmartMedic -001-02-A-00-00-00</t>
  </si>
  <si>
    <t xml:space="preserve">&lt;Author Name / Function / Organization&gt; Deepak Sharma / Design Engineering Software
&lt;Author Name / Function / Organization&gt; </t>
  </si>
  <si>
    <t>B-L2(Reference Risk Table and Risk Matrix SmartMedic Document # D001020010)</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</si>
  <si>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</si>
  <si>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r>
      <t xml:space="preserve">1. SOM D001020115 - 23. Malware Detection/Protection
</t>
    </r>
    <r>
      <rPr>
        <sz val="11"/>
        <color rgb="FF000000"/>
        <rFont val="Cambria"/>
        <family val="1"/>
      </rPr>
      <t xml:space="preserve">2. </t>
    </r>
    <r>
      <rPr>
        <sz val="11"/>
        <color rgb="FF00000A"/>
        <rFont val="Cambria"/>
        <family val="1"/>
      </rPr>
      <t xml:space="preserve">SRS D001020024 -2.17.6 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</si>
  <si>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 xml:space="preserve">1,2,3,4 : Tablet SDD : 
D001020040 : 5.2.4.2 (a)  IOT Provisioning </t>
  </si>
  <si>
    <t>1. Tablet SDD : 
D001020040 : 5.2.4.2 (a)  IOT Provisioning 
2. SRS D001020024 - 2.17.8 - Only Stryker made/ authenticated devices should be able to communicate with SM device and tablet.
3. SRS D001020024 - 2.17.8 - Only Stryker made/ authenticated devices should be able to communicate with SM device and tablet.</t>
  </si>
  <si>
    <r>
      <t xml:space="preserve">1. NSA-SDD-D001020110-4.2.2-Azure Cloud Infrastructure
2. SOM D001020115 - 05. Access control policy and management
</t>
    </r>
    <r>
      <rPr>
        <sz val="11"/>
        <color rgb="FFFF0000"/>
        <rFont val="Cambria"/>
        <family val="1"/>
        <charset val="1"/>
      </rPr>
      <t xml:space="preserve">3. </t>
    </r>
    <r>
      <rPr>
        <sz val="11"/>
        <color rgb="FFFF0000"/>
        <rFont val="Cambria"/>
        <family val="1"/>
      </rPr>
      <t>SRS D001020097 –</t>
    </r>
    <r>
      <rPr>
        <sz val="11"/>
        <color rgb="FF000000"/>
        <rFont val="Cambria"/>
        <family val="1"/>
      </rPr>
      <t xml:space="preserve">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4. NSA-SDD-D001020110-4.2.1-Nurse Station Web Services
5. NSA-SAD-D001020031-6.7-Security</t>
    </r>
  </si>
  <si>
    <r>
      <t xml:space="preserve">1. SOM D001020115 - 23. Malware Detection/Protection
2. </t>
    </r>
    <r>
      <rPr>
        <sz val="11"/>
        <color rgb="FF00000A"/>
        <rFont val="Cambria"/>
        <family val="1"/>
        <charset val="1"/>
      </rPr>
      <t xml:space="preserve">SRS D001020024 -2.17.6The Application shall support the use of anti-malware mechanism
</t>
    </r>
    <r>
      <rPr>
        <sz val="11"/>
        <color rgb="FF000000"/>
        <rFont val="Cambria"/>
        <family val="1"/>
        <charset val="1"/>
      </rPr>
      <t xml:space="preserve">
3.SRS </t>
    </r>
    <r>
      <rPr>
        <sz val="11"/>
        <color rgb="FF00000A"/>
        <rFont val="Cambria"/>
        <family val="1"/>
        <charset val="1"/>
      </rPr>
      <t>D001020097 – 2.1.2.1.1 Invalid email or password, only 3 attempts left.</t>
    </r>
    <r>
      <rPr>
        <sz val="11"/>
        <color rgb="FF000000"/>
        <rFont val="Cambria"/>
        <family val="1"/>
        <charset val="1"/>
      </rPr>
      <t xml:space="preserve"> 
4. </t>
    </r>
    <r>
      <rPr>
        <sz val="11"/>
        <color rgb="FF00000A"/>
        <rFont val="Cambria"/>
        <family val="1"/>
      </rPr>
      <t>SRS D001020024 -2.17.2The Application shall provide secure tunnel Communications channel</t>
    </r>
  </si>
  <si>
    <r>
      <t xml:space="preserve">1. 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A"/>
        <rFont val="Cambria"/>
        <family val="1"/>
      </rPr>
      <t xml:space="preserve">
</t>
    </r>
    <r>
      <rPr>
        <sz val="11"/>
        <color rgb="FF000000"/>
        <rFont val="Cambria"/>
        <family val="1"/>
        <charset val="1"/>
      </rPr>
      <t xml:space="preserve">2. SOM D001020115 - 23. Malware Detection/Protection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000000"/>
        <rFont val="Cambria"/>
        <family val="1"/>
        <charset val="1"/>
      </rPr>
      <t xml:space="preserve">
4. SOM D001020115 - 05 Access control policy and management
5.</t>
    </r>
    <r>
      <rPr>
        <sz val="11"/>
        <color rgb="FF00000A"/>
        <rFont val="Cambria"/>
        <family val="1"/>
      </rPr>
      <t>SRS D001020024 -2.17.2The Application shall provide secure tunnel Communications channel</t>
    </r>
  </si>
  <si>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</si>
  <si>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</si>
  <si>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r>
      <t xml:space="preserve">1. </t>
    </r>
    <r>
      <rPr>
        <sz val="11"/>
        <color rgb="FF000000"/>
        <rFont val="Cambria"/>
        <family val="1"/>
      </rPr>
      <t xml:space="preserve">SRS </t>
    </r>
    <r>
      <rPr>
        <sz val="11"/>
        <color rgb="FF00000A"/>
        <rFont val="Cambria"/>
        <family val="1"/>
      </rPr>
      <t xml:space="preserve">D001020097 – 2.1.2.1.1 Invalid email or password, only 3 attempts left.
</t>
    </r>
    <r>
      <rPr>
        <sz val="11"/>
        <color rgb="FF000000"/>
        <rFont val="Cambria"/>
        <family val="1"/>
        <charset val="1"/>
      </rPr>
      <t xml:space="preserve">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6.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</si>
  <si>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t xml:space="preserve">1. Asset should be behind stateful firewall
2. Anti-virus with updated virus definitions
3. System log capturing any abnormal activity identified/reported by the application
4.  Use hardened interfaces (n/w) &amp; secure tunnel communications channel </t>
  </si>
  <si>
    <r>
      <t xml:space="preserve">1. For Tablet: Installation manual
2. SOM D001020115 - 23. Malware Detection/Protection
3.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4.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5. NA</t>
    </r>
  </si>
  <si>
    <r>
      <t xml:space="preserve">1.  For Tablet: Installation manual 
2. SOM D001020115 - 23. Malware Detection/Protection
3.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4.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5. SRS D001020023 -  2.13.2 - System shall store patient id in anonymized fashion.
 </t>
    </r>
  </si>
  <si>
    <t>Stryker IT team responsibility
1. Ignore/Delete any request seeking for personal info from 3rd parties
2. Statefull firewall
3. Disable device network discoverable
4. Maintain access control (read/modify) permission list for any sensitive &amp; unencrypted data if present.</t>
  </si>
  <si>
    <t>Instruction manual for Admin indicating precautions, etc..</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</si>
  <si>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</si>
  <si>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</si>
  <si>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</si>
  <si>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</si>
  <si>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</si>
  <si>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</si>
  <si>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</si>
  <si>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</si>
  <si>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</si>
  <si>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</si>
  <si>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</si>
  <si>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NA
2 - SAD - D001020031 - 2.2.1.7 - Cosmos DB                                                                                          3. - TBD Stryker Azure Admin</t>
  </si>
  <si>
    <t xml:space="preserve">1. SAD - D001020031 - 2.2.1.7 - Cosmos DB
2 - SAD - D001020031 - 2.2.1.7 - Cosmos DB                                                                                        3. -  TBD Stryker Azure Admin </t>
  </si>
  <si>
    <r>
      <t xml:space="preserve">1. </t>
    </r>
    <r>
      <rPr>
        <sz val="11"/>
        <color rgb="FFFF0000"/>
        <rFont val="Cambria"/>
        <family val="1"/>
      </rPr>
      <t xml:space="preserve">SRS D001020097 - 2.1.2.4 - Never create/use credentials with personal details such as date of birth, spouse, or child’s or pet’s name 
</t>
    </r>
    <r>
      <rPr>
        <sz val="11"/>
        <color rgb="FFFF0000"/>
        <rFont val="Cambria"/>
        <family val="1"/>
        <charset val="1"/>
      </rPr>
      <t xml:space="preserve">
</t>
    </r>
    <r>
      <rPr>
        <sz val="11"/>
        <color rgb="FFFF0000"/>
        <rFont val="Cambria"/>
        <family val="1"/>
      </rPr>
      <t xml:space="preserve">2,3. SAD - D001020031 - 2.2.1.7 - Cosmos DB
</t>
    </r>
    <r>
      <rPr>
        <sz val="11"/>
        <color rgb="FFFF0000"/>
        <rFont val="Cambria"/>
        <family val="1"/>
        <charset val="1"/>
      </rPr>
      <t xml:space="preserve">
4. TBD Stryker Azure Admin</t>
    </r>
  </si>
  <si>
    <t>1,2. SAD - D001020031 - 2.2.1.7 - Cosmos DB
3. TBD Stryker Azure Admin</t>
  </si>
  <si>
    <r>
      <rPr>
        <sz val="11"/>
        <color rgb="FFFF0000"/>
        <rFont val="Cambria"/>
        <family val="1"/>
      </rPr>
      <t>1. For Tablet: Installation Manual - System</t>
    </r>
    <r>
      <rPr>
        <sz val="11"/>
        <color rgb="FF00000A"/>
        <rFont val="Cambria"/>
        <family val="1"/>
      </rPr>
      <t xml:space="preserve">
</t>
    </r>
    <r>
      <rPr>
        <sz val="11"/>
        <color rgb="FF000000"/>
        <rFont val="Cambria"/>
        <family val="1"/>
      </rPr>
      <t xml:space="preserve">
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 SRS </t>
    </r>
    <r>
      <rPr>
        <sz val="11"/>
        <color rgb="FF00000A"/>
        <rFont val="Cambria"/>
        <family val="1"/>
      </rPr>
      <t>D001020097 – 2.1.2.1.1 Invalid email or password, only 3 attempts left.</t>
    </r>
    <r>
      <rPr>
        <sz val="11"/>
        <color rgb="FF000000"/>
        <rFont val="Cambria"/>
        <family val="1"/>
      </rPr>
      <t xml:space="preserve"> 
4.SRS </t>
    </r>
    <r>
      <rPr>
        <sz val="11"/>
        <color rgb="FF00000A"/>
        <rFont val="Cambria"/>
        <family val="1"/>
      </rPr>
      <t>D001020097 – 2.1.2.1.1 Invalid email or password, only 3 attempts left.</t>
    </r>
    <r>
      <rPr>
        <sz val="11"/>
        <color rgb="FF000000"/>
        <rFont val="Cambria"/>
        <family val="1"/>
      </rPr>
      <t xml:space="preserve"> 
</t>
    </r>
  </si>
  <si>
    <r>
      <rPr>
        <sz val="11"/>
        <color rgb="FFFF0000"/>
        <rFont val="Cambria"/>
        <family val="1"/>
      </rPr>
      <t>1. For Tablet: Installation manual</t>
    </r>
    <r>
      <rPr>
        <sz val="11"/>
        <color rgb="FF00000A"/>
        <rFont val="Cambria"/>
        <family val="1"/>
      </rPr>
      <t xml:space="preserve">
</t>
    </r>
    <r>
      <rPr>
        <sz val="11"/>
        <color rgb="FF000000"/>
        <rFont val="Cambria"/>
        <family val="1"/>
      </rPr>
      <t xml:space="preserve">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4. NA
5.NA
6.SRS D001020097 – 2.1.2.1.1 Invalid email or password, only 3 attempts left.</t>
    </r>
    <r>
      <rPr>
        <sz val="11"/>
        <color rgb="FF000000"/>
        <rFont val="Cambria"/>
        <family val="1"/>
      </rPr>
      <t xml:space="preserve"> 
                                                                                          SRS D001020023-2.1.2.2 If the Hospital Code is valid, then on pressing the PROCEED button, the application shall be validated by the invisible captcha
SRS D001020097 – 2.1.2.6 The Application shall be validated by using invisible captcha during login.</t>
    </r>
  </si>
  <si>
    <r>
      <t xml:space="preserve">1. Admin User Manual 
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t>
    </r>
  </si>
  <si>
    <r>
      <t>1. For Tablet: Installation manual
2. SOM D001020115 - 23. Malware Detection/Protection
3.</t>
    </r>
    <r>
      <rPr>
        <sz val="11"/>
        <color rgb="FFFF0000"/>
        <rFont val="Cambria"/>
        <family val="1"/>
      </rPr>
      <t>SRS D001020097 –</t>
    </r>
    <r>
      <rPr>
        <sz val="11"/>
        <color rgb="FFFF0000"/>
        <rFont val="Cambria"/>
        <family val="1"/>
        <charset val="1"/>
      </rPr>
      <t xml:space="preserve">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4.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5.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</si>
  <si>
    <t xml:space="preserve">1. Installation Manual -System,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4. SRS D001020097 - 2.23.2 - Audit logs 
5. SRS D001020097 - 2.23.2 - Audit logs 
6.SRS D001020097 – 2.1.2.1.1 Invalid email or password, only 3 attempts left. </t>
  </si>
  <si>
    <t xml:space="preserve">1. SRS D001020097 – 2.1.2.1.1, 2.1.2.4 Invalid email or password, only 3 attempts left.  -- Never create/use credentials with personal details such as date of birth, spouse, or child’s or pet’s name.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4. SRS D001020097 - 2.23.2 - Audit logs 
5. SRS D001020097 - 2.23.2 - Audit logs                                                                                     
                                                                                           6. SRS D001020097 – 2.1.2.1.1, 2.1.2.4 Invalid email or password, only 3 attempts left.  -- Never create/use credentials with personal details such as date of birth, spouse, or child’s or pet’s name. </t>
  </si>
  <si>
    <t>1. SOM D001020115 - 23. Malware Detection/Protection
2. SRS D001020024 -2.17.6The Application shall support the use of anti-malware mechanism
3. SRS D001020097 - 2.23.2 - Audit logs                                                                                      
4. SRS D001020024 -2.17.2The Application shall provide secure tunnel Communications channel</t>
  </si>
  <si>
    <t xml:space="preserve">1. SRS D001020023-2.1.2.2 If the Hospital Code is valid, then on pressing the PROCEED button, the application shall be validated by the invisible captcha
SRS D001020097 – 2.1.2.6 The Application shall be validated by using invisible captcha during login.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4. NA
3. SRS D001020097 - 2.23.2 - Audit logs
6.SRS D001020097 – 2.1.2.1.1 Invalid email or password, only 3 attempts left.           
6. SRS D001020023-2.1.2.2 If the Hospital Code is valid, then on pressing the PROCEED button, the application shall be validated by the invisible captcha
6. SRS D001020097 – 2.1.2.6 The Application shall be validated by using invisible captcha during login.  </t>
  </si>
  <si>
    <t>1. SRS D001020097 - 2.1.2.4 - Never create/use credentials with personal details such as date of birth, spouse, or child’s or pet’s name 
2,3. SAD - D001020031 - 2.2.1.7 - Cosmos DB
3. TBD - Stryker Azure Admin</t>
  </si>
  <si>
    <r>
      <rPr>
        <sz val="11"/>
        <color rgb="FFFF0000"/>
        <rFont val="Cambria"/>
        <family val="1"/>
      </rPr>
      <t>1. Instruction Manual
2. SOM D001020115 - 23. Malware Detection/Protection</t>
    </r>
    <r>
      <rPr>
        <sz val="11"/>
        <color rgb="FF00000A"/>
        <rFont val="Cambria"/>
        <family val="1"/>
      </rPr>
      <t xml:space="preserve">
3</t>
    </r>
    <r>
      <rPr>
        <sz val="11"/>
        <color rgb="FF000000"/>
        <rFont val="Cambria"/>
        <family val="1"/>
      </rPr>
      <t xml:space="preserve">.SRS </t>
    </r>
    <r>
      <rPr>
        <sz val="11"/>
        <color rgb="FF00000A"/>
        <rFont val="Cambria"/>
        <family val="1"/>
      </rPr>
      <t>D001020097 –2.1.7.2
The application shall allow to upgrade the tablet application.
4</t>
    </r>
    <r>
      <rPr>
        <sz val="11"/>
        <color rgb="FFFF0000"/>
        <rFont val="Cambria"/>
        <family val="1"/>
      </rPr>
      <t>. SRS D001020097 - 2.1.2.4 - Never create/use credentials with personal details such as date of birth, spouse, or child’s or pet’s name</t>
    </r>
    <r>
      <rPr>
        <sz val="11"/>
        <color rgb="FF000000"/>
        <rFont val="Cambria"/>
        <family val="1"/>
      </rPr>
      <t xml:space="preserve">
5.SOM D001020115 - 23. Malware Detection/Protection</t>
    </r>
  </si>
  <si>
    <t>TBD: Stryker Azure Admin:
Cloud Installation Manual &amp; Usage/Configure Manual</t>
  </si>
  <si>
    <t>TBD Stryker Azure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</si>
</sst>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font>
      <sz val="11"/>
      <color rgb="FF000000"/>
      <name val="Calibri"/>
      <family val="2"/>
      <charset val="1"/>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charset val="1"/>
    </font>
    <font>
      <sz val="11"/>
      <color rgb="FF00000A"/>
      <name val="Cambria"/>
      <family val="1"/>
    </font>
    <font>
      <sz val="11"/>
      <name val="Cambria"/>
      <family val="1"/>
      <charset val="1"/>
    </font>
    <font>
      <sz val="11"/>
      <color rgb="FF000000"/>
      <name val="Cambria"/>
      <family val="1"/>
    </font>
    <font>
      <sz val="11"/>
      <color rgb="FF00000A"/>
      <name val="Times New Roman"/>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sz val="11"/>
      <color rgb="FFFF0000"/>
      <name val="Cambria"/>
      <family val="1"/>
    </font>
    <font>
      <sz val="11"/>
      <color rgb="FFFF0000"/>
      <name val="Times New Roman"/>
      <family val="1"/>
    </font>
    <font>
      <sz val="11"/>
      <color rgb="FFFF0000"/>
      <name val="Cambria"/>
      <family val="1"/>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s>
  <fills count="28">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5" tint="0.39997558519241921"/>
        <bgColor indexed="64"/>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1" fillId="0" borderId="0"/>
    <xf numFmtId="0" fontId="1" fillId="0" borderId="0"/>
  </cellStyleXfs>
  <cellXfs count="301">
    <xf numFmtId="0" fontId="0" fillId="0" borderId="0" xfId="0"/>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wrapText="1"/>
    </xf>
    <xf numFmtId="0" fontId="4" fillId="0" borderId="3" xfId="0" applyFont="1" applyBorder="1" applyAlignment="1">
      <alignment horizontal="left" vertical="top" wrapText="1"/>
    </xf>
    <xf numFmtId="0" fontId="3" fillId="2" borderId="4" xfId="0" applyFont="1" applyFill="1" applyBorder="1" applyAlignment="1">
      <alignment vertical="top"/>
    </xf>
    <xf numFmtId="0" fontId="3" fillId="2" borderId="5" xfId="0" applyFont="1" applyFill="1" applyBorder="1" applyAlignment="1">
      <alignment vertical="top" wrapText="1"/>
    </xf>
    <xf numFmtId="0" fontId="5" fillId="3" borderId="3" xfId="0" applyFont="1" applyFill="1" applyBorder="1" applyAlignment="1">
      <alignment horizontal="left" vertical="top"/>
    </xf>
    <xf numFmtId="0" fontId="4" fillId="2" borderId="2" xfId="0" applyFont="1" applyFill="1" applyBorder="1" applyAlignment="1">
      <alignment vertical="top" wrapText="1"/>
    </xf>
    <xf numFmtId="0" fontId="5" fillId="3" borderId="5"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4" xfId="0" applyFont="1" applyFill="1" applyBorder="1" applyAlignment="1">
      <alignment horizontal="center" vertical="top" wrapText="1"/>
    </xf>
    <xf numFmtId="0" fontId="4"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vertical="top" wrapText="1"/>
    </xf>
    <xf numFmtId="0" fontId="4" fillId="0" borderId="1"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4" borderId="9" xfId="0" applyFont="1" applyFill="1" applyBorder="1" applyAlignment="1">
      <alignment horizontal="center" vertical="center" wrapText="1"/>
    </xf>
    <xf numFmtId="0" fontId="7" fillId="0" borderId="0" xfId="0" applyFont="1"/>
    <xf numFmtId="0" fontId="7" fillId="0" borderId="0" xfId="0" applyFont="1" applyAlignment="1">
      <alignment wrapText="1"/>
    </xf>
    <xf numFmtId="0" fontId="0" fillId="0" borderId="0" xfId="0" applyFont="1" applyAlignment="1">
      <alignment vertical="top"/>
    </xf>
    <xf numFmtId="0" fontId="0" fillId="0" borderId="0" xfId="0" applyFont="1" applyAlignment="1">
      <alignment vertical="top" wrapText="1"/>
    </xf>
    <xf numFmtId="0" fontId="4" fillId="0" borderId="0" xfId="0" applyFont="1" applyAlignment="1">
      <alignment vertical="top"/>
    </xf>
    <xf numFmtId="0" fontId="5" fillId="5" borderId="5" xfId="0" applyFont="1" applyFill="1" applyBorder="1" applyAlignment="1">
      <alignment vertical="top"/>
    </xf>
    <xf numFmtId="0" fontId="5" fillId="5" borderId="6" xfId="0" applyFont="1" applyFill="1" applyBorder="1" applyAlignment="1">
      <alignment horizontal="center" vertical="top" wrapText="1"/>
    </xf>
    <xf numFmtId="0" fontId="5" fillId="5" borderId="6" xfId="0" applyFont="1" applyFill="1" applyBorder="1" applyAlignment="1">
      <alignment horizontal="center" vertical="top"/>
    </xf>
    <xf numFmtId="0" fontId="4" fillId="0" borderId="5" xfId="0" applyFont="1" applyBorder="1" applyAlignment="1">
      <alignment vertical="top"/>
    </xf>
    <xf numFmtId="0" fontId="4" fillId="0" borderId="6" xfId="0" applyFont="1" applyBorder="1" applyAlignment="1">
      <alignment vertical="top" wrapText="1"/>
    </xf>
    <xf numFmtId="0" fontId="4" fillId="0" borderId="2" xfId="0" applyFont="1" applyBorder="1" applyAlignment="1">
      <alignmen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9" xfId="0" applyFont="1" applyBorder="1" applyAlignment="1">
      <alignment vertical="top" wrapText="1"/>
    </xf>
    <xf numFmtId="0" fontId="4" fillId="0" borderId="7" xfId="0" applyFont="1" applyBorder="1" applyAlignment="1">
      <alignment vertical="top"/>
    </xf>
    <xf numFmtId="0" fontId="4" fillId="4" borderId="9" xfId="0" applyFont="1" applyFill="1" applyBorder="1" applyAlignment="1">
      <alignment vertical="top"/>
    </xf>
    <xf numFmtId="0" fontId="4" fillId="4" borderId="2" xfId="0" applyFont="1" applyFill="1" applyBorder="1" applyAlignment="1">
      <alignment vertical="top"/>
    </xf>
    <xf numFmtId="0" fontId="4" fillId="6" borderId="2" xfId="0" applyFont="1" applyFill="1" applyBorder="1" applyAlignment="1">
      <alignment horizontal="left" vertical="top"/>
    </xf>
    <xf numFmtId="0" fontId="4" fillId="6" borderId="3" xfId="0" applyFont="1" applyFill="1" applyBorder="1" applyAlignment="1">
      <alignment horizontal="left" vertical="top" wrapText="1"/>
    </xf>
    <xf numFmtId="0" fontId="4" fillId="6" borderId="3" xfId="0" applyFont="1" applyFill="1" applyBorder="1" applyAlignment="1">
      <alignment horizontal="left" vertical="top"/>
    </xf>
    <xf numFmtId="0" fontId="0" fillId="0" borderId="0" xfId="0" applyFont="1" applyAlignment="1">
      <alignment horizontal="center" vertical="top"/>
    </xf>
    <xf numFmtId="0" fontId="4" fillId="0" borderId="0" xfId="0" applyFont="1" applyAlignment="1">
      <alignment horizontal="center" vertical="top"/>
    </xf>
    <xf numFmtId="0" fontId="5" fillId="5" borderId="4" xfId="0" applyFont="1" applyFill="1" applyBorder="1" applyAlignment="1">
      <alignment horizontal="center" vertical="top" wrapText="1"/>
    </xf>
    <xf numFmtId="0" fontId="4" fillId="0" borderId="11" xfId="0" applyFont="1" applyBorder="1" applyAlignment="1">
      <alignment horizontal="center" vertical="top" wrapText="1"/>
    </xf>
    <xf numFmtId="0" fontId="4" fillId="0" borderId="3" xfId="2" applyFont="1" applyBorder="1" applyAlignment="1">
      <alignment vertical="top" wrapText="1"/>
    </xf>
    <xf numFmtId="0" fontId="4" fillId="0" borderId="3" xfId="0" applyFont="1" applyBorder="1" applyAlignment="1">
      <alignment horizontal="center" vertical="top"/>
    </xf>
    <xf numFmtId="0" fontId="4" fillId="0" borderId="1" xfId="0" applyFont="1" applyBorder="1" applyAlignment="1">
      <alignment vertical="top"/>
    </xf>
    <xf numFmtId="0" fontId="6" fillId="0" borderId="0" xfId="0" applyFont="1" applyAlignment="1">
      <alignment vertical="top"/>
    </xf>
    <xf numFmtId="0" fontId="4" fillId="4" borderId="11" xfId="0" applyFont="1" applyFill="1" applyBorder="1" applyAlignment="1">
      <alignment horizontal="center" vertical="top" wrapText="1"/>
    </xf>
    <xf numFmtId="0" fontId="4" fillId="4" borderId="3" xfId="0" applyFont="1" applyFill="1" applyBorder="1" applyAlignment="1">
      <alignment vertical="top" wrapText="1"/>
    </xf>
    <xf numFmtId="0" fontId="4" fillId="4" borderId="7" xfId="0" applyFont="1" applyFill="1" applyBorder="1" applyAlignment="1">
      <alignment horizontal="center" vertical="top" wrapText="1"/>
    </xf>
    <xf numFmtId="0" fontId="4" fillId="0" borderId="7" xfId="0" applyFont="1" applyBorder="1" applyAlignment="1">
      <alignment horizontal="center" vertical="top"/>
    </xf>
    <xf numFmtId="0" fontId="4"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Font="1"/>
    <xf numFmtId="0" fontId="4" fillId="0" borderId="0" xfId="0" applyFont="1" applyAlignment="1">
      <alignment horizontal="center" vertical="center"/>
    </xf>
    <xf numFmtId="0" fontId="4" fillId="0" borderId="0" xfId="0" applyFont="1"/>
    <xf numFmtId="0" fontId="4" fillId="0" borderId="0" xfId="0" applyFont="1" applyAlignment="1">
      <alignment wrapText="1"/>
    </xf>
    <xf numFmtId="0" fontId="3" fillId="7" borderId="7" xfId="0" applyFont="1" applyFill="1" applyBorder="1" applyAlignment="1">
      <alignment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vertical="center" wrapText="1"/>
    </xf>
    <xf numFmtId="0" fontId="5" fillId="10" borderId="3" xfId="0" applyFont="1" applyFill="1" applyBorder="1" applyAlignment="1">
      <alignment horizontal="center" vertical="center" wrapText="1"/>
    </xf>
    <xf numFmtId="0" fontId="5" fillId="7" borderId="6" xfId="0" applyFont="1" applyFill="1" applyBorder="1" applyAlignment="1">
      <alignment vertical="center" wrapText="1"/>
    </xf>
    <xf numFmtId="0" fontId="8" fillId="7" borderId="13"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9" fillId="8" borderId="15" xfId="0" applyFont="1" applyFill="1" applyBorder="1" applyAlignment="1">
      <alignment horizontal="center" vertical="center" textRotation="90"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9" fillId="10" borderId="9" xfId="0" applyFont="1" applyFill="1" applyBorder="1" applyAlignment="1">
      <alignment horizontal="center" vertical="center" textRotation="90" wrapText="1"/>
    </xf>
    <xf numFmtId="0" fontId="5" fillId="10" borderId="8" xfId="0" applyFont="1" applyFill="1" applyBorder="1" applyAlignment="1">
      <alignment horizontal="center" vertical="center" wrapText="1"/>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4" fillId="11" borderId="6" xfId="0" applyFont="1" applyFill="1" applyBorder="1" applyAlignment="1">
      <alignment vertical="top" wrapText="1"/>
    </xf>
    <xf numFmtId="0" fontId="4" fillId="0" borderId="3" xfId="0" applyFont="1" applyBorder="1" applyAlignment="1">
      <alignment horizontal="center" vertical="center"/>
    </xf>
    <xf numFmtId="0" fontId="4" fillId="11" borderId="3" xfId="0" applyFont="1" applyFill="1" applyBorder="1" applyAlignment="1">
      <alignment vertical="top" wrapText="1"/>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wrapText="1"/>
    </xf>
    <xf numFmtId="164" fontId="12" fillId="11" borderId="3" xfId="0" applyNumberFormat="1" applyFont="1" applyFill="1" applyBorder="1" applyAlignment="1">
      <alignment horizontal="center" vertical="center" wrapText="1"/>
    </xf>
    <xf numFmtId="2" fontId="12" fillId="11" borderId="3"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15" fillId="0" borderId="3" xfId="0" applyFont="1" applyBorder="1" applyAlignment="1">
      <alignment vertical="top" wrapText="1"/>
    </xf>
    <xf numFmtId="0" fontId="4" fillId="11" borderId="3" xfId="0" applyFont="1" applyFill="1" applyBorder="1" applyAlignment="1">
      <alignment vertical="top" wrapText="1"/>
    </xf>
    <xf numFmtId="0" fontId="4" fillId="12" borderId="3" xfId="0" applyFont="1" applyFill="1" applyBorder="1" applyAlignment="1">
      <alignment horizontal="center" vertical="center"/>
    </xf>
    <xf numFmtId="164" fontId="4" fillId="11" borderId="3" xfId="0" applyNumberFormat="1" applyFont="1" applyFill="1" applyBorder="1" applyAlignment="1">
      <alignment horizontal="center" vertical="center" wrapText="1"/>
    </xf>
    <xf numFmtId="0" fontId="4" fillId="0" borderId="3" xfId="0" applyFont="1" applyBorder="1" applyAlignment="1">
      <alignment horizontal="center" vertical="top" wrapText="1"/>
    </xf>
    <xf numFmtId="0" fontId="4" fillId="4" borderId="3"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4" fillId="4" borderId="6" xfId="0" applyFont="1" applyFill="1" applyBorder="1" applyAlignment="1">
      <alignment horizontal="center" vertical="top"/>
    </xf>
    <xf numFmtId="0" fontId="16" fillId="0" borderId="7" xfId="0" applyFont="1" applyBorder="1" applyAlignment="1">
      <alignment vertical="top" wrapText="1"/>
    </xf>
    <xf numFmtId="0" fontId="16" fillId="0" borderId="3" xfId="0" applyFont="1" applyBorder="1" applyAlignment="1">
      <alignment vertical="top" wrapText="1"/>
    </xf>
    <xf numFmtId="0" fontId="4" fillId="0" borderId="2" xfId="0" applyFont="1" applyBorder="1" applyAlignment="1">
      <alignment horizontal="center" vertical="center" wrapText="1"/>
    </xf>
    <xf numFmtId="0" fontId="16" fillId="0" borderId="3" xfId="0" applyFont="1" applyBorder="1" applyAlignment="1">
      <alignment vertical="top" wrapText="1"/>
    </xf>
    <xf numFmtId="0" fontId="15" fillId="0" borderId="3" xfId="0" applyFont="1" applyBorder="1" applyAlignment="1">
      <alignment vertical="top"/>
    </xf>
    <xf numFmtId="0" fontId="4" fillId="11" borderId="3"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0" borderId="3" xfId="0" applyFont="1" applyBorder="1" applyAlignment="1">
      <alignment vertical="top" wrapText="1"/>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0" fillId="0" borderId="0" xfId="0" applyFont="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top" wrapText="1"/>
    </xf>
    <xf numFmtId="0" fontId="15" fillId="0" borderId="3" xfId="0" applyFont="1" applyBorder="1" applyAlignment="1">
      <alignment vertical="top"/>
    </xf>
    <xf numFmtId="0" fontId="4" fillId="0" borderId="3" xfId="0" applyFont="1" applyBorder="1" applyAlignment="1">
      <alignment vertical="top"/>
    </xf>
    <xf numFmtId="0" fontId="4" fillId="0" borderId="3" xfId="0" applyFont="1" applyBorder="1" applyAlignment="1">
      <alignment horizontal="center" vertical="center" wrapText="1"/>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0" fillId="0" borderId="0" xfId="0" applyFont="1"/>
    <xf numFmtId="0" fontId="0" fillId="0" borderId="0" xfId="0"/>
    <xf numFmtId="0" fontId="4" fillId="0" borderId="6" xfId="0" applyFont="1" applyBorder="1" applyAlignment="1">
      <alignment horizontal="center" vertical="top"/>
    </xf>
    <xf numFmtId="0" fontId="4" fillId="4" borderId="7" xfId="0" applyFont="1" applyFill="1" applyBorder="1" applyAlignment="1">
      <alignment horizontal="center" vertical="top"/>
    </xf>
    <xf numFmtId="0" fontId="4" fillId="11" borderId="7" xfId="0" applyFont="1" applyFill="1" applyBorder="1" applyAlignment="1">
      <alignment vertical="top" wrapText="1"/>
    </xf>
    <xf numFmtId="0" fontId="4" fillId="12" borderId="7" xfId="0" applyFont="1" applyFill="1" applyBorder="1" applyAlignment="1">
      <alignment horizontal="center" vertical="center"/>
    </xf>
    <xf numFmtId="0" fontId="4" fillId="4" borderId="7" xfId="0" applyFont="1" applyFill="1" applyBorder="1" applyAlignment="1">
      <alignment horizontal="center" vertical="center" wrapText="1"/>
    </xf>
    <xf numFmtId="164" fontId="4" fillId="11" borderId="7" xfId="0" applyNumberFormat="1"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0" fontId="4" fillId="0" borderId="7" xfId="0" applyFont="1" applyBorder="1" applyAlignment="1">
      <alignment horizontal="center" vertical="top" wrapText="1"/>
    </xf>
    <xf numFmtId="0" fontId="15" fillId="0" borderId="7" xfId="0" applyFont="1" applyBorder="1" applyAlignment="1">
      <alignment vertical="top"/>
    </xf>
    <xf numFmtId="0" fontId="4" fillId="4" borderId="7"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4" fillId="4" borderId="3" xfId="0" applyFont="1" applyFill="1" applyBorder="1" applyAlignment="1">
      <alignment horizontal="center" vertical="top"/>
    </xf>
    <xf numFmtId="164" fontId="12" fillId="4" borderId="3" xfId="0" applyNumberFormat="1" applyFont="1" applyFill="1" applyBorder="1" applyAlignment="1">
      <alignment horizontal="center" vertical="center"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5" fillId="7" borderId="6" xfId="0" applyFont="1" applyFill="1" applyBorder="1" applyAlignment="1">
      <alignment vertical="center" wrapText="1"/>
    </xf>
    <xf numFmtId="0" fontId="19" fillId="7" borderId="13" xfId="0" applyFont="1" applyFill="1" applyBorder="1" applyAlignment="1">
      <alignment vertical="center" wrapText="1"/>
    </xf>
    <xf numFmtId="0" fontId="15"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5"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5" fillId="7" borderId="9"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8" xfId="0" applyFont="1" applyFill="1" applyBorder="1" applyAlignment="1">
      <alignment horizontal="center" vertical="center" wrapText="1"/>
    </xf>
    <xf numFmtId="0" fontId="4" fillId="0" borderId="6" xfId="0" applyFont="1" applyBorder="1" applyAlignment="1">
      <alignment vertical="top"/>
    </xf>
    <xf numFmtId="0" fontId="4" fillId="0" borderId="3" xfId="0" applyFont="1" applyBorder="1" applyAlignment="1">
      <alignment horizontal="center" vertical="top"/>
    </xf>
    <xf numFmtId="0" fontId="4" fillId="0" borderId="3" xfId="0" applyFont="1" applyBorder="1" applyAlignment="1">
      <alignment vertical="top"/>
    </xf>
    <xf numFmtId="0" fontId="4" fillId="12" borderId="3" xfId="0" applyFont="1" applyFill="1" applyBorder="1" applyAlignment="1">
      <alignment vertical="top"/>
    </xf>
    <xf numFmtId="0" fontId="4" fillId="0" borderId="3" xfId="0" applyFont="1" applyBorder="1" applyAlignment="1">
      <alignment vertical="top" wrapText="1"/>
    </xf>
    <xf numFmtId="0" fontId="3"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5" fillId="11"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3"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4" fillId="11" borderId="20" xfId="0" applyFont="1" applyFill="1" applyBorder="1" applyAlignment="1">
      <alignment horizontal="center" vertical="center"/>
    </xf>
    <xf numFmtId="2" fontId="4" fillId="0" borderId="20" xfId="0" applyNumberFormat="1" applyFont="1" applyBorder="1" applyAlignment="1">
      <alignment horizontal="center" vertical="center"/>
    </xf>
    <xf numFmtId="0" fontId="4" fillId="0" borderId="21" xfId="0" applyFont="1" applyBorder="1"/>
    <xf numFmtId="0" fontId="4" fillId="0" borderId="22" xfId="0" applyFont="1" applyBorder="1"/>
    <xf numFmtId="0" fontId="4" fillId="0" borderId="0" xfId="0" applyFont="1" applyBorder="1" applyAlignment="1">
      <alignment horizontal="center" vertical="center"/>
    </xf>
    <xf numFmtId="0" fontId="4" fillId="0" borderId="23" xfId="0" applyFont="1" applyBorder="1"/>
    <xf numFmtId="0" fontId="4" fillId="0" borderId="24" xfId="0" applyFont="1" applyBorder="1"/>
    <xf numFmtId="0" fontId="4" fillId="0" borderId="25" xfId="0" applyFont="1" applyBorder="1"/>
    <xf numFmtId="0" fontId="4" fillId="0" borderId="24" xfId="0" applyFont="1" applyBorder="1" applyAlignment="1">
      <alignment horizontal="center" vertical="center"/>
    </xf>
    <xf numFmtId="0" fontId="4" fillId="16" borderId="0" xfId="0" applyFont="1" applyFill="1" applyBorder="1" applyAlignment="1">
      <alignment horizontal="center" vertical="center"/>
    </xf>
    <xf numFmtId="2" fontId="4" fillId="0" borderId="0" xfId="0" applyNumberFormat="1" applyFont="1" applyBorder="1" applyAlignment="1">
      <alignment horizontal="center" vertical="center"/>
    </xf>
    <xf numFmtId="0" fontId="4" fillId="0" borderId="14" xfId="0" applyFont="1" applyBorder="1"/>
    <xf numFmtId="0" fontId="4" fillId="0" borderId="26" xfId="0" applyFont="1" applyBorder="1"/>
    <xf numFmtId="0" fontId="4" fillId="0" borderId="27" xfId="0" applyFont="1" applyBorder="1"/>
    <xf numFmtId="0" fontId="4" fillId="17" borderId="0" xfId="0" applyFont="1" applyFill="1" applyBorder="1" applyAlignment="1">
      <alignment horizontal="center" vertical="center"/>
    </xf>
    <xf numFmtId="0" fontId="4" fillId="18" borderId="0" xfId="0" applyFont="1" applyFill="1" applyBorder="1" applyAlignment="1">
      <alignment horizontal="center" vertical="center"/>
    </xf>
    <xf numFmtId="0" fontId="4" fillId="0" borderId="28" xfId="0" applyFont="1" applyBorder="1"/>
    <xf numFmtId="0" fontId="4" fillId="0" borderId="0" xfId="0" applyFont="1" applyBorder="1"/>
    <xf numFmtId="0" fontId="4" fillId="0" borderId="27" xfId="0" applyFont="1" applyBorder="1" applyAlignment="1">
      <alignment horizontal="center" vertical="center"/>
    </xf>
    <xf numFmtId="0" fontId="22" fillId="19" borderId="0" xfId="0" applyFont="1" applyFill="1" applyBorder="1" applyAlignment="1">
      <alignment horizontal="center" vertical="center"/>
    </xf>
    <xf numFmtId="0" fontId="4" fillId="0" borderId="29" xfId="0" applyFont="1" applyBorder="1"/>
    <xf numFmtId="0" fontId="4" fillId="0" borderId="30" xfId="0" applyFont="1" applyBorder="1"/>
    <xf numFmtId="0" fontId="4" fillId="0" borderId="31" xfId="0" applyFont="1" applyBorder="1" applyAlignment="1">
      <alignment horizontal="center" vertical="center"/>
    </xf>
    <xf numFmtId="0" fontId="4" fillId="0" borderId="32" xfId="0" applyFont="1" applyBorder="1"/>
    <xf numFmtId="0" fontId="4" fillId="0" borderId="33" xfId="0" applyFont="1" applyBorder="1"/>
    <xf numFmtId="0" fontId="4" fillId="0" borderId="34" xfId="0" applyFont="1" applyBorder="1" applyAlignment="1">
      <alignment horizontal="center" vertical="center"/>
    </xf>
    <xf numFmtId="0" fontId="4" fillId="0" borderId="35" xfId="0" applyFont="1" applyBorder="1"/>
    <xf numFmtId="0" fontId="4" fillId="0" borderId="31" xfId="0" applyFont="1" applyBorder="1"/>
    <xf numFmtId="0" fontId="20" fillId="20" borderId="36" xfId="0" applyFont="1" applyFill="1" applyBorder="1"/>
    <xf numFmtId="0" fontId="4" fillId="0" borderId="37" xfId="0" applyFont="1" applyBorder="1"/>
    <xf numFmtId="0" fontId="4" fillId="0" borderId="20" xfId="0" applyFont="1" applyBorder="1"/>
    <xf numFmtId="0" fontId="4" fillId="0" borderId="38" xfId="0" applyFont="1" applyBorder="1"/>
    <xf numFmtId="0" fontId="4" fillId="0" borderId="22" xfId="0" applyFont="1" applyBorder="1" applyAlignment="1">
      <alignment horizontal="center" vertical="center"/>
    </xf>
    <xf numFmtId="0" fontId="23" fillId="0" borderId="0" xfId="0" applyFont="1" applyBorder="1"/>
    <xf numFmtId="0" fontId="4" fillId="0" borderId="14" xfId="0" applyFont="1" applyBorder="1" applyAlignment="1">
      <alignment horizontal="center" vertical="center"/>
    </xf>
    <xf numFmtId="0" fontId="4" fillId="0" borderId="30" xfId="0" applyFont="1" applyBorder="1" applyAlignment="1">
      <alignment horizontal="center" vertical="center"/>
    </xf>
    <xf numFmtId="0" fontId="25" fillId="0" borderId="16" xfId="0" applyFont="1" applyBorder="1" applyAlignment="1">
      <alignment horizontal="center" vertical="center"/>
    </xf>
    <xf numFmtId="0" fontId="4" fillId="0" borderId="16" xfId="0" applyFont="1" applyBorder="1" applyAlignment="1">
      <alignment horizontal="center" vertical="center"/>
    </xf>
    <xf numFmtId="0" fontId="25" fillId="0" borderId="40" xfId="0" applyFont="1" applyBorder="1" applyAlignment="1">
      <alignment horizontal="center" vertical="center"/>
    </xf>
    <xf numFmtId="0" fontId="7" fillId="0" borderId="17" xfId="0" applyFont="1" applyBorder="1" applyAlignment="1">
      <alignment horizontal="center" vertical="center"/>
    </xf>
    <xf numFmtId="0" fontId="7" fillId="0" borderId="0" xfId="0" applyFont="1" applyAlignment="1"/>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26" xfId="0" applyFont="1" applyFill="1" applyBorder="1" applyAlignment="1">
      <alignment horizontal="center" vertical="top" wrapText="1"/>
    </xf>
    <xf numFmtId="0" fontId="5" fillId="21" borderId="5" xfId="0" applyFont="1" applyFill="1" applyBorder="1" applyAlignment="1">
      <alignment horizontal="center" vertical="top" wrapText="1"/>
    </xf>
    <xf numFmtId="0" fontId="5" fillId="21" borderId="14" xfId="0" applyFont="1" applyFill="1" applyBorder="1" applyAlignment="1">
      <alignment horizontal="center" vertical="top" wrapText="1"/>
    </xf>
    <xf numFmtId="0" fontId="5" fillId="21" borderId="4"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1" xfId="0" applyFont="1" applyBorder="1" applyAlignment="1">
      <alignment horizontal="center" vertical="top"/>
    </xf>
    <xf numFmtId="0" fontId="15" fillId="0" borderId="3" xfId="0" applyFont="1" applyBorder="1" applyAlignment="1">
      <alignment horizontal="left"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left" vertical="top" wrapText="1"/>
    </xf>
    <xf numFmtId="0" fontId="4" fillId="0" borderId="9" xfId="0"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center" vertical="top"/>
    </xf>
    <xf numFmtId="0" fontId="4" fillId="0" borderId="9" xfId="0" applyFont="1" applyBorder="1" applyAlignment="1">
      <alignment horizontal="center" vertical="top" wrapText="1"/>
    </xf>
    <xf numFmtId="0" fontId="15" fillId="0" borderId="7" xfId="0" applyFont="1" applyBorder="1" applyAlignment="1">
      <alignment horizontal="left" vertical="top" wrapText="1"/>
    </xf>
    <xf numFmtId="0" fontId="4"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Border="1" applyAlignment="1">
      <alignment horizontal="center" vertical="center" wrapText="1"/>
    </xf>
    <xf numFmtId="0" fontId="35" fillId="0" borderId="0" xfId="0" applyFont="1" applyBorder="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0" borderId="3" xfId="0" applyFont="1" applyBorder="1" applyAlignment="1">
      <alignment vertical="top" wrapText="1"/>
    </xf>
    <xf numFmtId="0" fontId="39" fillId="0" borderId="3" xfId="0" applyFont="1" applyBorder="1" applyAlignment="1">
      <alignment vertical="top" wrapText="1"/>
    </xf>
    <xf numFmtId="0" fontId="37" fillId="0" borderId="7" xfId="0" applyFont="1" applyBorder="1" applyAlignment="1">
      <alignment vertical="top" wrapText="1"/>
    </xf>
    <xf numFmtId="0" fontId="39" fillId="0" borderId="7" xfId="0" applyFont="1" applyBorder="1" applyAlignment="1">
      <alignment vertical="top" wrapText="1"/>
    </xf>
    <xf numFmtId="0" fontId="37" fillId="0" borderId="7" xfId="0" applyFont="1" applyFill="1" applyBorder="1" applyAlignment="1">
      <alignment vertical="top" wrapText="1"/>
    </xf>
    <xf numFmtId="0" fontId="39" fillId="0" borderId="7" xfId="0" applyFont="1" applyFill="1" applyBorder="1" applyAlignment="1">
      <alignment vertical="top" wrapText="1"/>
    </xf>
    <xf numFmtId="0" fontId="16" fillId="23" borderId="3" xfId="0" applyFont="1" applyFill="1" applyBorder="1" applyAlignment="1">
      <alignment vertical="top" wrapText="1"/>
    </xf>
    <xf numFmtId="0" fontId="4" fillId="0" borderId="3" xfId="0" applyFont="1" applyFill="1" applyBorder="1" applyAlignment="1">
      <alignment vertical="top" wrapText="1"/>
    </xf>
    <xf numFmtId="0" fontId="16" fillId="0" borderId="3" xfId="0" applyFont="1" applyFill="1" applyBorder="1" applyAlignment="1">
      <alignment vertical="top" wrapText="1"/>
    </xf>
    <xf numFmtId="0" fontId="4" fillId="0" borderId="7" xfId="0" applyFont="1" applyFill="1" applyBorder="1" applyAlignment="1">
      <alignment vertical="top" wrapText="1"/>
    </xf>
    <xf numFmtId="0" fontId="37" fillId="0" borderId="3" xfId="0" applyFont="1" applyFill="1" applyBorder="1" applyAlignment="1">
      <alignment vertical="top" wrapText="1"/>
    </xf>
    <xf numFmtId="0" fontId="40" fillId="24" borderId="3" xfId="3" applyFont="1" applyFill="1" applyBorder="1" applyAlignment="1">
      <alignment horizontal="left" vertical="center" wrapText="1"/>
    </xf>
    <xf numFmtId="0" fontId="40" fillId="24" borderId="3" xfId="3" applyFont="1" applyFill="1" applyBorder="1" applyAlignment="1">
      <alignment horizontal="center" vertical="center" wrapText="1"/>
    </xf>
    <xf numFmtId="0" fontId="40" fillId="25" borderId="3" xfId="3" applyFont="1" applyFill="1" applyBorder="1" applyAlignment="1">
      <alignment horizontal="left" vertical="center" wrapText="1"/>
    </xf>
    <xf numFmtId="0" fontId="1" fillId="0" borderId="3" xfId="3" applyBorder="1" applyAlignment="1">
      <alignment horizontal="center" vertical="center" wrapText="1"/>
    </xf>
    <xf numFmtId="0" fontId="42" fillId="0" borderId="0" xfId="3" applyFont="1"/>
    <xf numFmtId="0" fontId="43" fillId="0" borderId="0" xfId="3" applyFont="1"/>
    <xf numFmtId="0" fontId="1" fillId="0" borderId="0" xfId="3"/>
    <xf numFmtId="0" fontId="44" fillId="26" borderId="3" xfId="3" applyFont="1" applyFill="1" applyBorder="1"/>
    <xf numFmtId="0" fontId="40" fillId="27" borderId="3" xfId="3" applyFont="1" applyFill="1" applyBorder="1" applyAlignment="1">
      <alignment horizontal="center"/>
    </xf>
    <xf numFmtId="0" fontId="42" fillId="0" borderId="3" xfId="4" quotePrefix="1" applyFont="1" applyBorder="1" applyAlignment="1">
      <alignment horizontal="center"/>
    </xf>
    <xf numFmtId="15" fontId="42" fillId="0" borderId="3" xfId="4" applyNumberFormat="1" applyFont="1" applyBorder="1" applyAlignment="1">
      <alignment horizontal="center"/>
    </xf>
    <xf numFmtId="0" fontId="1" fillId="0" borderId="3" xfId="3" applyBorder="1"/>
    <xf numFmtId="15" fontId="42" fillId="0" borderId="3" xfId="4" applyNumberFormat="1" applyFont="1" applyBorder="1"/>
    <xf numFmtId="0" fontId="18" fillId="0" borderId="3" xfId="0" applyFont="1" applyBorder="1" applyAlignment="1">
      <alignment vertical="top" wrapText="1"/>
    </xf>
    <xf numFmtId="0" fontId="44" fillId="26" borderId="3" xfId="3" applyFont="1" applyFill="1" applyBorder="1" applyAlignment="1">
      <alignment horizontal="center"/>
    </xf>
    <xf numFmtId="0" fontId="42" fillId="0" borderId="3" xfId="4" applyFont="1" applyBorder="1" applyAlignment="1">
      <alignment horizontal="center"/>
    </xf>
    <xf numFmtId="0" fontId="1" fillId="25" borderId="3" xfId="3" applyFill="1" applyBorder="1" applyAlignment="1">
      <alignment horizontal="left" vertical="center" wrapText="1"/>
    </xf>
    <xf numFmtId="0" fontId="1" fillId="0" borderId="3" xfId="3" applyBorder="1" applyAlignment="1">
      <alignment horizontal="left" vertical="center" wrapText="1"/>
    </xf>
    <xf numFmtId="15" fontId="1" fillId="0" borderId="3" xfId="3" applyNumberFormat="1" applyBorder="1" applyAlignment="1">
      <alignment horizontal="left" vertical="center" wrapText="1"/>
    </xf>
    <xf numFmtId="0" fontId="41" fillId="0" borderId="1" xfId="3" applyFont="1" applyBorder="1" applyAlignment="1">
      <alignment horizontal="center" vertical="center"/>
    </xf>
    <xf numFmtId="0" fontId="41" fillId="0" borderId="10" xfId="3" applyFont="1" applyBorder="1" applyAlignment="1">
      <alignment horizontal="center" vertical="center"/>
    </xf>
    <xf numFmtId="0" fontId="41" fillId="0" borderId="2" xfId="3" applyFont="1" applyBorder="1" applyAlignment="1">
      <alignment horizontal="center" vertical="center"/>
    </xf>
    <xf numFmtId="0" fontId="4" fillId="0" borderId="3" xfId="0" applyFont="1" applyBorder="1" applyAlignment="1">
      <alignment horizontal="left" vertical="top" wrapText="1"/>
    </xf>
    <xf numFmtId="0" fontId="7" fillId="0" borderId="0" xfId="0" applyFont="1" applyBorder="1" applyAlignment="1">
      <alignment wrapText="1"/>
    </xf>
    <xf numFmtId="0" fontId="3" fillId="7" borderId="1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20" fillId="3" borderId="16" xfId="0" applyFont="1" applyFill="1" applyBorder="1" applyAlignment="1">
      <alignment horizontal="center"/>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26" fillId="0" borderId="16" xfId="0" applyFont="1" applyBorder="1" applyAlignment="1">
      <alignment horizontal="left" vertical="center" wrapText="1"/>
    </xf>
    <xf numFmtId="0" fontId="4" fillId="0" borderId="0" xfId="0" applyFont="1" applyBorder="1" applyAlignment="1">
      <alignment horizontal="left" vertical="top" wrapText="1"/>
    </xf>
    <xf numFmtId="0" fontId="3" fillId="15" borderId="16" xfId="0" applyFont="1" applyFill="1" applyBorder="1" applyAlignment="1">
      <alignment horizontal="center" vertic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3" fillId="9" borderId="41" xfId="0" applyFont="1" applyFill="1" applyBorder="1" applyAlignment="1">
      <alignment horizontal="center" vertical="top" wrapText="1"/>
    </xf>
    <xf numFmtId="0" fontId="3"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7000000}"/>
    <cellStyle name="Normal" xfId="0" builtinId="0"/>
    <cellStyle name="Normal 2" xfId="1" xr:uid="{00000000-0005-0000-0000-000006000000}"/>
    <cellStyle name="Normal 2 2" xfId="4" xr:uid="{773E805F-0A23-49EA-96B5-76AF2E7B4EE0}"/>
    <cellStyle name="Normal 3" xfId="3" xr:uid="{5F16F899-C1A4-44FC-A07B-7F7922B82C61}"/>
  </cellStyles>
  <dxfs count="11">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 Londhe, Vinod (Contractor)" id="{AAD298C9-FE85-4F7B-97EE-A7F341027A48}" userId="S::vinod.londhe@stryker.com::742cc54c-91ac-4c40-ba11-80d692a0346e" providerId="AD"/>
  <person displayName="Sai Praneetha Bhaskaruni" id="{08D6144E-8A88-465E-8FD0-BE5405781898}"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filterColumn colId="6">
      <filters>
        <filter val="Smart medic (Stryker device) System Component"/>
      </filters>
    </filterColumn>
  </autoFilter>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dataDxfId="5"/>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17T10:00:13.48" personId="{AAD298C9-FE85-4F7B-97EE-A7F341027A48}" id="{E13E1C97-2F0B-4D7F-951B-8400C6A66D38}">
    <text>Added risk ID D-L1 for data tampering cause in Risk Table. Check for other else mention NA</text>
  </threadedComment>
  <threadedComment ref="AA5" dT="2022-03-22T10:51:35.96" personId="{08D6144E-8A88-465E-8FD0-BE5405781898}" id="{9E65C971-A44D-4A34-9E4C-E048A26D76A9}">
    <text>Asset based mapping to be done</text>
  </threadedComment>
  <threadedComment ref="AA6" dT="2022-03-23T07:16:10.24" personId="{08D6144E-8A88-465E-8FD0-BE5405781898}" id="{0889C404-9F91-481E-BF4B-2665FB414591}">
    <text>Asset based mapping to be done</text>
  </threadedComment>
  <threadedComment ref="AA7" dT="2022-03-23T07:16:21.32" personId="{08D6144E-8A88-465E-8FD0-BE5405781898}" id="{210EBF0F-37E8-4D13-B6FC-7D0EF151C624}">
    <text>Asset based mapping to be done</text>
  </threadedComment>
  <threadedComment ref="AA8" dT="2022-03-22T10:51:49.22" personId="{08D6144E-8A88-465E-8FD0-BE5405781898}" id="{58FCA359-1395-4A01-A83F-6B86039B95A3}">
    <text>Asset based mapping to be done</text>
  </threadedComment>
  <threadedComment ref="AA9" dT="2022-03-23T07:16:35.34" personId="{08D6144E-8A88-465E-8FD0-BE5405781898}" id="{CAACB884-FF6B-4492-8E64-D88AD7C59991}">
    <text>Asset based mapping to be done</text>
  </threadedComment>
  <threadedComment ref="AA10" dT="2022-03-23T06:52:57.94" personId="{08D6144E-8A88-465E-8FD0-BE5405781898}" id="{28D33F3E-B3E7-429A-8F5B-96507EF5491E}">
    <text>3.
for Tablet: map SRS to System log
for Admin web app: map SRS to Audit log</text>
  </threadedComment>
  <threadedComment ref="AA11" dT="2022-03-23T06:53:15.25" personId="{08D6144E-8A88-465E-8FD0-BE5405781898}" id="{4522E9D4-70EF-47F3-A3BE-552F6EB0F268}">
    <text>3.
for Tablet: map SRS to System log
for Admin web app: map SRS to Audit log</text>
  </threadedComment>
  <threadedComment ref="AA12" dT="2022-03-22T10:52:04.29" personId="{08D6144E-8A88-465E-8FD0-BE5405781898}" id="{2FB6C9BD-D9FD-4309-9308-3089747C365B}">
    <text>Asset based mapping to be done</text>
  </threadedComment>
  <threadedComment ref="AA13" dT="2022-03-23T07:16:51.70" personId="{08D6144E-8A88-465E-8FD0-BE5405781898}" id="{6E33D450-15BE-4ECC-921F-EAAC178D5691}">
    <text>Asset based mapping to be done</text>
  </threadedComment>
  <threadedComment ref="AA14" dT="2022-03-23T07:17:03.44" personId="{08D6144E-8A88-465E-8FD0-BE5405781898}" id="{3663AD37-134D-4CA6-B795-7E736C0503ED}">
    <text>Asset based mapping to be done</text>
  </threadedComment>
  <threadedComment ref="AA15" dT="2022-03-22T10:52:13.56" personId="{08D6144E-8A88-465E-8FD0-BE5405781898}" id="{1B9F7161-75F7-4342-B220-4EAE2E3ACF11}">
    <text>Asset based mapping to be done</text>
  </threadedComment>
  <threadedComment ref="AA16" dT="2022-03-23T09:46:54.85" personId="{08D6144E-8A88-465E-8FD0-BE5405781898}" id="{3C7F772F-B428-47A5-A62A-FA0B6FE45112}">
    <text>3. SRS item: System logs for SM device</text>
  </threadedComment>
  <threadedComment ref="AA17" dT="2022-03-23T06:56:20.36" personId="{08D6144E-8A88-465E-8FD0-BE5405781898}" id="{17CC27D6-F762-47E4-9FD0-C42A1E8E2FF7}">
    <text>3.
for Tablet: map SRS to System log
for Admin web app: map SRS to Audit log</text>
  </threadedComment>
  <threadedComment ref="AA18" dT="2022-03-22T09:28:33.08" personId="{08D6144E-8A88-465E-8FD0-BE5405781898}" id="{4F76CB36-89B2-4545-A5A4-750097658118}">
    <text>Is there any seperate SRS doc for Stryker device. If yes, pls map to that</text>
  </threadedComment>
  <threadedComment ref="AA19" dT="2022-03-22T10:52:23.77" personId="{08D6144E-8A88-465E-8FD0-BE5405781898}" id="{9E8E38F7-0DE4-4F44-A15B-459A752AC6BF}">
    <text>Asset based mapping to be done</text>
  </threadedComment>
  <threadedComment ref="AA20" dT="2022-03-23T07:17:26.55" personId="{08D6144E-8A88-465E-8FD0-BE5405781898}" id="{4BC3649D-13BF-4AAB-BB63-0B75A663F6A4}">
    <text>Asset based mapping to be done</text>
  </threadedComment>
  <threadedComment ref="AA21" dT="2022-03-22T10:52:29.72" personId="{08D6144E-8A88-465E-8FD0-BE5405781898}" id="{15010620-51A5-47B8-88B4-A456EB55714A}">
    <text>Asset based mapping to be done</text>
  </threadedComment>
  <threadedComment ref="AA22" dT="2022-03-23T07:17:39.82" personId="{08D6144E-8A88-465E-8FD0-BE5405781898}" id="{2E5D1BC3-4E01-4C61-9412-5E8DEE0BA66D}">
    <text>Asset based mapping to be done</text>
  </threadedComment>
  <threadedComment ref="AA23" dT="2022-03-23T07:17:49.76" personId="{08D6144E-8A88-465E-8FD0-BE5405781898}" id="{54511DB0-8EE7-441C-A16B-65F1C1FFE939}">
    <text>Asset based mapping to be done</text>
  </threadedComment>
  <threadedComment ref="AA24" dT="2022-03-22T10:52:44.67" personId="{08D6144E-8A88-465E-8FD0-BE5405781898}" id="{D3A8B52F-2CD8-40BC-B5B8-9668D6F765F8}">
    <text>Asset based mapping to be done</text>
  </threadedComment>
  <threadedComment ref="AA25" dT="2022-03-23T07:18:05.98" personId="{08D6144E-8A88-465E-8FD0-BE5405781898}" id="{69F4E1F0-2ADE-4670-81FB-3FD30D84CC46}">
    <text>Asset based mapping to be done</text>
  </threadedComment>
  <threadedComment ref="AA26" dT="2022-03-23T07:18:11.44" personId="{08D6144E-8A88-465E-8FD0-BE5405781898}" id="{5B6EFAD6-B857-478A-B275-530ADD599846}">
    <text>Asset based mapping to be done</text>
  </threadedComment>
  <threadedComment ref="AA27" dT="2022-03-22T10:52:54.34" personId="{08D6144E-8A88-465E-8FD0-BE5405781898}" id="{18E42DB6-F2EE-4206-878C-378C85C0E970}">
    <text>Asset based mapping to be done</text>
  </threadedComment>
  <threadedComment ref="AA29" dT="2022-03-22T10:53:03.94" personId="{08D6144E-8A88-465E-8FD0-BE5405781898}" id="{CEDEF377-E749-4584-A131-0F2E90441A29}">
    <text>Asset based mapping to be done</text>
  </threadedComment>
  <threadedComment ref="AA30" dT="2022-03-22T09:31:36.86" personId="{08D6144E-8A88-465E-8FD0-BE5405781898}" id="{6E54BB0B-6C67-4173-91E1-B930953F2385}">
    <text>Asset based mapping need to be done</text>
  </threadedComment>
  <threadedComment ref="AA32" dT="2022-03-23T07:18:38.98" personId="{08D6144E-8A88-465E-8FD0-BE5405781898}" id="{CB7E8A3D-6323-4BF4-A0A2-640FAAB8579B}">
    <text>Asset based mapping to be done</text>
  </threadedComment>
  <threadedComment ref="AA33" dT="2022-03-23T07:18:43.53" personId="{08D6144E-8A88-465E-8FD0-BE5405781898}" id="{0E516D4E-4CC3-4A9E-846F-88E146EF40B8}">
    <text>Asset based mapping to be done</text>
  </threadedComment>
  <threadedComment ref="AA34" dT="2022-03-23T06:57:34.77" personId="{08D6144E-8A88-465E-8FD0-BE5405781898}" id="{7D8318F1-EEB7-4416-B3F7-BFB20EBA7C4A}">
    <text>3.
for Tablet: map SRS to System log
for Admin web app: map SRS to Audit log</text>
  </threadedComment>
  <threadedComment ref="AA35" dT="2022-03-22T09:36:07.80" personId="{08D6144E-8A88-465E-8FD0-BE5405781898}" id="{1D67679C-F823-4F54-969B-23D9F3C157AF}">
    <text>Asset based mapping need to be done
1. Device is of a Stryker property and that has to be identified in provisioning process</text>
  </threadedComment>
  <threadedComment ref="AA36" dT="2022-03-22T10:53:21.81" personId="{08D6144E-8A88-465E-8FD0-BE5405781898}" id="{45280CB4-102B-417F-941F-384DC2FCE3FD}">
    <text>Asset based mapping to be done</text>
  </threadedComment>
  <threadedComment ref="AA38" dT="2022-03-22T10:53:32.01" personId="{08D6144E-8A88-465E-8FD0-BE5405781898}" id="{4BC2B799-CC6D-4349-AFF5-7EEF60BCB7A4}">
    <text>Asset based mapping to be done</text>
  </threadedComment>
  <threadedComment ref="AA39" dT="2022-03-22T10:53:39.22" personId="{08D6144E-8A88-465E-8FD0-BE5405781898}" id="{8053B6C5-703E-4321-93AA-BD586BD5AA7B}">
    <text>Asset based mapping to be done</text>
  </threadedComment>
  <threadedComment ref="AA40" dT="2022-03-22T10:53:51.13" personId="{08D6144E-8A88-465E-8FD0-BE5405781898}" id="{3BCC256E-DEA6-4766-A629-0B0F11D789E5}">
    <text>Asset based mapping to be done</text>
  </threadedComment>
  <threadedComment ref="AA41" dT="2022-03-22T09:40:16.35" personId="{08D6144E-8A88-465E-8FD0-BE5405781898}" id="{28C21D5B-641B-40C3-A0BC-E7E03A7FACDD}">
    <text>for 1. Asset based mapping need to be done
3. mismatched
for Admin web app: Admin manual
5. Asset based mapping need to be done</text>
  </threadedComment>
  <threadedComment ref="AA42" dT="2022-03-22T10:54:25.55" personId="{08D6144E-8A88-465E-8FD0-BE5405781898}" id="{8AD6F979-6D41-4F07-9F4A-CEF362640D71}">
    <text>Asset based mapping to be done</text>
  </threadedComment>
  <threadedComment ref="AA43" dT="2022-03-22T09:51:30.55" personId="{08D6144E-8A88-465E-8FD0-BE5405781898}" id="{79C1BF52-FF2F-482A-B9D5-9D49E4786C08}">
    <text>for 1. Asset based mapping need to be done.
2. Mention for tablet &amp; admin app too.
3. Asset based mapping need to be done</text>
  </threadedComment>
  <threadedComment ref="AA44" dT="2022-03-22T10:54:37.65" personId="{08D6144E-8A88-465E-8FD0-BE5405781898}" id="{276CC8B4-C81C-4E9F-BEC2-F70C1756C41E}">
    <text>Asset based mapping to be done</text>
  </threadedComment>
  <threadedComment ref="AA45" dT="2022-03-22T09:55:46.88" personId="{08D6144E-8A88-465E-8FD0-BE5405781898}" id="{5DE7EB5D-DD23-44B4-9FC5-377046E9AB60}">
    <text>for 3. mention for NSA also
4. for other device(s)/app</text>
  </threadedComment>
  <threadedComment ref="AA46" dT="2022-03-22T10:12:59.15" personId="{08D6144E-8A88-465E-8FD0-BE5405781898}" id="{1219CA64-6151-419F-8891-4355247DEF96}">
    <text>for 1. installation manual for both admin web app &amp; tablet?
3. Mention for NSA also
6. Mapping should be done according to the authentication flow</text>
  </threadedComment>
  <threadedComment ref="AA47" dT="2022-03-22T10:03:36.69" personId="{08D6144E-8A88-465E-8FD0-BE5405781898}" id="{A53F0B01-B0EC-4DAA-895A-86AB156AD632}">
    <text>1,3 -mention for other devices/apps
6. mapping should be done according th the authentication flow</text>
  </threadedComment>
  <threadedComment ref="AA48" dT="2022-03-22T10:29:24.36" personId="{08D6144E-8A88-465E-8FD0-BE5405781898}" id="{38ECBC61-84B8-492E-B966-AE0E060E0575}">
    <text>for 1. Mismatched
3.
4.Mismatched (what is the error &amp; corresponded error info)
Is 1 error info display for all the unsuccessful attempts?</text>
  </threadedComment>
  <threadedComment ref="AA49" dT="2022-03-22T10:32:41.47" personId="{08D6144E-8A88-465E-8FD0-BE5405781898}" id="{173E440D-1816-47A4-B5A1-6E43101C685D}">
    <text>for 1,2. Asset based mapping to be done
4. List of errors &amp; the corresponding display messages to be enumerated</text>
  </threadedComment>
  <threadedComment ref="AA51" dT="2022-03-22T10:54:49.82" personId="{08D6144E-8A88-465E-8FD0-BE5405781898}" id="{CB4CE9F0-F047-41B1-921A-26E2AC2F5B68}">
    <text>Asset based mapping to be done</text>
  </threadedComment>
  <threadedComment ref="AA52" dT="2022-03-22T10:35:52.08" personId="{08D6144E-8A88-465E-8FD0-BE5405781898}" id="{A350D764-B917-452B-B52B-AEFBD84162A3}">
    <text>3.mention for NSA also
4,5.map to srs
6.mapping should be done according to the authentication flow</text>
  </threadedComment>
  <threadedComment ref="AA53" dT="2022-03-22T10:38:22.76" personId="{08D6144E-8A88-465E-8FD0-BE5405781898}" id="{460A8D6C-9F61-4E04-BF06-7EA138F3DA6B}">
    <text>3.mention for NSA also
4,5. map to srs
6.mapping should be done according to the authentication flow</text>
  </threadedComment>
  <threadedComment ref="AA54" dT="2022-03-22T10:54:57.89" personId="{08D6144E-8A88-465E-8FD0-BE5405781898}" id="{91605B5E-7258-4852-9569-F8F9C9BD38BC}">
    <text>Asset based mapping to be done</text>
  </threadedComment>
  <threadedComment ref="AA55" dT="2022-03-22T10:55:08.65" personId="{08D6144E-8A88-465E-8FD0-BE5405781898}" id="{E4A79DA0-99B0-4704-8EDC-5D7E79E8686A}">
    <text>Asset based mapping to be done</text>
  </threadedComment>
  <threadedComment ref="AA56" dT="2022-03-22T10:55:18.24" personId="{08D6144E-8A88-465E-8FD0-BE5405781898}" id="{D4434FD1-7D32-41D9-8611-378229518274}">
    <text>Asset based mapping to be done</text>
  </threadedComment>
  <threadedComment ref="AA57" dT="2022-03-23T07:19:08.44" personId="{08D6144E-8A88-465E-8FD0-BE5405781898}" id="{D85881CD-D31A-4F72-82FF-657B0B8C4F48}">
    <text>Asset based mapping to be done</text>
  </threadedComment>
  <threadedComment ref="AA58" dT="2022-03-22T10:55:36.80" personId="{08D6144E-8A88-465E-8FD0-BE5405781898}" id="{0F9389CA-B82E-43F5-B76E-DFC96A680075}">
    <text>Asset based mapping to be done</text>
  </threadedComment>
  <threadedComment ref="AA59" dT="2022-03-23T07:19:22.13" personId="{08D6144E-8A88-465E-8FD0-BE5405781898}" id="{02386B3D-8BE1-476A-9E33-47F1D260F50D}">
    <text>Asset based mapping to be done</text>
  </threadedComment>
  <threadedComment ref="AA60" dT="2022-03-22T10:55:47.57" personId="{08D6144E-8A88-465E-8FD0-BE5405781898}" id="{CC4E2C93-5654-41FA-85AD-ED8C99283118}">
    <text>Asset based mapping to be done</text>
  </threadedComment>
  <threadedComment ref="AA61" dT="2022-03-23T07:19:34.57" personId="{08D6144E-8A88-465E-8FD0-BE5405781898}" id="{77188557-FF21-444F-90A6-52252B4E0FFE}">
    <text>Asset based mapping to be done</text>
  </threadedComment>
  <threadedComment ref="AA62" dT="2022-03-22T10:55:57.85" personId="{08D6144E-8A88-465E-8FD0-BE5405781898}" id="{E72BF756-D605-471D-8D2E-77139EC6C67B}">
    <text>Asset based mapping to be done</text>
  </threadedComment>
  <threadedComment ref="AA63" dT="2022-03-23T06:42:19.35" personId="{08D6144E-8A88-465E-8FD0-BE5405781898}" id="{994E1B53-C34D-4F24-8871-9570D68A2BA1}">
    <text>1. Tablet:Adminstrator
   Admin, non-admin:Non-administrative accounts
2. IT team
3. Deepak mailed to ketan.</text>
  </threadedComment>
  <threadedComment ref="AA65" dT="2022-03-22T10:04:54.39" personId="{08D6144E-8A88-465E-8FD0-BE5405781898}" id="{16571F86-7AC3-40C9-AC5A-63B40C45FB1E}">
    <text>3. Asset based mapping to be done</text>
  </threadedComment>
  <threadedComment ref="AA66" dT="2022-03-22T10:38:59.66" personId="{08D6144E-8A88-465E-8FD0-BE5405781898}" id="{43DBA38D-D350-4605-A364-B2FDF6ABBB70}">
    <text>1. Mismatched 
Ask his to identify sensitive data &amp; ensure encryption provided (D..23,D..24,D..97)
3.
for Tablet: mention the implemented hardended details, as we referred previously
for Admin web app: Admin manual
5. Ensure sensitive data is not in plain text &amp; strong encryption enabled for all such data.</text>
  </threadedComment>
  <threadedComment ref="AA67" dT="2022-03-23T04:50:02.63" personId="{08D6144E-8A88-465E-8FD0-BE5405781898}" id="{85371A4A-968F-46D8-9801-8897F8AD37D2}">
    <text>1. mention for NSA also
5. List/Identify sensitive data &amp; Ensure sensitive data is not in plain text &amp; strong encryption enabled for all such data. List down the encryption details.</text>
  </threadedComment>
  <threadedComment ref="AA68" dT="2022-03-23T05:31:03.69" personId="{08D6144E-8A88-465E-8FD0-BE5405781898}" id="{DBDFC3AC-400D-4827-BF88-66471F649EA9}">
    <text>3. Data to &amp; from the cloud and its encryption details.
4. Map to SRS D001020024 -2.17.2 for both Tablet &amp; NSA
5. Mention subclauses also &amp; mention for Tablet too</text>
  </threadedComment>
  <threadedComment ref="AA70" dT="2022-03-23T04:14:51.85" personId="{08D6144E-8A88-465E-8FD0-BE5405781898}" id="{EF9096A5-3102-4A26-942D-4A4DF819C5B2}">
    <text>for Tablet:
1. offline authentication crypto details
2. keys, security tokens
for NSA:
1. Any certs received during NSA authentication?
for D.....20097: pls mention crypto APIs</text>
  </threadedComment>
  <threadedComment ref="AA71" dT="2022-03-23T04:24:03.81" personId="{08D6144E-8A88-465E-8FD0-BE5405781898}" id="{48603974-4029-4C8C-9896-F4B7376640F8}">
    <text>for Tablet:
Transmitted health data encryption details (eg: SHA-256)
for NSA: (receiving channel)
Transmitting end point &amp; encryption details
for D....20097: pls mention as crypto APIs</text>
  </threadedComment>
  <threadedComment ref="AA72" dT="2022-03-23T06:45:18.23" personId="{08D6144E-8A88-465E-8FD0-BE5405781898}" id="{81D057DC-CC7E-45F9-9253-E5D90FF6FFD4}">
    <text>3.
For Tablet: map SRS to system log
For Admin web app: map SRS to audit log</text>
  </threadedComment>
  <threadedComment ref="AA74" dT="2022-03-22T10:41:59.21" personId="{08D6144E-8A88-465E-8FD0-BE5405781898}" id="{AB1EFCBE-8294-4B41-9052-B167EF02950E}">
    <text>2. Mismatched</text>
  </threadedComment>
  <threadedComment ref="AA75" dT="2022-03-23T06:59:40.58" personId="{08D6144E-8A88-465E-8FD0-BE5405781898}" id="{1817CDE1-D5A6-4E1D-903B-7697004133D8}">
    <text>3.
for Tablet: map SRS to System log
for Admin web app: map SRS to Audit log</text>
  </threadedComment>
  <threadedComment ref="AA76" dT="2022-03-23T06:59:48.97" personId="{08D6144E-8A88-465E-8FD0-BE5405781898}" id="{6025450B-6FE9-4657-9B82-1618CF042D03}">
    <text>3.
for Tablet: map SRS to System log
for Admin web app: map SRS to Audit log</text>
  </threadedComment>
  <threadedComment ref="AA77" dT="2022-03-23T05:11:34.40" personId="{08D6144E-8A88-465E-8FD0-BE5405781898}" id="{4FA34A47-F54D-4B7E-8A05-E191D6DA2CEA}">
    <text>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ext>
  </threadedComment>
  <threadedComment ref="AA78" dT="2022-03-23T05:15:01.57" personId="{08D6144E-8A88-465E-8FD0-BE5405781898}" id="{DB4FD457-6E32-446A-AC2B-650483EBEE6A}">
    <text>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ext>
  </threadedComment>
  <threadedComment ref="AA79" dT="2022-03-23T05:16:37.61" personId="{08D6144E-8A88-465E-8FD0-BE5405781898}" id="{DBCF9656-A79C-4403-B83D-8868209E4CAA}">
    <text>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ext>
  </threadedComment>
  <threadedComment ref="AA80" dT="2022-03-22T10:42:50.26" personId="{08D6144E-8A88-465E-8FD0-BE5405781898}" id="{6D5B6900-D3CF-4ED5-9A81-EEAA774BF938}">
    <text>1.mismatched
3. mention for NSA also
4,5. map to srs
6. mapping should be done according to the authentication flow</text>
  </threadedComment>
  <threadedComment ref="AA81" dT="2022-03-23T07:00:21.15" personId="{08D6144E-8A88-465E-8FD0-BE5405781898}" id="{1D7CC351-1DCF-465A-A444-CDA5FB427205}">
    <text>3.
for Tablet: map SRS to System log
for Admin web app: map SRS to Audit log</text>
  </threadedComment>
  <threadedComment ref="AA82" dT="2022-03-23T07:00:29.36" personId="{08D6144E-8A88-465E-8FD0-BE5405781898}" id="{30798C7C-A5D1-47E5-AF43-39638407D7C1}">
    <text>3.
for Tablet: map SRS to System log
for Admin web app: map SRS to Audit log</text>
  </threadedComment>
  <threadedComment ref="AA84" dT="2022-03-23T07:00:49.15" personId="{08D6144E-8A88-465E-8FD0-BE5405781898}" id="{EDCBB678-0172-4F0F-BB9A-09F2F41811E9}">
    <text>3.
for Tablet: map SRS to System log
for Admin web app: map SRS to Audit log</text>
  </threadedComment>
  <threadedComment ref="AA85" dT="2022-03-23T04:58:00.34" personId="{08D6144E-8A88-465E-8FD0-BE5405781898}" id="{72868864-C48F-4CF7-B79D-5E28CA5F2A8C}">
    <text>1. mention for NSA also
5. List/Identify sensitive data &amp; Ensure sensitive data is not in plain text &amp; strong encryption enabled for all such data. List down the encryption details.</text>
  </threadedComment>
  <threadedComment ref="AA86" dT="2022-03-23T07:01:06.81" personId="{08D6144E-8A88-465E-8FD0-BE5405781898}" id="{A9A1EBCB-4BCB-4906-928C-6D8502D93D9F}">
    <text>3. 
for Tablet: map SRS to System log
for Admin web app: map SRS to Audit log</text>
  </threadedComment>
  <threadedComment ref="AA87" dT="2022-03-22T10:46:01.78" personId="{08D6144E-8A88-465E-8FD0-BE5405781898}" id="{DB92E810-2EFA-4C96-B62F-49DE1BF2F26F}">
    <text>2. Asset based mapping to be done
4,5. map to srs</text>
  </threadedComment>
  <threadedComment ref="AA89" dT="2022-03-22T10:47:36.11" personId="{08D6144E-8A88-465E-8FD0-BE5405781898}" id="{0CB2C599-46A8-4602-B134-A24E2CB125FB}">
    <text>1. Mismatched
2. Asset based mapping to be done
4,5. map to srs
6.mapping should be done according to the authentication flow</text>
  </threadedComment>
  <threadedComment ref="AA91" dT="2022-03-22T10:49:01.89" personId="{08D6144E-8A88-465E-8FD0-BE5405781898}" id="{10AF2BB1-DC69-4F36-B2F7-31512CCF3728}">
    <text>1,3,5. Mismatched</text>
  </threadedComment>
  <threadedComment ref="AA96" dT="2022-03-23T06:49:11.86" personId="{08D6144E-8A88-465E-8FD0-BE5405781898}" id="{CA02399B-FE0E-40C9-9F93-DC6308B83608}">
    <text>for our side logs has to be generated &amp; stored</text>
  </threadedComment>
  <threadedComment ref="AA97" dT="2022-03-23T06:51:14.77" personId="{08D6144E-8A88-465E-8FD0-BE5405781898}" id="{57BFBCEB-FC24-4D01-9B48-6146D6E15D28}">
    <text>ensure audit is happening and list down all the currently configured auditable events. so we can map to SOM</text>
  </threadedComment>
  <threadedComment ref="AA99" dT="2022-03-22T10:08:22.47" personId="{08D6144E-8A88-465E-8FD0-BE5405781898}" id="{99443521-214E-46E4-9973-FAB5DC03EE04}">
    <text>1. Asset based mapping to be done</text>
  </threadedComment>
  <threadedComment ref="AA101" dT="2022-03-23T05:45:02.29" personId="{08D6144E-8A88-465E-8FD0-BE5405781898}" id="{C4BF6A3F-CEEE-4CFF-AE16-0B8405D871DD}">
    <text>1. what is the error &amp; corresponded display info to the user</text>
  </threadedComment>
  <threadedComment ref="AA102" dT="2022-03-22T10:09:09.31" personId="{08D6144E-8A88-465E-8FD0-BE5405781898}" id="{6061A721-45D7-40FB-807C-C8C813954826}">
    <text>for 1. Mismatched</text>
  </threadedComment>
  <threadedComment ref="AA104" dT="2022-03-22T10:50:04.26" personId="{08D6144E-8A88-465E-8FD0-BE5405781898}" id="{4C316865-995C-475D-AD1C-CE13E2F7E2D8}">
    <text>3.mismatched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1BA5-C54F-4FAC-A26B-71DA35579432}">
  <dimension ref="B3:F28"/>
  <sheetViews>
    <sheetView zoomScale="90" zoomScaleNormal="90" workbookViewId="0">
      <selection activeCell="B30" sqref="B30"/>
    </sheetView>
  </sheetViews>
  <sheetFormatPr defaultRowHeight="14.5"/>
  <cols>
    <col min="2" max="2" width="11.6328125" customWidth="1"/>
    <col min="3" max="3" width="15.36328125" customWidth="1"/>
    <col min="4" max="4" width="28.81640625" customWidth="1"/>
    <col min="5" max="5" width="19.26953125" customWidth="1"/>
    <col min="6" max="6" width="17.6328125" customWidth="1"/>
  </cols>
  <sheetData>
    <row r="3" spans="2:6" ht="32" customHeight="1">
      <c r="B3" s="278" t="s">
        <v>396</v>
      </c>
      <c r="C3" s="278"/>
      <c r="D3" s="278" t="s">
        <v>397</v>
      </c>
      <c r="E3" s="278"/>
      <c r="F3" s="278"/>
    </row>
    <row r="4" spans="2:6" ht="32" customHeight="1">
      <c r="B4" s="278" t="s">
        <v>398</v>
      </c>
      <c r="C4" s="278"/>
      <c r="D4" s="278" t="s">
        <v>399</v>
      </c>
      <c r="E4" s="278"/>
      <c r="F4" s="278"/>
    </row>
    <row r="5" spans="2:6" ht="32" customHeight="1">
      <c r="B5" s="278" t="s">
        <v>400</v>
      </c>
      <c r="C5" s="278"/>
      <c r="D5" s="279"/>
      <c r="E5" s="278"/>
      <c r="F5" s="278"/>
    </row>
    <row r="6" spans="2:6" ht="32" customHeight="1">
      <c r="B6" s="278" t="s">
        <v>401</v>
      </c>
      <c r="C6" s="278"/>
      <c r="D6" s="278" t="s">
        <v>402</v>
      </c>
      <c r="E6" s="278"/>
      <c r="F6" s="278"/>
    </row>
    <row r="7" spans="2:6" ht="32" customHeight="1">
      <c r="B7" s="278" t="s">
        <v>403</v>
      </c>
      <c r="C7" s="278"/>
      <c r="D7" s="278" t="s">
        <v>404</v>
      </c>
      <c r="E7" s="278"/>
      <c r="F7" s="278"/>
    </row>
    <row r="13" spans="2:6" ht="33.5" customHeight="1">
      <c r="B13" s="280" t="s">
        <v>405</v>
      </c>
      <c r="C13" s="281"/>
      <c r="D13" s="281"/>
      <c r="E13" s="281"/>
      <c r="F13" s="282"/>
    </row>
    <row r="14" spans="2:6" ht="14.5" customHeight="1">
      <c r="B14" s="261" t="s">
        <v>406</v>
      </c>
      <c r="C14" s="262" t="s">
        <v>407</v>
      </c>
      <c r="D14" s="262" t="s">
        <v>408</v>
      </c>
      <c r="E14" s="262" t="s">
        <v>409</v>
      </c>
      <c r="F14" s="262" t="s">
        <v>400</v>
      </c>
    </row>
    <row r="15" spans="2:6" ht="45" customHeight="1">
      <c r="B15" s="263" t="s">
        <v>410</v>
      </c>
      <c r="C15" s="264" t="s">
        <v>411</v>
      </c>
      <c r="D15" s="264" t="s">
        <v>412</v>
      </c>
      <c r="E15" s="264"/>
      <c r="F15" s="264"/>
    </row>
    <row r="16" spans="2:6" ht="45" customHeight="1">
      <c r="B16" s="277" t="s">
        <v>413</v>
      </c>
      <c r="C16" s="264" t="s">
        <v>411</v>
      </c>
      <c r="D16" s="264" t="s">
        <v>414</v>
      </c>
      <c r="E16" s="264"/>
      <c r="F16" s="264"/>
    </row>
    <row r="17" spans="2:6" ht="45" customHeight="1">
      <c r="B17" s="277"/>
      <c r="C17" s="264" t="s">
        <v>415</v>
      </c>
      <c r="D17" s="264" t="s">
        <v>416</v>
      </c>
      <c r="E17" s="264"/>
      <c r="F17" s="264"/>
    </row>
    <row r="18" spans="2:6" ht="45" customHeight="1">
      <c r="B18" s="277"/>
      <c r="C18" s="264" t="s">
        <v>417</v>
      </c>
      <c r="D18" s="264" t="s">
        <v>418</v>
      </c>
      <c r="E18" s="264"/>
      <c r="F18" s="264"/>
    </row>
    <row r="23" spans="2:6">
      <c r="B23" s="265" t="s">
        <v>419</v>
      </c>
      <c r="C23" s="266"/>
      <c r="D23" s="267"/>
      <c r="E23" s="266"/>
      <c r="F23" s="266"/>
    </row>
    <row r="24" spans="2:6">
      <c r="B24" s="268" t="s">
        <v>420</v>
      </c>
      <c r="C24" s="268" t="s">
        <v>421</v>
      </c>
      <c r="D24" s="269" t="s">
        <v>422</v>
      </c>
      <c r="E24" s="275" t="s">
        <v>423</v>
      </c>
      <c r="F24" s="275"/>
    </row>
    <row r="25" spans="2:6">
      <c r="B25" s="270" t="s">
        <v>424</v>
      </c>
      <c r="C25" s="271">
        <v>44621</v>
      </c>
      <c r="D25" s="272" t="s">
        <v>411</v>
      </c>
      <c r="E25" s="276" t="s">
        <v>425</v>
      </c>
      <c r="F25" s="276"/>
    </row>
    <row r="26" spans="2:6">
      <c r="B26" s="270" t="s">
        <v>426</v>
      </c>
      <c r="C26" s="273"/>
      <c r="D26" s="272" t="s">
        <v>411</v>
      </c>
      <c r="E26" s="276" t="s">
        <v>427</v>
      </c>
      <c r="F26" s="276"/>
    </row>
    <row r="27" spans="2:6">
      <c r="B27" s="272"/>
      <c r="C27" s="272"/>
      <c r="D27" s="272"/>
      <c r="E27" s="276"/>
      <c r="F27" s="276"/>
    </row>
    <row r="28" spans="2:6">
      <c r="B28" s="272"/>
      <c r="C28" s="272"/>
      <c r="D28" s="272"/>
      <c r="E28" s="276"/>
      <c r="F28" s="276"/>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241"/>
      <c r="B1" s="242"/>
    </row>
    <row r="2" spans="1:2" ht="18.5">
      <c r="A2" s="243" t="s">
        <v>364</v>
      </c>
      <c r="B2" s="244" t="s">
        <v>365</v>
      </c>
    </row>
    <row r="3" spans="1:2" ht="18.5">
      <c r="A3" s="245"/>
      <c r="B3" s="246"/>
    </row>
    <row r="4" spans="1:2">
      <c r="A4" s="300"/>
      <c r="B4" s="247"/>
    </row>
    <row r="5" spans="1:2">
      <c r="A5" s="300"/>
      <c r="B5" s="248"/>
    </row>
    <row r="6" spans="1:2">
      <c r="A6" s="300"/>
      <c r="B6" s="248"/>
    </row>
    <row r="7" spans="1:2">
      <c r="A7" s="300"/>
      <c r="B7" s="249"/>
    </row>
    <row r="8" spans="1:2" ht="18.5">
      <c r="A8" s="241"/>
      <c r="B8" s="242"/>
    </row>
    <row r="9" spans="1:2">
      <c r="A9" s="300"/>
      <c r="B9" s="247"/>
    </row>
    <row r="10" spans="1:2">
      <c r="A10" s="300"/>
      <c r="B10" s="248"/>
    </row>
    <row r="11" spans="1:2">
      <c r="A11" s="300"/>
      <c r="B11" s="248"/>
    </row>
    <row r="12" spans="1:2">
      <c r="A12" s="300"/>
      <c r="B12" s="248"/>
    </row>
    <row r="13" spans="1:2">
      <c r="A13" s="300"/>
      <c r="B13" s="249"/>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topLeftCell="A10" zoomScale="95" zoomScaleNormal="95" workbookViewId="0">
      <selection activeCell="C6" sqref="C6:D6"/>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c r="A1" s="2" t="s">
        <v>0</v>
      </c>
    </row>
    <row r="2" spans="1:4" s="3" customFormat="1" ht="14"/>
    <row r="3" spans="1:4" s="3" customFormat="1" ht="14">
      <c r="A3" s="4" t="s">
        <v>1</v>
      </c>
      <c r="B3" s="5"/>
      <c r="C3" s="283" t="s">
        <v>402</v>
      </c>
      <c r="D3" s="283"/>
    </row>
    <row r="4" spans="1:4" s="3" customFormat="1" ht="14">
      <c r="A4" s="7" t="s">
        <v>2</v>
      </c>
      <c r="B4" s="8"/>
      <c r="C4" s="283" t="s">
        <v>428</v>
      </c>
      <c r="D4" s="283"/>
    </row>
    <row r="5" spans="1:4" s="3" customFormat="1" ht="13.75" customHeight="1">
      <c r="A5" s="7" t="s">
        <v>3</v>
      </c>
      <c r="B5" s="8"/>
      <c r="C5" s="283" t="s">
        <v>4</v>
      </c>
      <c r="D5" s="283"/>
    </row>
    <row r="6" spans="1:4" s="3" customFormat="1" ht="30" customHeight="1">
      <c r="A6" s="9" t="s">
        <v>5</v>
      </c>
      <c r="B6" s="10"/>
      <c r="C6" s="283" t="s">
        <v>429</v>
      </c>
      <c r="D6" s="283"/>
    </row>
    <row r="7" spans="1:4" s="3" customFormat="1" ht="14"/>
    <row r="8" spans="1:4" s="3" customFormat="1" ht="14"/>
    <row r="9" spans="1:4" s="3" customFormat="1" ht="28">
      <c r="A9" s="11" t="s">
        <v>6</v>
      </c>
      <c r="B9" s="12" t="s">
        <v>7</v>
      </c>
      <c r="C9" s="12" t="s">
        <v>8</v>
      </c>
      <c r="D9" s="13" t="s">
        <v>9</v>
      </c>
    </row>
    <row r="10" spans="1:4" s="3" customFormat="1" ht="56">
      <c r="A10" s="14" t="s">
        <v>10</v>
      </c>
      <c r="B10" s="15" t="s">
        <v>11</v>
      </c>
      <c r="C10" s="16" t="s">
        <v>12</v>
      </c>
      <c r="D10" s="17" t="s">
        <v>13</v>
      </c>
    </row>
    <row r="11" spans="1:4" s="3" customFormat="1" ht="28">
      <c r="A11" s="14" t="s">
        <v>14</v>
      </c>
      <c r="B11" s="15" t="s">
        <v>15</v>
      </c>
      <c r="C11" s="16" t="s">
        <v>16</v>
      </c>
      <c r="D11" s="17" t="s">
        <v>17</v>
      </c>
    </row>
    <row r="12" spans="1:4" s="3" customFormat="1" ht="42">
      <c r="A12" s="14" t="s">
        <v>18</v>
      </c>
      <c r="B12" s="15" t="s">
        <v>19</v>
      </c>
      <c r="C12" s="16" t="s">
        <v>20</v>
      </c>
      <c r="D12" s="17" t="s">
        <v>21</v>
      </c>
    </row>
    <row r="13" spans="1:4" s="3" customFormat="1" ht="28">
      <c r="A13" s="14" t="s">
        <v>22</v>
      </c>
      <c r="B13" s="15" t="s">
        <v>15</v>
      </c>
      <c r="C13" s="16" t="s">
        <v>23</v>
      </c>
      <c r="D13" s="17" t="s">
        <v>24</v>
      </c>
    </row>
    <row r="14" spans="1:4" s="3" customFormat="1" ht="42">
      <c r="A14" s="14" t="s">
        <v>25</v>
      </c>
      <c r="B14" s="15" t="s">
        <v>19</v>
      </c>
      <c r="C14" s="16" t="s">
        <v>26</v>
      </c>
      <c r="D14" s="17" t="s">
        <v>27</v>
      </c>
    </row>
    <row r="15" spans="1:4" s="3" customFormat="1" ht="28">
      <c r="A15" s="14" t="s">
        <v>28</v>
      </c>
      <c r="B15" s="15" t="s">
        <v>15</v>
      </c>
      <c r="C15" s="18" t="s">
        <v>29</v>
      </c>
      <c r="D15" s="17" t="s">
        <v>30</v>
      </c>
    </row>
    <row r="16" spans="1:4" s="3" customFormat="1" ht="28">
      <c r="A16" s="14" t="s">
        <v>31</v>
      </c>
      <c r="B16" s="15" t="s">
        <v>15</v>
      </c>
      <c r="C16" s="16" t="s">
        <v>32</v>
      </c>
      <c r="D16" s="19" t="s">
        <v>33</v>
      </c>
    </row>
    <row r="17" spans="1:4" s="3" customFormat="1" ht="28">
      <c r="A17" s="14" t="s">
        <v>34</v>
      </c>
      <c r="B17" s="20" t="s">
        <v>19</v>
      </c>
      <c r="C17" s="21" t="s">
        <v>35</v>
      </c>
      <c r="D17" s="19" t="s">
        <v>36</v>
      </c>
    </row>
    <row r="18" spans="1:4" s="3" customFormat="1" ht="28">
      <c r="A18" s="14" t="s">
        <v>37</v>
      </c>
      <c r="B18" s="20" t="s">
        <v>15</v>
      </c>
      <c r="C18" s="21" t="s">
        <v>38</v>
      </c>
      <c r="D18" s="19" t="s">
        <v>39</v>
      </c>
    </row>
    <row r="19" spans="1:4" s="3" customFormat="1" ht="28">
      <c r="A19" s="14" t="s">
        <v>40</v>
      </c>
      <c r="B19" s="20" t="s">
        <v>15</v>
      </c>
      <c r="C19" s="21" t="s">
        <v>41</v>
      </c>
      <c r="D19" s="19" t="s">
        <v>42</v>
      </c>
    </row>
    <row r="20" spans="1:4" s="3" customFormat="1" ht="28">
      <c r="A20" s="14" t="s">
        <v>43</v>
      </c>
      <c r="B20" s="20" t="s">
        <v>15</v>
      </c>
      <c r="C20" s="21" t="s">
        <v>44</v>
      </c>
      <c r="D20" s="19" t="s">
        <v>45</v>
      </c>
    </row>
    <row r="21" spans="1:4" s="3" customFormat="1" ht="28">
      <c r="A21" s="14" t="s">
        <v>46</v>
      </c>
      <c r="B21" s="20" t="s">
        <v>15</v>
      </c>
      <c r="C21" s="21" t="s">
        <v>47</v>
      </c>
      <c r="D21" s="19" t="s">
        <v>48</v>
      </c>
    </row>
    <row r="22" spans="1:4" s="3" customFormat="1" ht="14">
      <c r="A22" s="14" t="s">
        <v>49</v>
      </c>
      <c r="B22" s="20" t="s">
        <v>15</v>
      </c>
      <c r="C22" s="21" t="s">
        <v>50</v>
      </c>
      <c r="D22" s="19" t="s">
        <v>51</v>
      </c>
    </row>
    <row r="23" spans="1:4" s="3" customFormat="1" ht="28">
      <c r="A23" s="14" t="s">
        <v>52</v>
      </c>
      <c r="B23" s="22" t="s">
        <v>15</v>
      </c>
      <c r="C23" s="23" t="s">
        <v>53</v>
      </c>
      <c r="D23" s="24" t="s">
        <v>54</v>
      </c>
    </row>
    <row r="24" spans="1:4" ht="28">
      <c r="A24" s="25" t="s">
        <v>55</v>
      </c>
      <c r="B24" s="22" t="s">
        <v>15</v>
      </c>
      <c r="C24" s="23" t="s">
        <v>56</v>
      </c>
      <c r="D24" s="19" t="s">
        <v>57</v>
      </c>
    </row>
    <row r="37" spans="1:8">
      <c r="A37" s="26" t="s">
        <v>58</v>
      </c>
    </row>
    <row r="38" spans="1:8" ht="34.5" customHeight="1">
      <c r="B38" s="284" t="s">
        <v>59</v>
      </c>
      <c r="C38" s="284"/>
      <c r="D38" s="27"/>
      <c r="E38" s="27"/>
      <c r="F38" s="27"/>
      <c r="G38" s="27"/>
      <c r="H38" s="27"/>
    </row>
    <row r="40" spans="1:8">
      <c r="B40" s="3" t="s">
        <v>60</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topLeftCell="A7" zoomScale="95" zoomScaleNormal="95" workbookViewId="0">
      <selection activeCell="B12" sqref="B12"/>
    </sheetView>
  </sheetViews>
  <sheetFormatPr defaultColWidth="9.1796875" defaultRowHeight="14.5"/>
  <cols>
    <col min="1" max="1" width="31.81640625" style="28" customWidth="1"/>
    <col min="2" max="2" width="58.453125" style="29" customWidth="1"/>
    <col min="3" max="3" width="20.81640625" style="28" customWidth="1"/>
    <col min="4" max="4" width="42.81640625" style="28" customWidth="1"/>
    <col min="5" max="1024" width="9.1796875" style="28"/>
  </cols>
  <sheetData>
    <row r="1" spans="1:4" s="30" customFormat="1" ht="15" customHeight="1">
      <c r="A1" s="2" t="s">
        <v>61</v>
      </c>
      <c r="B1" s="3"/>
    </row>
    <row r="2" spans="1:4" s="30" customFormat="1" ht="15" customHeight="1">
      <c r="A2" s="2"/>
      <c r="B2" s="3"/>
    </row>
    <row r="3" spans="1:4" s="30" customFormat="1" ht="14" hidden="1">
      <c r="B3" s="3"/>
    </row>
    <row r="4" spans="1:4" s="30" customFormat="1" ht="14">
      <c r="A4" s="31" t="s">
        <v>62</v>
      </c>
      <c r="B4" s="32" t="s">
        <v>63</v>
      </c>
      <c r="C4" s="33" t="s">
        <v>64</v>
      </c>
      <c r="D4" s="33" t="s">
        <v>65</v>
      </c>
    </row>
    <row r="5" spans="1:4" s="30" customFormat="1" ht="28">
      <c r="A5" s="34" t="s">
        <v>66</v>
      </c>
      <c r="B5" s="35" t="s">
        <v>67</v>
      </c>
      <c r="C5" s="21" t="s">
        <v>68</v>
      </c>
      <c r="D5" s="21" t="s">
        <v>69</v>
      </c>
    </row>
    <row r="6" spans="1:4" s="30" customFormat="1" ht="42">
      <c r="A6" s="36" t="s">
        <v>70</v>
      </c>
      <c r="B6" s="35" t="s">
        <v>71</v>
      </c>
      <c r="C6" s="21" t="s">
        <v>68</v>
      </c>
      <c r="D6" s="21" t="s">
        <v>69</v>
      </c>
    </row>
    <row r="7" spans="1:4" s="30" customFormat="1" ht="28">
      <c r="A7" s="36" t="s">
        <v>72</v>
      </c>
      <c r="B7" s="21" t="s">
        <v>73</v>
      </c>
      <c r="C7" s="21" t="s">
        <v>68</v>
      </c>
      <c r="D7" s="21" t="s">
        <v>69</v>
      </c>
    </row>
    <row r="8" spans="1:4" s="30" customFormat="1" ht="14">
      <c r="A8" s="36" t="s">
        <v>74</v>
      </c>
      <c r="B8" s="21" t="s">
        <v>75</v>
      </c>
      <c r="C8" s="21" t="s">
        <v>68</v>
      </c>
      <c r="D8" s="21" t="s">
        <v>69</v>
      </c>
    </row>
    <row r="9" spans="1:4" s="30" customFormat="1" ht="14">
      <c r="A9" s="36" t="s">
        <v>76</v>
      </c>
      <c r="B9" s="21" t="s">
        <v>77</v>
      </c>
      <c r="C9" s="21" t="s">
        <v>68</v>
      </c>
      <c r="D9" s="21" t="s">
        <v>69</v>
      </c>
    </row>
    <row r="10" spans="1:4" s="30" customFormat="1" ht="14">
      <c r="A10" s="37" t="s">
        <v>78</v>
      </c>
      <c r="B10" s="38"/>
      <c r="C10" s="37"/>
      <c r="D10" s="37"/>
    </row>
    <row r="11" spans="1:4" s="30" customFormat="1" ht="14">
      <c r="A11" s="39" t="s">
        <v>79</v>
      </c>
      <c r="B11" s="39" t="s">
        <v>80</v>
      </c>
      <c r="C11" s="21" t="s">
        <v>68</v>
      </c>
      <c r="D11" s="21" t="s">
        <v>69</v>
      </c>
    </row>
    <row r="12" spans="1:4" s="30" customFormat="1" ht="28">
      <c r="A12" s="39" t="s">
        <v>81</v>
      </c>
      <c r="B12" s="21" t="s">
        <v>82</v>
      </c>
      <c r="C12" s="21" t="s">
        <v>68</v>
      </c>
      <c r="D12" s="21" t="s">
        <v>69</v>
      </c>
    </row>
    <row r="13" spans="1:4" s="30" customFormat="1" ht="28">
      <c r="A13" s="39" t="s">
        <v>83</v>
      </c>
      <c r="B13" s="21" t="s">
        <v>84</v>
      </c>
      <c r="C13" s="21" t="s">
        <v>68</v>
      </c>
      <c r="D13" s="21" t="s">
        <v>69</v>
      </c>
    </row>
    <row r="14" spans="1:4" s="30" customFormat="1" ht="14">
      <c r="A14" s="39" t="s">
        <v>85</v>
      </c>
      <c r="B14" s="21" t="s">
        <v>86</v>
      </c>
      <c r="C14" s="21" t="s">
        <v>68</v>
      </c>
      <c r="D14" s="21" t="s">
        <v>69</v>
      </c>
    </row>
    <row r="15" spans="1:4" s="30" customFormat="1" ht="28">
      <c r="A15" s="39" t="s">
        <v>87</v>
      </c>
      <c r="B15" s="21" t="s">
        <v>88</v>
      </c>
      <c r="C15" s="21" t="s">
        <v>68</v>
      </c>
      <c r="D15" s="21" t="s">
        <v>69</v>
      </c>
    </row>
    <row r="16" spans="1:4" s="30" customFormat="1" ht="28">
      <c r="A16" s="39" t="s">
        <v>89</v>
      </c>
      <c r="B16" s="21" t="s">
        <v>90</v>
      </c>
      <c r="C16" s="21" t="s">
        <v>68</v>
      </c>
      <c r="D16" s="21" t="s">
        <v>69</v>
      </c>
    </row>
    <row r="17" spans="1:4" s="30" customFormat="1" ht="14">
      <c r="A17" s="37" t="s">
        <v>91</v>
      </c>
      <c r="B17" s="38"/>
      <c r="C17" s="37"/>
      <c r="D17" s="37"/>
    </row>
    <row r="18" spans="1:4" s="30" customFormat="1" ht="28">
      <c r="A18" s="39" t="s">
        <v>92</v>
      </c>
      <c r="B18" s="21" t="s">
        <v>93</v>
      </c>
      <c r="C18" s="21" t="s">
        <v>68</v>
      </c>
      <c r="D18" s="21" t="s">
        <v>69</v>
      </c>
    </row>
    <row r="19" spans="1:4" s="30" customFormat="1" ht="14">
      <c r="A19" s="39" t="s">
        <v>94</v>
      </c>
      <c r="B19" s="21" t="s">
        <v>95</v>
      </c>
      <c r="C19" s="21" t="s">
        <v>68</v>
      </c>
      <c r="D19" s="21" t="s">
        <v>69</v>
      </c>
    </row>
    <row r="20" spans="1:4" s="30" customFormat="1" ht="14">
      <c r="A20" s="39" t="s">
        <v>96</v>
      </c>
      <c r="B20" s="21" t="s">
        <v>97</v>
      </c>
      <c r="C20" s="21" t="s">
        <v>68</v>
      </c>
      <c r="D20" s="21" t="s">
        <v>69</v>
      </c>
    </row>
    <row r="21" spans="1:4" s="30" customFormat="1" ht="14">
      <c r="A21" s="39" t="s">
        <v>98</v>
      </c>
      <c r="B21" s="21" t="s">
        <v>99</v>
      </c>
      <c r="C21" s="21" t="s">
        <v>68</v>
      </c>
      <c r="D21" s="21" t="s">
        <v>69</v>
      </c>
    </row>
    <row r="22" spans="1:4" s="30" customFormat="1" ht="14">
      <c r="A22" s="37" t="s">
        <v>100</v>
      </c>
      <c r="B22" s="38"/>
      <c r="C22" s="37"/>
      <c r="D22" s="37"/>
    </row>
    <row r="23" spans="1:4" s="30" customFormat="1" ht="14">
      <c r="A23" s="39" t="s">
        <v>101</v>
      </c>
      <c r="B23" s="21" t="s">
        <v>102</v>
      </c>
      <c r="C23" s="21" t="s">
        <v>68</v>
      </c>
      <c r="D23" s="40" t="s">
        <v>69</v>
      </c>
    </row>
    <row r="24" spans="1:4" s="30" customFormat="1" ht="14">
      <c r="A24" s="39" t="s">
        <v>103</v>
      </c>
      <c r="B24" s="21" t="s">
        <v>104</v>
      </c>
      <c r="C24" s="21" t="s">
        <v>68</v>
      </c>
      <c r="D24" s="40" t="s">
        <v>69</v>
      </c>
    </row>
    <row r="25" spans="1:4" s="30" customFormat="1" ht="28">
      <c r="A25" s="39" t="s">
        <v>105</v>
      </c>
      <c r="B25" s="21" t="s">
        <v>106</v>
      </c>
      <c r="C25" s="21" t="s">
        <v>68</v>
      </c>
      <c r="D25" s="40" t="s">
        <v>69</v>
      </c>
    </row>
    <row r="26" spans="1:4" s="30" customFormat="1" ht="14">
      <c r="A26" s="39" t="s">
        <v>107</v>
      </c>
      <c r="B26" s="21" t="s">
        <v>108</v>
      </c>
      <c r="C26" s="21" t="s">
        <v>68</v>
      </c>
      <c r="D26" s="40" t="s">
        <v>69</v>
      </c>
    </row>
    <row r="27" spans="1:4" s="30" customFormat="1" ht="14">
      <c r="A27" s="37" t="s">
        <v>109</v>
      </c>
      <c r="B27" s="38"/>
      <c r="C27" s="37"/>
      <c r="D27" s="37"/>
    </row>
    <row r="28" spans="1:4" s="30" customFormat="1" ht="28">
      <c r="A28" s="39" t="s">
        <v>110</v>
      </c>
      <c r="B28" s="21" t="s">
        <v>111</v>
      </c>
      <c r="C28" s="21" t="s">
        <v>68</v>
      </c>
      <c r="D28" s="40" t="s">
        <v>69</v>
      </c>
    </row>
    <row r="29" spans="1:4" s="30" customFormat="1" ht="28">
      <c r="A29" s="39" t="s">
        <v>112</v>
      </c>
      <c r="B29" s="21" t="s">
        <v>113</v>
      </c>
      <c r="C29" s="21" t="s">
        <v>68</v>
      </c>
      <c r="D29" s="40" t="s">
        <v>69</v>
      </c>
    </row>
    <row r="30" spans="1:4" s="30" customFormat="1" ht="14">
      <c r="A30" s="39" t="s">
        <v>114</v>
      </c>
      <c r="B30" s="23" t="s">
        <v>115</v>
      </c>
      <c r="C30" s="21" t="s">
        <v>68</v>
      </c>
      <c r="D30" s="40" t="s">
        <v>69</v>
      </c>
    </row>
    <row r="31" spans="1:4" s="30" customFormat="1" ht="14">
      <c r="A31" s="41" t="s">
        <v>116</v>
      </c>
      <c r="B31" s="23" t="s">
        <v>117</v>
      </c>
      <c r="C31" s="21" t="s">
        <v>68</v>
      </c>
      <c r="D31" s="42" t="s">
        <v>69</v>
      </c>
    </row>
    <row r="32" spans="1:4" s="30" customFormat="1" ht="14">
      <c r="A32" s="39" t="s">
        <v>118</v>
      </c>
      <c r="B32" s="21" t="s">
        <v>119</v>
      </c>
      <c r="C32" s="21" t="s">
        <v>68</v>
      </c>
      <c r="D32" s="42" t="s">
        <v>69</v>
      </c>
    </row>
    <row r="33" spans="1:8" s="30" customFormat="1" ht="23.5" customHeight="1">
      <c r="A33" s="39" t="s">
        <v>120</v>
      </c>
      <c r="B33" s="21" t="s">
        <v>121</v>
      </c>
      <c r="C33" s="21" t="s">
        <v>68</v>
      </c>
      <c r="D33" s="42" t="s">
        <v>69</v>
      </c>
    </row>
    <row r="34" spans="1:8" s="30" customFormat="1" ht="14">
      <c r="A34" s="37" t="s">
        <v>122</v>
      </c>
      <c r="B34" s="38"/>
      <c r="C34" s="37"/>
      <c r="D34" s="37"/>
    </row>
    <row r="35" spans="1:8" s="30" customFormat="1" ht="28">
      <c r="A35" s="43" t="s">
        <v>123</v>
      </c>
      <c r="B35" s="23" t="s">
        <v>124</v>
      </c>
      <c r="C35" s="23" t="s">
        <v>68</v>
      </c>
      <c r="D35" s="42" t="s">
        <v>69</v>
      </c>
    </row>
    <row r="36" spans="1:8" s="30" customFormat="1" ht="28">
      <c r="A36" s="44" t="s">
        <v>125</v>
      </c>
      <c r="B36" s="21" t="s">
        <v>126</v>
      </c>
      <c r="C36" s="21" t="s">
        <v>68</v>
      </c>
      <c r="D36" s="40" t="s">
        <v>69</v>
      </c>
    </row>
    <row r="37" spans="1:8" s="30" customFormat="1" ht="14">
      <c r="A37" s="44" t="s">
        <v>127</v>
      </c>
      <c r="B37" s="21" t="s">
        <v>128</v>
      </c>
      <c r="C37" s="21" t="s">
        <v>68</v>
      </c>
      <c r="D37" s="40" t="s">
        <v>69</v>
      </c>
    </row>
    <row r="38" spans="1:8" s="30" customFormat="1" ht="14">
      <c r="A38" s="44" t="s">
        <v>129</v>
      </c>
      <c r="B38" s="21" t="s">
        <v>130</v>
      </c>
      <c r="C38" s="21" t="s">
        <v>68</v>
      </c>
      <c r="D38" s="40" t="s">
        <v>69</v>
      </c>
    </row>
    <row r="39" spans="1:8" s="30" customFormat="1" ht="14">
      <c r="A39" s="45" t="s">
        <v>131</v>
      </c>
      <c r="B39" s="46"/>
      <c r="C39" s="47"/>
      <c r="D39" s="47"/>
    </row>
    <row r="40" spans="1:8" s="30" customFormat="1" ht="14">
      <c r="A40" s="44" t="s">
        <v>132</v>
      </c>
      <c r="B40" s="21" t="s">
        <v>133</v>
      </c>
      <c r="C40" s="21" t="s">
        <v>68</v>
      </c>
      <c r="D40" s="40" t="s">
        <v>69</v>
      </c>
      <c r="E40" s="27"/>
      <c r="F40" s="27"/>
      <c r="G40" s="27"/>
      <c r="H40" s="27"/>
    </row>
    <row r="41" spans="1:8" s="30" customFormat="1" ht="28">
      <c r="A41" s="44" t="s">
        <v>134</v>
      </c>
      <c r="B41" s="21" t="s">
        <v>135</v>
      </c>
      <c r="C41" s="21" t="s">
        <v>68</v>
      </c>
      <c r="D41" s="40" t="s">
        <v>69</v>
      </c>
    </row>
    <row r="42" spans="1:8">
      <c r="A42" s="45" t="s">
        <v>136</v>
      </c>
      <c r="B42" s="46"/>
      <c r="C42" s="47"/>
      <c r="D42" s="47"/>
    </row>
    <row r="43" spans="1:8" ht="28">
      <c r="A43" s="43" t="s">
        <v>137</v>
      </c>
      <c r="B43" s="23" t="s">
        <v>138</v>
      </c>
      <c r="C43" s="23" t="s">
        <v>68</v>
      </c>
      <c r="D43" s="42" t="s">
        <v>69</v>
      </c>
    </row>
    <row r="44" spans="1:8">
      <c r="A44" s="26" t="s">
        <v>58</v>
      </c>
      <c r="B44" s="3"/>
      <c r="C44" s="30"/>
      <c r="D44" s="30"/>
    </row>
    <row r="45" spans="1:8" ht="43">
      <c r="A45" s="30"/>
      <c r="B45" s="27" t="s">
        <v>59</v>
      </c>
      <c r="C45" s="27"/>
      <c r="D45" s="27"/>
    </row>
    <row r="46" spans="1:8">
      <c r="A46" s="30"/>
      <c r="B46" s="3"/>
      <c r="C46" s="30"/>
      <c r="D46" s="30"/>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topLeftCell="A13" zoomScale="95" zoomScaleNormal="95" workbookViewId="0">
      <selection activeCell="B17" sqref="B17"/>
    </sheetView>
  </sheetViews>
  <sheetFormatPr defaultColWidth="9.1796875" defaultRowHeight="14.5"/>
  <cols>
    <col min="1" max="1" width="6.1796875" style="28" customWidth="1"/>
    <col min="2" max="2" width="38.1796875" style="28" customWidth="1"/>
    <col min="3" max="3" width="49.453125" style="28" customWidth="1"/>
    <col min="4" max="4" width="27.81640625" style="28" customWidth="1"/>
    <col min="5" max="5" width="15.1796875" style="48" customWidth="1"/>
    <col min="6" max="6" width="24.81640625" style="28" customWidth="1"/>
    <col min="7" max="1024" width="9.1796875" style="28"/>
  </cols>
  <sheetData>
    <row r="1" spans="1:6" s="30" customFormat="1" ht="14">
      <c r="A1" s="2" t="s">
        <v>139</v>
      </c>
      <c r="E1" s="49"/>
    </row>
    <row r="2" spans="1:6" s="30" customFormat="1" ht="14">
      <c r="E2" s="49"/>
    </row>
    <row r="3" spans="1:6" s="30" customFormat="1" ht="28">
      <c r="A3" s="32" t="s">
        <v>140</v>
      </c>
      <c r="B3" s="32" t="s">
        <v>141</v>
      </c>
      <c r="C3" s="32" t="s">
        <v>142</v>
      </c>
      <c r="D3" s="32" t="s">
        <v>143</v>
      </c>
      <c r="E3" s="32" t="s">
        <v>144</v>
      </c>
      <c r="F3" s="50" t="s">
        <v>145</v>
      </c>
    </row>
    <row r="4" spans="1:6" s="55" customFormat="1" ht="112">
      <c r="A4" s="51" t="s">
        <v>146</v>
      </c>
      <c r="B4" s="21" t="s">
        <v>147</v>
      </c>
      <c r="C4" s="52" t="s">
        <v>148</v>
      </c>
      <c r="D4" s="20" t="s">
        <v>149</v>
      </c>
      <c r="E4" s="53" t="s">
        <v>68</v>
      </c>
      <c r="F4" s="54" t="s">
        <v>69</v>
      </c>
    </row>
    <row r="5" spans="1:6" s="30" customFormat="1" ht="70">
      <c r="A5" s="51" t="s">
        <v>150</v>
      </c>
      <c r="B5" s="21" t="s">
        <v>151</v>
      </c>
      <c r="C5" s="52" t="s">
        <v>152</v>
      </c>
      <c r="D5" s="20" t="s">
        <v>153</v>
      </c>
      <c r="E5" s="53" t="s">
        <v>68</v>
      </c>
      <c r="F5" s="54" t="s">
        <v>69</v>
      </c>
    </row>
    <row r="6" spans="1:6" s="30" customFormat="1" ht="70">
      <c r="A6" s="51" t="s">
        <v>154</v>
      </c>
      <c r="B6" s="21" t="s">
        <v>155</v>
      </c>
      <c r="C6" s="21" t="s">
        <v>156</v>
      </c>
      <c r="D6" s="20" t="s">
        <v>153</v>
      </c>
      <c r="E6" s="53" t="s">
        <v>68</v>
      </c>
      <c r="F6" s="54" t="s">
        <v>69</v>
      </c>
    </row>
    <row r="7" spans="1:6" s="30" customFormat="1" ht="42">
      <c r="A7" s="56" t="s">
        <v>157</v>
      </c>
      <c r="B7" s="57" t="s">
        <v>158</v>
      </c>
      <c r="C7" s="57" t="s">
        <v>159</v>
      </c>
      <c r="D7" s="20" t="s">
        <v>153</v>
      </c>
      <c r="E7" s="53" t="s">
        <v>68</v>
      </c>
      <c r="F7" s="54" t="s">
        <v>69</v>
      </c>
    </row>
    <row r="8" spans="1:6" s="30" customFormat="1" ht="42">
      <c r="A8" s="51" t="s">
        <v>160</v>
      </c>
      <c r="B8" s="57" t="s">
        <v>161</v>
      </c>
      <c r="C8" s="57" t="s">
        <v>162</v>
      </c>
      <c r="D8" s="20" t="s">
        <v>153</v>
      </c>
      <c r="E8" s="53" t="s">
        <v>68</v>
      </c>
      <c r="F8" s="54" t="s">
        <v>69</v>
      </c>
    </row>
    <row r="9" spans="1:6" s="30" customFormat="1" ht="28">
      <c r="A9" s="51" t="s">
        <v>163</v>
      </c>
      <c r="B9" s="57" t="s">
        <v>164</v>
      </c>
      <c r="C9" s="57" t="s">
        <v>165</v>
      </c>
      <c r="D9" s="20" t="s">
        <v>153</v>
      </c>
      <c r="E9" s="53" t="s">
        <v>68</v>
      </c>
      <c r="F9" s="54" t="s">
        <v>69</v>
      </c>
    </row>
    <row r="10" spans="1:6" s="30" customFormat="1" ht="28">
      <c r="A10" s="51" t="s">
        <v>166</v>
      </c>
      <c r="B10" s="57" t="s">
        <v>167</v>
      </c>
      <c r="C10" s="57" t="s">
        <v>168</v>
      </c>
      <c r="D10" s="20" t="s">
        <v>149</v>
      </c>
      <c r="E10" s="53" t="s">
        <v>68</v>
      </c>
      <c r="F10" s="54" t="s">
        <v>69</v>
      </c>
    </row>
    <row r="11" spans="1:6" s="30" customFormat="1" ht="140">
      <c r="A11" s="51" t="s">
        <v>169</v>
      </c>
      <c r="B11" s="57" t="s">
        <v>170</v>
      </c>
      <c r="C11" s="57" t="s">
        <v>171</v>
      </c>
      <c r="D11" s="20" t="s">
        <v>153</v>
      </c>
      <c r="E11" s="53" t="s">
        <v>68</v>
      </c>
      <c r="F11" s="54" t="s">
        <v>69</v>
      </c>
    </row>
    <row r="12" spans="1:6" s="30" customFormat="1" ht="28">
      <c r="A12" s="51" t="s">
        <v>172</v>
      </c>
      <c r="B12" s="57" t="s">
        <v>173</v>
      </c>
      <c r="C12" s="57" t="s">
        <v>174</v>
      </c>
      <c r="D12" s="20" t="s">
        <v>149</v>
      </c>
      <c r="E12" s="53" t="s">
        <v>68</v>
      </c>
      <c r="F12" s="54" t="s">
        <v>69</v>
      </c>
    </row>
    <row r="13" spans="1:6" s="30" customFormat="1" ht="28">
      <c r="A13" s="51" t="s">
        <v>175</v>
      </c>
      <c r="B13" s="57" t="s">
        <v>176</v>
      </c>
      <c r="C13" s="57" t="s">
        <v>177</v>
      </c>
      <c r="D13" s="20" t="s">
        <v>149</v>
      </c>
      <c r="E13" s="53" t="s">
        <v>68</v>
      </c>
      <c r="F13" s="54" t="s">
        <v>69</v>
      </c>
    </row>
    <row r="14" spans="1:6" s="30" customFormat="1" ht="42">
      <c r="A14" s="51" t="s">
        <v>178</v>
      </c>
      <c r="B14" s="57" t="s">
        <v>179</v>
      </c>
      <c r="C14" s="57" t="s">
        <v>180</v>
      </c>
      <c r="D14" s="20" t="s">
        <v>153</v>
      </c>
      <c r="E14" s="53" t="s">
        <v>68</v>
      </c>
      <c r="F14" s="54" t="s">
        <v>69</v>
      </c>
    </row>
    <row r="15" spans="1:6" s="30" customFormat="1" ht="28">
      <c r="A15" s="51" t="s">
        <v>181</v>
      </c>
      <c r="B15" s="21" t="s">
        <v>182</v>
      </c>
      <c r="C15" s="40" t="s">
        <v>183</v>
      </c>
      <c r="D15" s="53" t="s">
        <v>149</v>
      </c>
      <c r="E15" s="53" t="s">
        <v>68</v>
      </c>
      <c r="F15" s="54" t="s">
        <v>69</v>
      </c>
    </row>
    <row r="16" spans="1:6" s="30" customFormat="1" ht="42">
      <c r="A16" s="58" t="s">
        <v>184</v>
      </c>
      <c r="B16" s="23" t="s">
        <v>185</v>
      </c>
      <c r="C16" s="3" t="s">
        <v>186</v>
      </c>
      <c r="D16" s="20" t="s">
        <v>153</v>
      </c>
      <c r="E16" s="59" t="s">
        <v>68</v>
      </c>
      <c r="F16" s="60" t="s">
        <v>69</v>
      </c>
    </row>
    <row r="17" spans="1:6" s="30" customFormat="1" ht="56">
      <c r="A17" s="58" t="s">
        <v>187</v>
      </c>
      <c r="B17" s="21" t="s">
        <v>188</v>
      </c>
      <c r="C17" s="57" t="s">
        <v>189</v>
      </c>
      <c r="D17" s="20" t="s">
        <v>153</v>
      </c>
      <c r="E17" s="59" t="s">
        <v>68</v>
      </c>
      <c r="F17" s="60" t="s">
        <v>69</v>
      </c>
    </row>
    <row r="18" spans="1:6" s="30" customFormat="1" ht="14">
      <c r="A18" s="26" t="s">
        <v>58</v>
      </c>
      <c r="E18" s="49"/>
    </row>
    <row r="19" spans="1:6" s="30" customFormat="1" ht="31.5" customHeight="1">
      <c r="B19" s="284" t="s">
        <v>59</v>
      </c>
      <c r="C19" s="284"/>
      <c r="D19" s="284"/>
      <c r="E19" s="27"/>
      <c r="F19" s="27"/>
    </row>
    <row r="20" spans="1:6" s="30" customFormat="1" ht="14">
      <c r="E20" s="49"/>
    </row>
    <row r="21" spans="1:6" s="30" customFormat="1" ht="14">
      <c r="E21" s="49"/>
    </row>
    <row r="22" spans="1:6" s="30" customFormat="1" ht="14">
      <c r="E22" s="49"/>
    </row>
    <row r="23" spans="1:6" s="30" customFormat="1" ht="14">
      <c r="E23" s="49"/>
    </row>
    <row r="24" spans="1:6" s="30" customFormat="1" ht="14">
      <c r="E24" s="49"/>
    </row>
    <row r="25" spans="1:6" s="30" customFormat="1" ht="14">
      <c r="E25" s="49"/>
    </row>
    <row r="26" spans="1:6" s="30" customFormat="1" ht="14">
      <c r="E26" s="49"/>
    </row>
    <row r="27" spans="1:6" s="30" customFormat="1" ht="14">
      <c r="E27" s="49"/>
    </row>
    <row r="28" spans="1:6" s="30" customFormat="1" ht="14">
      <c r="E28" s="49"/>
    </row>
    <row r="29" spans="1:6" s="30" customFormat="1" ht="14">
      <c r="E29" s="49"/>
    </row>
    <row r="30" spans="1:6" s="30" customFormat="1" ht="14">
      <c r="E30" s="49"/>
    </row>
    <row r="31" spans="1:6" s="30" customFormat="1" ht="14">
      <c r="E31" s="49"/>
    </row>
    <row r="32" spans="1:6" s="30" customFormat="1" ht="14">
      <c r="E32" s="49"/>
    </row>
    <row r="33" spans="5:5" s="30" customFormat="1" ht="14">
      <c r="E33" s="49"/>
    </row>
    <row r="34" spans="5:5" s="30" customFormat="1" ht="14">
      <c r="E34" s="49"/>
    </row>
    <row r="35" spans="5:5" s="30" customFormat="1" ht="14">
      <c r="E35" s="49"/>
    </row>
    <row r="36" spans="5:5" s="30" customFormat="1" ht="14">
      <c r="E36" s="49"/>
    </row>
    <row r="37" spans="5:5" s="30" customFormat="1" ht="14">
      <c r="E37" s="49"/>
    </row>
    <row r="38" spans="5:5" s="30" customFormat="1" ht="14">
      <c r="E38" s="49"/>
    </row>
    <row r="39" spans="5:5" s="30" customFormat="1" ht="14">
      <c r="E39" s="49"/>
    </row>
    <row r="40" spans="5:5" s="30" customFormat="1" ht="14">
      <c r="E40" s="49"/>
    </row>
    <row r="41" spans="5:5" s="30" customFormat="1" ht="14">
      <c r="E41" s="49"/>
    </row>
    <row r="42" spans="5:5" s="30" customFormat="1" ht="14">
      <c r="E42" s="49"/>
    </row>
    <row r="43" spans="5:5" s="30" customFormat="1" ht="14">
      <c r="E43" s="49"/>
    </row>
    <row r="44" spans="5:5" s="30" customFormat="1" ht="14">
      <c r="E44" s="49"/>
    </row>
    <row r="45" spans="5:5" s="30" customFormat="1" ht="14">
      <c r="E45" s="49"/>
    </row>
    <row r="46" spans="5:5" s="30" customFormat="1" ht="14">
      <c r="E46" s="49"/>
    </row>
    <row r="47" spans="5:5" s="30" customFormat="1" ht="14">
      <c r="E47" s="49"/>
    </row>
    <row r="48" spans="5:5" s="30" customFormat="1" ht="14">
      <c r="E48" s="49"/>
    </row>
    <row r="49" spans="1:6" s="30" customFormat="1" ht="14">
      <c r="E49" s="49"/>
    </row>
    <row r="50" spans="1:6" s="30" customFormat="1" ht="14">
      <c r="E50" s="49"/>
    </row>
    <row r="51" spans="1:6" s="30" customFormat="1" ht="14">
      <c r="E51" s="49"/>
    </row>
    <row r="52" spans="1:6" s="30" customFormat="1" ht="14">
      <c r="E52" s="49"/>
    </row>
    <row r="53" spans="1:6" s="30" customFormat="1" ht="14">
      <c r="E53" s="49"/>
    </row>
    <row r="54" spans="1:6" s="30" customFormat="1" ht="14">
      <c r="E54" s="49"/>
    </row>
    <row r="55" spans="1:6" s="30" customFormat="1" ht="14">
      <c r="E55" s="49"/>
    </row>
    <row r="56" spans="1:6" s="30" customFormat="1" ht="14">
      <c r="E56" s="49"/>
    </row>
    <row r="57" spans="1:6" s="30" customFormat="1" ht="14">
      <c r="E57" s="49"/>
    </row>
    <row r="58" spans="1:6" s="30" customFormat="1" ht="14">
      <c r="E58" s="49"/>
    </row>
    <row r="59" spans="1:6" s="30" customFormat="1" ht="14">
      <c r="E59" s="49"/>
    </row>
    <row r="60" spans="1:6" s="30" customFormat="1" ht="14">
      <c r="E60" s="49"/>
    </row>
    <row r="61" spans="1:6" s="30" customFormat="1" ht="14">
      <c r="E61" s="49"/>
    </row>
    <row r="62" spans="1:6" s="30" customFormat="1" ht="14">
      <c r="E62" s="49"/>
    </row>
    <row r="63" spans="1:6" s="30" customFormat="1" ht="14">
      <c r="E63" s="49"/>
    </row>
    <row r="64" spans="1:6">
      <c r="A64" s="30"/>
      <c r="B64" s="30"/>
      <c r="C64" s="30"/>
      <c r="D64" s="30"/>
      <c r="E64" s="49"/>
      <c r="F64" s="30"/>
    </row>
    <row r="65" spans="1:6">
      <c r="A65" s="30"/>
      <c r="B65" s="30"/>
      <c r="C65" s="30"/>
      <c r="D65" s="30"/>
      <c r="E65" s="49"/>
      <c r="F65" s="30"/>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topLeftCell="P3" zoomScale="70" zoomScaleNormal="70" workbookViewId="0">
      <selection activeCell="AA94" sqref="AA94"/>
    </sheetView>
  </sheetViews>
  <sheetFormatPr defaultColWidth="9.1796875" defaultRowHeight="14.5"/>
  <cols>
    <col min="2" max="2" width="4.81640625" style="61" customWidth="1"/>
    <col min="3" max="3" width="25.453125" customWidth="1"/>
    <col min="4" max="4" width="5" style="61" customWidth="1"/>
    <col min="5" max="5" width="29" style="62" customWidth="1"/>
    <col min="6" max="6" width="6.1796875" style="61" customWidth="1"/>
    <col min="7" max="7" width="28.81640625" style="62" customWidth="1"/>
    <col min="8" max="8" width="44.1796875" customWidth="1"/>
    <col min="9" max="9" width="25.453125" style="127" customWidth="1"/>
    <col min="10" max="12" width="9.1796875" style="61"/>
    <col min="13" max="17" width="15.81640625" customWidth="1"/>
    <col min="18" max="20" width="15.81640625" hidden="1" customWidth="1"/>
    <col min="21" max="21" width="15.81640625" customWidth="1"/>
    <col min="22" max="22" width="15.1796875" customWidth="1"/>
    <col min="23" max="23" width="17.453125" hidden="1" customWidth="1"/>
    <col min="24" max="24" width="12.1796875" customWidth="1"/>
    <col min="25" max="25" width="17.1796875" customWidth="1"/>
    <col min="26" max="26" width="35.81640625" style="62" customWidth="1"/>
    <col min="27" max="27" width="32.81640625" customWidth="1"/>
    <col min="28" max="28" width="23.1796875" customWidth="1"/>
    <col min="32" max="36" width="15.81640625" customWidth="1"/>
    <col min="37" max="39" width="15.81640625" hidden="1" customWidth="1"/>
    <col min="40" max="42" width="15.81640625" customWidth="1"/>
    <col min="43" max="43" width="40.81640625" style="63" customWidth="1"/>
    <col min="44" max="44" width="13.1796875" style="63" customWidth="1"/>
    <col min="45" max="45" width="24.81640625" customWidth="1"/>
  </cols>
  <sheetData>
    <row r="1" spans="1:45" s="65" customFormat="1" ht="14">
      <c r="A1" s="2" t="s">
        <v>190</v>
      </c>
      <c r="B1" s="64"/>
      <c r="D1" s="64"/>
      <c r="E1" s="66"/>
      <c r="F1" s="64"/>
      <c r="G1" s="66"/>
      <c r="J1" s="64"/>
      <c r="K1" s="64"/>
      <c r="L1" s="64"/>
      <c r="Z1" s="66"/>
    </row>
    <row r="2" spans="1:45" s="65" customFormat="1" ht="14">
      <c r="A2" s="65" t="s">
        <v>191</v>
      </c>
      <c r="B2" s="64"/>
      <c r="D2" s="64"/>
      <c r="E2" s="66"/>
      <c r="F2" s="64"/>
      <c r="G2" s="66"/>
      <c r="J2" s="64"/>
      <c r="K2" s="64"/>
      <c r="L2" s="64"/>
      <c r="Z2" s="66"/>
    </row>
    <row r="3" spans="1:45" s="65" customFormat="1" ht="23.25" customHeight="1">
      <c r="A3" s="67"/>
      <c r="B3" s="68"/>
      <c r="C3" s="69"/>
      <c r="D3" s="70"/>
      <c r="E3" s="71"/>
      <c r="F3" s="285" t="s">
        <v>192</v>
      </c>
      <c r="G3" s="285"/>
      <c r="H3" s="285"/>
      <c r="I3" s="285"/>
      <c r="J3" s="286" t="s">
        <v>193</v>
      </c>
      <c r="K3" s="286"/>
      <c r="L3" s="286"/>
      <c r="M3" s="286"/>
      <c r="N3" s="286"/>
      <c r="O3" s="286"/>
      <c r="P3" s="286"/>
      <c r="Q3" s="286"/>
      <c r="R3" s="286"/>
      <c r="S3" s="286"/>
      <c r="T3" s="286"/>
      <c r="U3" s="286"/>
      <c r="V3" s="286"/>
      <c r="W3" s="286"/>
      <c r="X3" s="286"/>
      <c r="Y3" s="286"/>
      <c r="Z3" s="287" t="s">
        <v>194</v>
      </c>
      <c r="AA3" s="287"/>
      <c r="AB3" s="287"/>
      <c r="AC3" s="288" t="s">
        <v>195</v>
      </c>
      <c r="AD3" s="288"/>
      <c r="AE3" s="288"/>
      <c r="AF3" s="288"/>
      <c r="AG3" s="288"/>
      <c r="AH3" s="288"/>
      <c r="AI3" s="288"/>
      <c r="AJ3" s="288"/>
      <c r="AK3" s="288"/>
      <c r="AL3" s="288"/>
      <c r="AM3" s="288"/>
      <c r="AN3" s="288"/>
      <c r="AO3" s="288"/>
      <c r="AP3" s="288"/>
      <c r="AQ3" s="288"/>
      <c r="AR3" s="66"/>
      <c r="AS3" s="66"/>
    </row>
    <row r="4" spans="1:45" s="65" customFormat="1" ht="88.5" customHeight="1">
      <c r="A4" s="73" t="s">
        <v>196</v>
      </c>
      <c r="B4" s="74" t="s">
        <v>197</v>
      </c>
      <c r="C4" s="75" t="s">
        <v>198</v>
      </c>
      <c r="D4" s="76" t="s">
        <v>199</v>
      </c>
      <c r="E4" s="77" t="s">
        <v>200</v>
      </c>
      <c r="F4" s="78" t="s">
        <v>201</v>
      </c>
      <c r="G4" s="79" t="s">
        <v>8</v>
      </c>
      <c r="H4" s="79" t="s">
        <v>202</v>
      </c>
      <c r="I4" s="80" t="s">
        <v>203</v>
      </c>
      <c r="J4" s="81" t="s">
        <v>204</v>
      </c>
      <c r="K4" s="81" t="s">
        <v>205</v>
      </c>
      <c r="L4" s="81" t="s">
        <v>206</v>
      </c>
      <c r="M4" s="82" t="s">
        <v>207</v>
      </c>
      <c r="N4" s="82" t="s">
        <v>208</v>
      </c>
      <c r="O4" s="82" t="s">
        <v>209</v>
      </c>
      <c r="P4" s="82" t="s">
        <v>210</v>
      </c>
      <c r="Q4" s="82" t="s">
        <v>211</v>
      </c>
      <c r="R4" s="82" t="s">
        <v>212</v>
      </c>
      <c r="S4" s="82" t="s">
        <v>213</v>
      </c>
      <c r="T4" s="82" t="s">
        <v>214</v>
      </c>
      <c r="U4" s="82" t="s">
        <v>215</v>
      </c>
      <c r="V4" s="83" t="s">
        <v>216</v>
      </c>
      <c r="W4" s="83" t="s">
        <v>217</v>
      </c>
      <c r="X4" s="84" t="s">
        <v>218</v>
      </c>
      <c r="Y4" s="85" t="s">
        <v>219</v>
      </c>
      <c r="Z4" s="86" t="s">
        <v>220</v>
      </c>
      <c r="AA4" s="86" t="s">
        <v>221</v>
      </c>
      <c r="AB4" s="86" t="s">
        <v>222</v>
      </c>
      <c r="AC4" s="87" t="s">
        <v>223</v>
      </c>
      <c r="AD4" s="87" t="s">
        <v>224</v>
      </c>
      <c r="AE4" s="87" t="s">
        <v>225</v>
      </c>
      <c r="AF4" s="72" t="s">
        <v>226</v>
      </c>
      <c r="AG4" s="72" t="s">
        <v>227</v>
      </c>
      <c r="AH4" s="72" t="s">
        <v>228</v>
      </c>
      <c r="AI4" s="72" t="s">
        <v>229</v>
      </c>
      <c r="AJ4" s="72" t="s">
        <v>230</v>
      </c>
      <c r="AK4" s="72" t="s">
        <v>231</v>
      </c>
      <c r="AL4" s="72" t="s">
        <v>232</v>
      </c>
      <c r="AM4" s="72" t="s">
        <v>233</v>
      </c>
      <c r="AN4" s="72" t="s">
        <v>234</v>
      </c>
      <c r="AO4" s="72" t="s">
        <v>235</v>
      </c>
      <c r="AP4" s="72" t="s">
        <v>236</v>
      </c>
      <c r="AQ4" s="88" t="s">
        <v>237</v>
      </c>
      <c r="AR4" s="66"/>
      <c r="AS4" s="66"/>
    </row>
    <row r="5" spans="1:45" s="30" customFormat="1" ht="196" hidden="1">
      <c r="A5" s="89">
        <v>1</v>
      </c>
      <c r="B5" s="90" t="s">
        <v>146</v>
      </c>
      <c r="C5" s="91" t="str">
        <f>IF(VLOOKUP(Table4[[#This Row],[T ID]],Table5[#All],5,FALSE())="No","Not in scope",VLOOKUP(Table4[[#This Row],[T ID]],Table5[#All],2,FALSE()))</f>
        <v>Deliver undirected malware
(CAPEC-185)</v>
      </c>
      <c r="D5" s="61" t="s">
        <v>94</v>
      </c>
      <c r="E5" s="91" t="str">
        <f>IF(VLOOKUP(Table4[[#This Row],[V ID]],Vulnerabilities[#All],3,FALSE())="No","Not in scope",VLOOKUP(Table4[[#This Row],[V ID]],Vulnerabilities[#All],2,FALSE()))</f>
        <v>Unprotected external USB Port on the tablet/devices.</v>
      </c>
      <c r="F5" s="92" t="s">
        <v>10</v>
      </c>
      <c r="G5" s="93" t="str">
        <f>VLOOKUP(Table4[[#This Row],[A ID]],Assets[#All],3,FALSE())</f>
        <v>Tablet Resources - web cam, microphone, OTG devices, Removable USB, Tablet Application, Network interfaces (Bluetooth, Wifi)</v>
      </c>
      <c r="H5" s="21" t="s">
        <v>238</v>
      </c>
      <c r="I5" s="161"/>
      <c r="J5" s="94" t="s">
        <v>239</v>
      </c>
      <c r="K5" s="94" t="s">
        <v>239</v>
      </c>
      <c r="L5" s="94" t="s">
        <v>239</v>
      </c>
      <c r="M5" s="95" t="s">
        <v>240</v>
      </c>
      <c r="N5" s="95" t="s">
        <v>239</v>
      </c>
      <c r="O5" s="95" t="s">
        <v>239</v>
      </c>
      <c r="P5" s="95" t="s">
        <v>241</v>
      </c>
      <c r="Q5" s="95" t="s">
        <v>242</v>
      </c>
      <c r="R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6">
        <f>(1 - ((1 - VLOOKUP(Table4[[#This Row],[Confidentiality]],'Reference - CVSSv3.0'!$B$15:$C$17,2,FALSE())) * (1 - VLOOKUP(Table4[[#This Row],[Integrity]],'Reference - CVSSv3.0'!$B$15:$C$17,2,FALSE())) *  (1 - VLOOKUP(Table4[[#This Row],[Availability]],'Reference - CVSSv3.0'!$B$15:$C$17,2,FALSE()))))</f>
        <v>0.52544799999999992</v>
      </c>
      <c r="T5" s="96">
        <f>IF(Table4[[#This Row],[Scope]]="Unchanged",6.42*Table4[[#This Row],[ISC Base]],IF(Table4[[#This Row],[Scope]]="Changed",7.52*(Table4[[#This Row],[ISC Base]] - 0.029) - 3.25 * POWER(Table4[[#This Row],[ISC Base]] - 0.02,15),NA()))</f>
        <v>3.3733761599999994</v>
      </c>
      <c r="U5"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5" s="90" t="s">
        <v>239</v>
      </c>
      <c r="W5" s="97">
        <f>VLOOKUP(Table4[[#This Row],[Threat Event Initiation]],NIST_Scale_LOAI[],2,FALSE())</f>
        <v>0.2</v>
      </c>
      <c r="X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t="s">
        <v>446</v>
      </c>
      <c r="AA5" s="21" t="s">
        <v>436</v>
      </c>
      <c r="AB5" s="99"/>
      <c r="AC5" s="94"/>
      <c r="AD5" s="94"/>
      <c r="AE5" s="94"/>
      <c r="AF5" s="95"/>
      <c r="AG5" s="95"/>
      <c r="AH5" s="95"/>
      <c r="AI5" s="95"/>
      <c r="AJ5" s="95"/>
      <c r="AK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6" t="e">
        <f>(1 - ((1 - VLOOKUP(Table4[[#This Row],[ConfidentialityP]],'Reference - CVSSv3.0'!$B$15:$C$17,2,FALSE())) * (1 - VLOOKUP(Table4[[#This Row],[IntegrityP]],'Reference - CVSSv3.0'!$B$15:$C$17,2,FALSE())) *  (1 - VLOOKUP(Table4[[#This Row],[AvailabilityP]],'Reference - CVSSv3.0'!$B$15:$C$17,2,FALSE()))))</f>
        <v>#N/A</v>
      </c>
      <c r="AM5" s="96" t="e">
        <f>IF(Table4[[#This Row],[ScopeP]]="Unchanged",6.42*Table4[[#This Row],[ISC BaseP]],IF(Table4[[#This Row],[ScopeP]]="Changed",7.52*(Table4[[#This Row],[ISC BaseP]] - 0.029) - 3.25 * POWER(Table4[[#This Row],[ISC BaseP]] - 0.02,15),NA()))</f>
        <v>#N/A</v>
      </c>
      <c r="AN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0" t="s">
        <v>191</v>
      </c>
    </row>
    <row r="6" spans="1:45" s="30" customFormat="1" ht="196">
      <c r="A6" s="89">
        <v>2</v>
      </c>
      <c r="B6" s="90" t="s">
        <v>146</v>
      </c>
      <c r="C6" s="100" t="str">
        <f>IF(VLOOKUP(Table4[[#This Row],[T ID]],Table5[#All],5,FALSE())="No","Not in scope",VLOOKUP(Table4[[#This Row],[T ID]],Table5[#All],2,FALSE()))</f>
        <v>Deliver undirected malware
(CAPEC-185)</v>
      </c>
      <c r="D6" s="61" t="s">
        <v>94</v>
      </c>
      <c r="E6" s="100" t="str">
        <f>IF(VLOOKUP(Table4[[#This Row],[V ID]],Vulnerabilities[#All],3,FALSE())="No","Not in scope",VLOOKUP(Table4[[#This Row],[V ID]],Vulnerabilities[#All],2,FALSE()))</f>
        <v>Unprotected external USB Port on the tablet/devices.</v>
      </c>
      <c r="F6" s="101" t="s">
        <v>18</v>
      </c>
      <c r="G6" s="100" t="str">
        <f>VLOOKUP(Table4[[#This Row],[A ID]],Assets[#All],3,FALSE())</f>
        <v>Smart medic (Stryker device) System Component</v>
      </c>
      <c r="H6" s="21" t="s">
        <v>238</v>
      </c>
      <c r="I6" s="161"/>
      <c r="J6" s="94" t="s">
        <v>239</v>
      </c>
      <c r="K6" s="94" t="s">
        <v>239</v>
      </c>
      <c r="L6" s="94" t="s">
        <v>239</v>
      </c>
      <c r="M6" s="95" t="s">
        <v>240</v>
      </c>
      <c r="N6" s="95" t="s">
        <v>239</v>
      </c>
      <c r="O6" s="95" t="s">
        <v>239</v>
      </c>
      <c r="P6" s="95" t="s">
        <v>241</v>
      </c>
      <c r="Q6" s="95" t="s">
        <v>242</v>
      </c>
      <c r="R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6">
        <f>(1 - ((1 - VLOOKUP(Table4[[#This Row],[Confidentiality]],'Reference - CVSSv3.0'!$B$15:$C$17,2,FALSE())) * (1 - VLOOKUP(Table4[[#This Row],[Integrity]],'Reference - CVSSv3.0'!$B$15:$C$17,2,FALSE())) *  (1 - VLOOKUP(Table4[[#This Row],[Availability]],'Reference - CVSSv3.0'!$B$15:$C$17,2,FALSE()))))</f>
        <v>0.52544799999999992</v>
      </c>
      <c r="T6" s="96">
        <f>IF(Table4[[#This Row],[Scope]]="Unchanged",6.42*Table4[[#This Row],[ISC Base]],IF(Table4[[#This Row],[Scope]]="Changed",7.52*(Table4[[#This Row],[ISC Base]] - 0.029) - 3.25 * POWER(Table4[[#This Row],[ISC Base]] - 0.02,15),NA()))</f>
        <v>3.3733761599999994</v>
      </c>
      <c r="U6"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 s="90" t="s">
        <v>239</v>
      </c>
      <c r="W6" s="96">
        <f>VLOOKUP(Table4[[#This Row],[Threat Event Initiation]],NIST_Scale_LOAI[],2,FALSE())</f>
        <v>0.2</v>
      </c>
      <c r="X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t="s">
        <v>446</v>
      </c>
      <c r="AA6" s="21" t="s">
        <v>246</v>
      </c>
      <c r="AB6" s="99"/>
      <c r="AC6" s="40"/>
      <c r="AD6" s="40"/>
      <c r="AE6" s="40"/>
      <c r="AF6" s="95"/>
      <c r="AG6" s="95"/>
      <c r="AH6" s="95"/>
      <c r="AI6" s="95"/>
      <c r="AJ6" s="104"/>
      <c r="AK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6" t="e">
        <f>(1 - ((1 - VLOOKUP(Table4[[#This Row],[ConfidentialityP]],'Reference - CVSSv3.0'!$B$15:$C$17,2,FALSE())) * (1 - VLOOKUP(Table4[[#This Row],[IntegrityP]],'Reference - CVSSv3.0'!$B$15:$C$17,2,FALSE())) *  (1 - VLOOKUP(Table4[[#This Row],[AvailabilityP]],'Reference - CVSSv3.0'!$B$15:$C$17,2,FALSE()))))</f>
        <v>#N/A</v>
      </c>
      <c r="AM6" s="96" t="e">
        <f>IF(Table4[[#This Row],[ScopeP]]="Unchanged",6.42*Table4[[#This Row],[ISC BaseP]],IF(Table4[[#This Row],[ScopeP]]="Changed",7.52*(Table4[[#This Row],[ISC BaseP]] - 0.029) - 3.25 * POWER(Table4[[#This Row],[ISC BaseP]] - 0.02,15),NA()))</f>
        <v>#N/A</v>
      </c>
      <c r="AN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0"/>
    </row>
    <row r="7" spans="1:45" s="30" customFormat="1" ht="196">
      <c r="A7" s="89">
        <v>3</v>
      </c>
      <c r="B7" s="90" t="s">
        <v>146</v>
      </c>
      <c r="C7" s="100" t="str">
        <f>IF(VLOOKUP(Table4[[#This Row],[T ID]],Table5[#All],5,FALSE())="No","Not in scope",VLOOKUP(Table4[[#This Row],[T ID]],Table5[#All],2,FALSE()))</f>
        <v>Deliver undirected malware
(CAPEC-185)</v>
      </c>
      <c r="D7" s="61" t="s">
        <v>70</v>
      </c>
      <c r="E7" s="100" t="str">
        <f>IF(VLOOKUP(Table4[[#This Row],[V ID]],Vulnerabilities[#All],3,FALSE())="No","Not in scope",VLOOKUP(Table4[[#This Row],[V ID]],Vulnerabilities[#All],2,FALSE()))</f>
        <v>External communications and exposure for communciation channels from and to application and devices like tablet and smartmedic device.</v>
      </c>
      <c r="F7" s="101" t="s">
        <v>18</v>
      </c>
      <c r="G7" s="100" t="str">
        <f>VLOOKUP(Table4[[#This Row],[A ID]],Assets[#All],3,FALSE())</f>
        <v>Smart medic (Stryker device) System Component</v>
      </c>
      <c r="H7" s="21" t="s">
        <v>238</v>
      </c>
      <c r="I7" s="161"/>
      <c r="J7" s="94" t="s">
        <v>239</v>
      </c>
      <c r="K7" s="94" t="s">
        <v>239</v>
      </c>
      <c r="L7" s="94" t="s">
        <v>239</v>
      </c>
      <c r="M7" s="95" t="s">
        <v>244</v>
      </c>
      <c r="N7" s="95" t="s">
        <v>239</v>
      </c>
      <c r="O7" s="95" t="s">
        <v>239</v>
      </c>
      <c r="P7" s="95" t="s">
        <v>241</v>
      </c>
      <c r="Q7" s="95" t="s">
        <v>242</v>
      </c>
      <c r="R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6">
        <f>(1 - ((1 - VLOOKUP(Table4[[#This Row],[Confidentiality]],'Reference - CVSSv3.0'!$B$15:$C$17,2,FALSE())) * (1 - VLOOKUP(Table4[[#This Row],[Integrity]],'Reference - CVSSv3.0'!$B$15:$C$17,2,FALSE())) *  (1 - VLOOKUP(Table4[[#This Row],[Availability]],'Reference - CVSSv3.0'!$B$15:$C$17,2,FALSE()))))</f>
        <v>0.52544799999999992</v>
      </c>
      <c r="T7" s="96">
        <f>IF(Table4[[#This Row],[Scope]]="Unchanged",6.42*Table4[[#This Row],[ISC Base]],IF(Table4[[#This Row],[Scope]]="Changed",7.52*(Table4[[#This Row],[ISC Base]] - 0.029) - 3.25 * POWER(Table4[[#This Row],[ISC Base]] - 0.02,15),NA()))</f>
        <v>3.3733761599999994</v>
      </c>
      <c r="U7"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7" s="90" t="s">
        <v>239</v>
      </c>
      <c r="W7" s="96">
        <f>VLOOKUP(Table4[[#This Row],[Threat Event Initiation]],NIST_Scale_LOAI[],2,FALSE())</f>
        <v>0.2</v>
      </c>
      <c r="X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t="s">
        <v>446</v>
      </c>
      <c r="AA7" s="21" t="s">
        <v>246</v>
      </c>
      <c r="AB7" s="99"/>
      <c r="AC7" s="40"/>
      <c r="AD7" s="40"/>
      <c r="AE7" s="40"/>
      <c r="AF7" s="95"/>
      <c r="AG7" s="95"/>
      <c r="AH7" s="95"/>
      <c r="AI7" s="95"/>
      <c r="AJ7" s="104"/>
      <c r="AK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6" t="e">
        <f>(1 - ((1 - VLOOKUP(Table4[[#This Row],[ConfidentialityP]],'Reference - CVSSv3.0'!$B$15:$C$17,2,FALSE())) * (1 - VLOOKUP(Table4[[#This Row],[IntegrityP]],'Reference - CVSSv3.0'!$B$15:$C$17,2,FALSE())) *  (1 - VLOOKUP(Table4[[#This Row],[AvailabilityP]],'Reference - CVSSv3.0'!$B$15:$C$17,2,FALSE()))))</f>
        <v>#N/A</v>
      </c>
      <c r="AM7" s="96" t="e">
        <f>IF(Table4[[#This Row],[ScopeP]]="Unchanged",6.42*Table4[[#This Row],[ISC BaseP]],IF(Table4[[#This Row],[ScopeP]]="Changed",7.52*(Table4[[#This Row],[ISC BaseP]] - 0.029) - 3.25 * POWER(Table4[[#This Row],[ISC BaseP]] - 0.02,15),NA()))</f>
        <v>#N/A</v>
      </c>
      <c r="AN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0"/>
    </row>
    <row r="8" spans="1:45" s="30" customFormat="1" ht="196" hidden="1">
      <c r="A8" s="89">
        <v>4</v>
      </c>
      <c r="B8" s="90" t="s">
        <v>146</v>
      </c>
      <c r="C8" s="100" t="str">
        <f>IF(VLOOKUP(Table4[[#This Row],[T ID]],Table5[#All],5,FALSE())="No","Not in scope",VLOOKUP(Table4[[#This Row],[T ID]],Table5[#All],2,FALSE()))</f>
        <v>Deliver undirected malware
(CAPEC-185)</v>
      </c>
      <c r="D8" s="61" t="s">
        <v>70</v>
      </c>
      <c r="E8" s="100" t="str">
        <f>IF(VLOOKUP(Table4[[#This Row],[V ID]],Vulnerabilities[#All],3,FALSE())="No","Not in scope",VLOOKUP(Table4[[#This Row],[V ID]],Vulnerabilities[#All],2,FALSE()))</f>
        <v>External communications and exposure for communciation channels from and to application and devices like tablet and smartmedic device.</v>
      </c>
      <c r="F8" s="92" t="s">
        <v>10</v>
      </c>
      <c r="G8" s="100" t="str">
        <f>VLOOKUP(Table4[[#This Row],[A ID]],Assets[#All],3,FALSE())</f>
        <v>Tablet Resources - web cam, microphone, OTG devices, Removable USB, Tablet Application, Network interfaces (Bluetooth, Wifi)</v>
      </c>
      <c r="H8" s="21" t="s">
        <v>238</v>
      </c>
      <c r="I8" s="161"/>
      <c r="J8" s="94" t="s">
        <v>239</v>
      </c>
      <c r="K8" s="94" t="s">
        <v>239</v>
      </c>
      <c r="L8" s="94" t="s">
        <v>239</v>
      </c>
      <c r="M8" s="95" t="s">
        <v>244</v>
      </c>
      <c r="N8" s="95" t="s">
        <v>239</v>
      </c>
      <c r="O8" s="95" t="s">
        <v>239</v>
      </c>
      <c r="P8" s="95" t="s">
        <v>241</v>
      </c>
      <c r="Q8" s="95" t="s">
        <v>242</v>
      </c>
      <c r="R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6">
        <f>(1 - ((1 - VLOOKUP(Table4[[#This Row],[Confidentiality]],'Reference - CVSSv3.0'!$B$15:$C$17,2,FALSE())) * (1 - VLOOKUP(Table4[[#This Row],[Integrity]],'Reference - CVSSv3.0'!$B$15:$C$17,2,FALSE())) *  (1 - VLOOKUP(Table4[[#This Row],[Availability]],'Reference - CVSSv3.0'!$B$15:$C$17,2,FALSE()))))</f>
        <v>0.52544799999999992</v>
      </c>
      <c r="T8" s="96">
        <f>IF(Table4[[#This Row],[Scope]]="Unchanged",6.42*Table4[[#This Row],[ISC Base]],IF(Table4[[#This Row],[Scope]]="Changed",7.52*(Table4[[#This Row],[ISC Base]] - 0.029) - 3.25 * POWER(Table4[[#This Row],[ISC Base]] - 0.02,15),NA()))</f>
        <v>3.3733761599999994</v>
      </c>
      <c r="U8"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8" s="90" t="s">
        <v>239</v>
      </c>
      <c r="W8" s="96">
        <f>VLOOKUP(Table4[[#This Row],[Threat Event Initiation]],NIST_Scale_LOAI[],2,FALSE())</f>
        <v>0.2</v>
      </c>
      <c r="X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t="s">
        <v>446</v>
      </c>
      <c r="AA8" s="21" t="s">
        <v>246</v>
      </c>
      <c r="AB8" s="99"/>
      <c r="AC8" s="40"/>
      <c r="AD8" s="40"/>
      <c r="AE8" s="40"/>
      <c r="AF8" s="95"/>
      <c r="AG8" s="95"/>
      <c r="AH8" s="95"/>
      <c r="AI8" s="95"/>
      <c r="AJ8" s="104"/>
      <c r="AK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6" t="e">
        <f>(1 - ((1 - VLOOKUP(Table4[[#This Row],[ConfidentialityP]],'Reference - CVSSv3.0'!$B$15:$C$17,2,FALSE())) * (1 - VLOOKUP(Table4[[#This Row],[IntegrityP]],'Reference - CVSSv3.0'!$B$15:$C$17,2,FALSE())) *  (1 - VLOOKUP(Table4[[#This Row],[AvailabilityP]],'Reference - CVSSv3.0'!$B$15:$C$17,2,FALSE()))))</f>
        <v>#N/A</v>
      </c>
      <c r="AM8" s="96" t="e">
        <f>IF(Table4[[#This Row],[ScopeP]]="Unchanged",6.42*Table4[[#This Row],[ISC BaseP]],IF(Table4[[#This Row],[ScopeP]]="Changed",7.52*(Table4[[#This Row],[ISC BaseP]] - 0.029) - 3.25 * POWER(Table4[[#This Row],[ISC BaseP]] - 0.02,15),NA()))</f>
        <v>#N/A</v>
      </c>
      <c r="AN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0"/>
    </row>
    <row r="9" spans="1:45" s="30" customFormat="1" ht="196">
      <c r="A9" s="89">
        <v>5</v>
      </c>
      <c r="B9" s="90" t="s">
        <v>146</v>
      </c>
      <c r="C9" s="100" t="str">
        <f>IF(VLOOKUP(Table4[[#This Row],[T ID]],Table5[#All],5,FALSE())="No","Not in scope",VLOOKUP(Table4[[#This Row],[T ID]],Table5[#All],2,FALSE()))</f>
        <v>Deliver undirected malware
(CAPEC-185)</v>
      </c>
      <c r="D9" s="61" t="s">
        <v>114</v>
      </c>
      <c r="E9" s="100" t="str">
        <f>IF(VLOOKUP(Table4[[#This Row],[V ID]],Vulnerabilities[#All],3,FALSE())="No","Not in scope",VLOOKUP(Table4[[#This Row],[V ID]],Vulnerabilities[#All],2,FALSE()))</f>
        <v>Legacy system identification if any</v>
      </c>
      <c r="F9" s="101" t="s">
        <v>18</v>
      </c>
      <c r="G9" s="100" t="str">
        <f>VLOOKUP(Table4[[#This Row],[A ID]],Assets[#All],3,FALSE())</f>
        <v>Smart medic (Stryker device) System Component</v>
      </c>
      <c r="H9" s="21" t="s">
        <v>238</v>
      </c>
      <c r="I9" s="161"/>
      <c r="J9" s="94" t="s">
        <v>239</v>
      </c>
      <c r="K9" s="94" t="s">
        <v>239</v>
      </c>
      <c r="L9" s="94" t="s">
        <v>239</v>
      </c>
      <c r="M9" s="95" t="s">
        <v>240</v>
      </c>
      <c r="N9" s="95" t="s">
        <v>239</v>
      </c>
      <c r="O9" s="95" t="s">
        <v>239</v>
      </c>
      <c r="P9" s="95" t="s">
        <v>243</v>
      </c>
      <c r="Q9" s="95" t="s">
        <v>242</v>
      </c>
      <c r="R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6">
        <f>(1 - ((1 - VLOOKUP(Table4[[#This Row],[Confidentiality]],'Reference - CVSSv3.0'!$B$15:$C$17,2,FALSE())) * (1 - VLOOKUP(Table4[[#This Row],[Integrity]],'Reference - CVSSv3.0'!$B$15:$C$17,2,FALSE())) *  (1 - VLOOKUP(Table4[[#This Row],[Availability]],'Reference - CVSSv3.0'!$B$15:$C$17,2,FALSE()))))</f>
        <v>0.52544799999999992</v>
      </c>
      <c r="T9" s="96">
        <f>IF(Table4[[#This Row],[Scope]]="Unchanged",6.42*Table4[[#This Row],[ISC Base]],IF(Table4[[#This Row],[Scope]]="Changed",7.52*(Table4[[#This Row],[ISC Base]] - 0.029) - 3.25 * POWER(Table4[[#This Row],[ISC Base]] - 0.02,15),NA()))</f>
        <v>3.3733761599999994</v>
      </c>
      <c r="U9"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90" t="s">
        <v>239</v>
      </c>
      <c r="W9" s="96">
        <f>VLOOKUP(Table4[[#This Row],[Threat Event Initiation]],NIST_Scale_LOAI[],2,FALSE())</f>
        <v>0.2</v>
      </c>
      <c r="X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t="s">
        <v>446</v>
      </c>
      <c r="AA9" s="21" t="s">
        <v>246</v>
      </c>
      <c r="AB9" s="99"/>
      <c r="AC9" s="40"/>
      <c r="AD9" s="40"/>
      <c r="AE9" s="40"/>
      <c r="AF9" s="95"/>
      <c r="AG9" s="95"/>
      <c r="AH9" s="95"/>
      <c r="AI9" s="95"/>
      <c r="AJ9" s="104"/>
      <c r="AK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6" t="e">
        <f>(1 - ((1 - VLOOKUP(Table4[[#This Row],[ConfidentialityP]],'Reference - CVSSv3.0'!$B$15:$C$17,2,FALSE())) * (1 - VLOOKUP(Table4[[#This Row],[IntegrityP]],'Reference - CVSSv3.0'!$B$15:$C$17,2,FALSE())) *  (1 - VLOOKUP(Table4[[#This Row],[AvailabilityP]],'Reference - CVSSv3.0'!$B$15:$C$17,2,FALSE()))))</f>
        <v>#N/A</v>
      </c>
      <c r="AM9" s="96" t="e">
        <f>IF(Table4[[#This Row],[ScopeP]]="Unchanged",6.42*Table4[[#This Row],[ISC BaseP]],IF(Table4[[#This Row],[ScopeP]]="Changed",7.52*(Table4[[#This Row],[ISC BaseP]] - 0.029) - 3.25 * POWER(Table4[[#This Row],[ISC BaseP]] - 0.02,15),NA()))</f>
        <v>#N/A</v>
      </c>
      <c r="AN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0"/>
    </row>
    <row r="10" spans="1:45" s="30" customFormat="1" ht="168" hidden="1">
      <c r="A10" s="89">
        <v>6</v>
      </c>
      <c r="B10" s="90" t="s">
        <v>146</v>
      </c>
      <c r="C10" s="100" t="str">
        <f>IF(VLOOKUP(Table4[[#This Row],[T ID]],Table5[#All],5,FALSE())="No","Not in scope",VLOOKUP(Table4[[#This Row],[T ID]],Table5[#All],2,FALSE()))</f>
        <v>Deliver undirected malware
(CAPEC-185)</v>
      </c>
      <c r="D10" s="61" t="s">
        <v>114</v>
      </c>
      <c r="E10" s="100" t="str">
        <f>IF(VLOOKUP(Table4[[#This Row],[V ID]],Vulnerabilities[#All],3,FALSE())="No","Not in scope",VLOOKUP(Table4[[#This Row],[V ID]],Vulnerabilities[#All],2,FALSE()))</f>
        <v>Legacy system identification if any</v>
      </c>
      <c r="F10" s="92" t="s">
        <v>10</v>
      </c>
      <c r="G10" s="100" t="str">
        <f>VLOOKUP(Table4[[#This Row],[A ID]],Assets[#All],3,FALSE())</f>
        <v>Tablet Resources - web cam, microphone, OTG devices, Removable USB, Tablet Application, Network interfaces (Bluetooth, Wifi)</v>
      </c>
      <c r="H10" s="21" t="s">
        <v>238</v>
      </c>
      <c r="I10" s="161"/>
      <c r="J10" s="94" t="s">
        <v>239</v>
      </c>
      <c r="K10" s="94" t="s">
        <v>239</v>
      </c>
      <c r="L10" s="94" t="s">
        <v>239</v>
      </c>
      <c r="M10" s="95" t="s">
        <v>240</v>
      </c>
      <c r="N10" s="95" t="s">
        <v>239</v>
      </c>
      <c r="O10" s="95" t="s">
        <v>239</v>
      </c>
      <c r="P10" s="95" t="s">
        <v>243</v>
      </c>
      <c r="Q10" s="95" t="s">
        <v>242</v>
      </c>
      <c r="R1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6">
        <f>(1 - ((1 - VLOOKUP(Table4[[#This Row],[Confidentiality]],'Reference - CVSSv3.0'!$B$15:$C$17,2,FALSE())) * (1 - VLOOKUP(Table4[[#This Row],[Integrity]],'Reference - CVSSv3.0'!$B$15:$C$17,2,FALSE())) *  (1 - VLOOKUP(Table4[[#This Row],[Availability]],'Reference - CVSSv3.0'!$B$15:$C$17,2,FALSE()))))</f>
        <v>0.52544799999999992</v>
      </c>
      <c r="T10" s="96">
        <f>IF(Table4[[#This Row],[Scope]]="Unchanged",6.42*Table4[[#This Row],[ISC Base]],IF(Table4[[#This Row],[Scope]]="Changed",7.52*(Table4[[#This Row],[ISC Base]] - 0.029) - 3.25 * POWER(Table4[[#This Row],[ISC Base]] - 0.02,15),NA()))</f>
        <v>3.3733761599999994</v>
      </c>
      <c r="U1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90" t="s">
        <v>239</v>
      </c>
      <c r="W10" s="96">
        <f>VLOOKUP(Table4[[#This Row],[Threat Event Initiation]],NIST_Scale_LOAI[],2,FALSE())</f>
        <v>0.2</v>
      </c>
      <c r="X1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t="s">
        <v>446</v>
      </c>
      <c r="AA10" s="21" t="s">
        <v>375</v>
      </c>
      <c r="AB10" s="99"/>
      <c r="AC10" s="40"/>
      <c r="AD10" s="40"/>
      <c r="AE10" s="40"/>
      <c r="AF10" s="95"/>
      <c r="AG10" s="95"/>
      <c r="AH10" s="95"/>
      <c r="AI10" s="95"/>
      <c r="AJ10" s="104"/>
      <c r="AK1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6" t="e">
        <f>(1 - ((1 - VLOOKUP(Table4[[#This Row],[ConfidentialityP]],'Reference - CVSSv3.0'!$B$15:$C$17,2,FALSE())) * (1 - VLOOKUP(Table4[[#This Row],[IntegrityP]],'Reference - CVSSv3.0'!$B$15:$C$17,2,FALSE())) *  (1 - VLOOKUP(Table4[[#This Row],[AvailabilityP]],'Reference - CVSSv3.0'!$B$15:$C$17,2,FALSE()))))</f>
        <v>#N/A</v>
      </c>
      <c r="AM10" s="96" t="e">
        <f>IF(Table4[[#This Row],[ScopeP]]="Unchanged",6.42*Table4[[#This Row],[ISC BaseP]],IF(Table4[[#This Row],[ScopeP]]="Changed",7.52*(Table4[[#This Row],[ISC BaseP]] - 0.029) - 3.25 * POWER(Table4[[#This Row],[ISC BaseP]] - 0.02,15),NA()))</f>
        <v>#N/A</v>
      </c>
      <c r="AN1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0"/>
    </row>
    <row r="11" spans="1:45" s="30" customFormat="1" ht="168" hidden="1">
      <c r="A11" s="89">
        <v>7</v>
      </c>
      <c r="B11" s="90" t="s">
        <v>146</v>
      </c>
      <c r="C11" s="100" t="str">
        <f>IF(VLOOKUP(Table4[[#This Row],[T ID]],Table5[#All],5,FALSE())="No","Not in scope",VLOOKUP(Table4[[#This Row],[T ID]],Table5[#All],2,FALSE()))</f>
        <v>Deliver undirected malware
(CAPEC-185)</v>
      </c>
      <c r="D11" s="61" t="s">
        <v>83</v>
      </c>
      <c r="E11" s="100" t="str">
        <f>IF(VLOOKUP(Table4[[#This Row],[V ID]],Vulnerabilities[#All],3,FALSE())="No","Not in scope",VLOOKUP(Table4[[#This Row],[V ID]],Vulnerabilities[#All],2,FALSE()))</f>
        <v>Ineffective patch management of firware, OS and applications thoughout the information system plan</v>
      </c>
      <c r="F11" s="101" t="s">
        <v>25</v>
      </c>
      <c r="G11" s="100" t="str">
        <f>VLOOKUP(Table4[[#This Row],[A ID]],Assets[#All],3,FALSE())</f>
        <v>Device Maintainence tool (Hardware/Software)</v>
      </c>
      <c r="H11" s="21" t="s">
        <v>238</v>
      </c>
      <c r="I11" s="161"/>
      <c r="J11" s="94" t="s">
        <v>239</v>
      </c>
      <c r="K11" s="94" t="s">
        <v>239</v>
      </c>
      <c r="L11" s="94" t="s">
        <v>239</v>
      </c>
      <c r="M11" s="95" t="s">
        <v>247</v>
      </c>
      <c r="N11" s="95" t="s">
        <v>239</v>
      </c>
      <c r="O11" s="95" t="s">
        <v>239</v>
      </c>
      <c r="P11" s="95" t="s">
        <v>243</v>
      </c>
      <c r="Q11" s="95" t="s">
        <v>242</v>
      </c>
      <c r="R1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6">
        <f>(1 - ((1 - VLOOKUP(Table4[[#This Row],[Confidentiality]],'Reference - CVSSv3.0'!$B$15:$C$17,2,FALSE())) * (1 - VLOOKUP(Table4[[#This Row],[Integrity]],'Reference - CVSSv3.0'!$B$15:$C$17,2,FALSE())) *  (1 - VLOOKUP(Table4[[#This Row],[Availability]],'Reference - CVSSv3.0'!$B$15:$C$17,2,FALSE()))))</f>
        <v>0.52544799999999992</v>
      </c>
      <c r="T11" s="96">
        <f>IF(Table4[[#This Row],[Scope]]="Unchanged",6.42*Table4[[#This Row],[ISC Base]],IF(Table4[[#This Row],[Scope]]="Changed",7.52*(Table4[[#This Row],[ISC Base]] - 0.029) - 3.25 * POWER(Table4[[#This Row],[ISC Base]] - 0.02,15),NA()))</f>
        <v>3.3733761599999994</v>
      </c>
      <c r="U1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90" t="s">
        <v>239</v>
      </c>
      <c r="W11" s="96">
        <f>VLOOKUP(Table4[[#This Row],[Threat Event Initiation]],NIST_Scale_LOAI[],2,FALSE())</f>
        <v>0.2</v>
      </c>
      <c r="X1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t="s">
        <v>446</v>
      </c>
      <c r="AA11" s="21" t="s">
        <v>382</v>
      </c>
      <c r="AB11" s="99"/>
      <c r="AC11" s="40"/>
      <c r="AD11" s="40"/>
      <c r="AE11" s="40"/>
      <c r="AF11" s="95"/>
      <c r="AG11" s="95"/>
      <c r="AH11" s="95"/>
      <c r="AI11" s="95"/>
      <c r="AJ11" s="104"/>
      <c r="AK1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6" t="e">
        <f>(1 - ((1 - VLOOKUP(Table4[[#This Row],[ConfidentialityP]],'Reference - CVSSv3.0'!$B$15:$C$17,2,FALSE())) * (1 - VLOOKUP(Table4[[#This Row],[IntegrityP]],'Reference - CVSSv3.0'!$B$15:$C$17,2,FALSE())) *  (1 - VLOOKUP(Table4[[#This Row],[AvailabilityP]],'Reference - CVSSv3.0'!$B$15:$C$17,2,FALSE()))))</f>
        <v>#N/A</v>
      </c>
      <c r="AM11" s="96" t="e">
        <f>IF(Table4[[#This Row],[ScopeP]]="Unchanged",6.42*Table4[[#This Row],[ISC BaseP]],IF(Table4[[#This Row],[ScopeP]]="Changed",7.52*(Table4[[#This Row],[ISC BaseP]] - 0.029) - 3.25 * POWER(Table4[[#This Row],[ISC BaseP]] - 0.02,15),NA()))</f>
        <v>#N/A</v>
      </c>
      <c r="AN1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0"/>
    </row>
    <row r="12" spans="1:45" s="30" customFormat="1" ht="196" hidden="1">
      <c r="A12" s="89">
        <v>8</v>
      </c>
      <c r="B12" s="90" t="s">
        <v>146</v>
      </c>
      <c r="C12" s="100" t="str">
        <f>IF(VLOOKUP(Table4[[#This Row],[T ID]],Table5[#All],5,FALSE())="No","Not in scope",VLOOKUP(Table4[[#This Row],[T ID]],Table5[#All],2,FALSE()))</f>
        <v>Deliver undirected malware
(CAPEC-185)</v>
      </c>
      <c r="D12" s="61" t="s">
        <v>83</v>
      </c>
      <c r="E12" s="100" t="str">
        <f>IF(VLOOKUP(Table4[[#This Row],[V ID]],Vulnerabilities[#All],3,FALSE())="No","Not in scope",VLOOKUP(Table4[[#This Row],[V ID]],Vulnerabilities[#All],2,FALSE()))</f>
        <v>Ineffective patch management of firware, OS and applications thoughout the information system plan</v>
      </c>
      <c r="F12" s="92" t="s">
        <v>10</v>
      </c>
      <c r="G12" s="100" t="str">
        <f>VLOOKUP(Table4[[#This Row],[A ID]],Assets[#All],3,FALSE())</f>
        <v>Tablet Resources - web cam, microphone, OTG devices, Removable USB, Tablet Application, Network interfaces (Bluetooth, Wifi)</v>
      </c>
      <c r="H12" s="21" t="s">
        <v>238</v>
      </c>
      <c r="I12" s="161"/>
      <c r="J12" s="94" t="s">
        <v>239</v>
      </c>
      <c r="K12" s="94" t="s">
        <v>239</v>
      </c>
      <c r="L12" s="94" t="s">
        <v>239</v>
      </c>
      <c r="M12" s="95" t="s">
        <v>247</v>
      </c>
      <c r="N12" s="95" t="s">
        <v>239</v>
      </c>
      <c r="O12" s="95" t="s">
        <v>239</v>
      </c>
      <c r="P12" s="95" t="s">
        <v>243</v>
      </c>
      <c r="Q12" s="95" t="s">
        <v>242</v>
      </c>
      <c r="R1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6">
        <f>(1 - ((1 - VLOOKUP(Table4[[#This Row],[Confidentiality]],'Reference - CVSSv3.0'!$B$15:$C$17,2,FALSE())) * (1 - VLOOKUP(Table4[[#This Row],[Integrity]],'Reference - CVSSv3.0'!$B$15:$C$17,2,FALSE())) *  (1 - VLOOKUP(Table4[[#This Row],[Availability]],'Reference - CVSSv3.0'!$B$15:$C$17,2,FALSE()))))</f>
        <v>0.52544799999999992</v>
      </c>
      <c r="T12" s="96">
        <f>IF(Table4[[#This Row],[Scope]]="Unchanged",6.42*Table4[[#This Row],[ISC Base]],IF(Table4[[#This Row],[Scope]]="Changed",7.52*(Table4[[#This Row],[ISC Base]] - 0.029) - 3.25 * POWER(Table4[[#This Row],[ISC Base]] - 0.02,15),NA()))</f>
        <v>3.3733761599999994</v>
      </c>
      <c r="U1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90" t="s">
        <v>239</v>
      </c>
      <c r="W12" s="96">
        <f>VLOOKUP(Table4[[#This Row],[Threat Event Initiation]],NIST_Scale_LOAI[],2,FALSE())</f>
        <v>0.2</v>
      </c>
      <c r="X1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t="s">
        <v>446</v>
      </c>
      <c r="AA12" s="21" t="s">
        <v>246</v>
      </c>
      <c r="AB12" s="99"/>
      <c r="AC12" s="40"/>
      <c r="AD12" s="40"/>
      <c r="AE12" s="40"/>
      <c r="AF12" s="95"/>
      <c r="AG12" s="95"/>
      <c r="AH12" s="95"/>
      <c r="AI12" s="95"/>
      <c r="AJ12" s="104"/>
      <c r="AK1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6" t="e">
        <f>(1 - ((1 - VLOOKUP(Table4[[#This Row],[ConfidentialityP]],'Reference - CVSSv3.0'!$B$15:$C$17,2,FALSE())) * (1 - VLOOKUP(Table4[[#This Row],[IntegrityP]],'Reference - CVSSv3.0'!$B$15:$C$17,2,FALSE())) *  (1 - VLOOKUP(Table4[[#This Row],[AvailabilityP]],'Reference - CVSSv3.0'!$B$15:$C$17,2,FALSE()))))</f>
        <v>#N/A</v>
      </c>
      <c r="AM12" s="96" t="e">
        <f>IF(Table4[[#This Row],[ScopeP]]="Unchanged",6.42*Table4[[#This Row],[ISC BaseP]],IF(Table4[[#This Row],[ScopeP]]="Changed",7.52*(Table4[[#This Row],[ISC BaseP]] - 0.029) - 3.25 * POWER(Table4[[#This Row],[ISC BaseP]] - 0.02,15),NA()))</f>
        <v>#N/A</v>
      </c>
      <c r="AN1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0"/>
    </row>
    <row r="13" spans="1:45" s="30" customFormat="1" ht="196">
      <c r="A13" s="89">
        <v>9</v>
      </c>
      <c r="B13" s="90" t="s">
        <v>146</v>
      </c>
      <c r="C13" s="100" t="str">
        <f>IF(VLOOKUP(Table4[[#This Row],[T ID]],Table5[#All],5,FALSE())="No","Not in scope",VLOOKUP(Table4[[#This Row],[T ID]],Table5[#All],2,FALSE()))</f>
        <v>Deliver undirected malware
(CAPEC-185)</v>
      </c>
      <c r="D13" s="61" t="s">
        <v>83</v>
      </c>
      <c r="E13" s="100" t="str">
        <f>IF(VLOOKUP(Table4[[#This Row],[V ID]],Vulnerabilities[#All],3,FALSE())="No","Not in scope",VLOOKUP(Table4[[#This Row],[V ID]],Vulnerabilities[#All],2,FALSE()))</f>
        <v>Ineffective patch management of firware, OS and applications thoughout the information system plan</v>
      </c>
      <c r="F13" s="101" t="s">
        <v>18</v>
      </c>
      <c r="G13" s="100" t="str">
        <f>VLOOKUP(Table4[[#This Row],[A ID]],Assets[#All],3,FALSE())</f>
        <v>Smart medic (Stryker device) System Component</v>
      </c>
      <c r="H13" s="21" t="s">
        <v>238</v>
      </c>
      <c r="I13" s="161"/>
      <c r="J13" s="94" t="s">
        <v>239</v>
      </c>
      <c r="K13" s="94" t="s">
        <v>239</v>
      </c>
      <c r="L13" s="94" t="s">
        <v>239</v>
      </c>
      <c r="M13" s="95" t="s">
        <v>247</v>
      </c>
      <c r="N13" s="95" t="s">
        <v>239</v>
      </c>
      <c r="O13" s="95" t="s">
        <v>239</v>
      </c>
      <c r="P13" s="95" t="s">
        <v>243</v>
      </c>
      <c r="Q13" s="95" t="s">
        <v>242</v>
      </c>
      <c r="R1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6">
        <f>(1 - ((1 - VLOOKUP(Table4[[#This Row],[Confidentiality]],'Reference - CVSSv3.0'!$B$15:$C$17,2,FALSE())) * (1 - VLOOKUP(Table4[[#This Row],[Integrity]],'Reference - CVSSv3.0'!$B$15:$C$17,2,FALSE())) *  (1 - VLOOKUP(Table4[[#This Row],[Availability]],'Reference - CVSSv3.0'!$B$15:$C$17,2,FALSE()))))</f>
        <v>0.52544799999999992</v>
      </c>
      <c r="T13" s="96">
        <f>IF(Table4[[#This Row],[Scope]]="Unchanged",6.42*Table4[[#This Row],[ISC Base]],IF(Table4[[#This Row],[Scope]]="Changed",7.52*(Table4[[#This Row],[ISC Base]] - 0.029) - 3.25 * POWER(Table4[[#This Row],[ISC Base]] - 0.02,15),NA()))</f>
        <v>3.3733761599999994</v>
      </c>
      <c r="U13"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90" t="s">
        <v>239</v>
      </c>
      <c r="W13" s="96">
        <f>VLOOKUP(Table4[[#This Row],[Threat Event Initiation]],NIST_Scale_LOAI[],2,FALSE())</f>
        <v>0.2</v>
      </c>
      <c r="X1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t="s">
        <v>446</v>
      </c>
      <c r="AA13" s="21" t="s">
        <v>246</v>
      </c>
      <c r="AB13" s="99"/>
      <c r="AC13" s="40"/>
      <c r="AD13" s="40"/>
      <c r="AE13" s="40"/>
      <c r="AF13" s="95"/>
      <c r="AG13" s="95"/>
      <c r="AH13" s="95"/>
      <c r="AI13" s="95"/>
      <c r="AJ13" s="104"/>
      <c r="AK1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6" t="e">
        <f>(1 - ((1 - VLOOKUP(Table4[[#This Row],[ConfidentialityP]],'Reference - CVSSv3.0'!$B$15:$C$17,2,FALSE())) * (1 - VLOOKUP(Table4[[#This Row],[IntegrityP]],'Reference - CVSSv3.0'!$B$15:$C$17,2,FALSE())) *  (1 - VLOOKUP(Table4[[#This Row],[AvailabilityP]],'Reference - CVSSv3.0'!$B$15:$C$17,2,FALSE()))))</f>
        <v>#N/A</v>
      </c>
      <c r="AM13" s="96" t="e">
        <f>IF(Table4[[#This Row],[ScopeP]]="Unchanged",6.42*Table4[[#This Row],[ISC BaseP]],IF(Table4[[#This Row],[ScopeP]]="Changed",7.52*(Table4[[#This Row],[ISC BaseP]] - 0.029) - 3.25 * POWER(Table4[[#This Row],[ISC BaseP]] - 0.02,15),NA()))</f>
        <v>#N/A</v>
      </c>
      <c r="AN1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0"/>
    </row>
    <row r="14" spans="1:45" s="30" customFormat="1" ht="196" hidden="1">
      <c r="A14" s="89">
        <v>10</v>
      </c>
      <c r="B14" s="90" t="s">
        <v>146</v>
      </c>
      <c r="C14" s="100" t="str">
        <f>IF(VLOOKUP(Table4[[#This Row],[T ID]],Table5[#All],5,FALSE())="No","Not in scope",VLOOKUP(Table4[[#This Row],[T ID]],Table5[#All],2,FALSE()))</f>
        <v>Deliver undirected malware
(CAPEC-185)</v>
      </c>
      <c r="D14" s="61" t="s">
        <v>85</v>
      </c>
      <c r="E14" s="100" t="str">
        <f>IF(VLOOKUP(Table4[[#This Row],[V ID]],Vulnerabilities[#All],3,FALSE())="No","Not in scope",VLOOKUP(Table4[[#This Row],[V ID]],Vulnerabilities[#All],2,FALSE()))</f>
        <v xml:space="preserve">Lack of plan for periodic Software Vulnerability Management </v>
      </c>
      <c r="F14" s="101" t="s">
        <v>25</v>
      </c>
      <c r="G14" s="100" t="str">
        <f>VLOOKUP(Table4[[#This Row],[A ID]],Assets[#All],3,FALSE())</f>
        <v>Device Maintainence tool (Hardware/Software)</v>
      </c>
      <c r="H14" s="21" t="s">
        <v>238</v>
      </c>
      <c r="I14" s="161"/>
      <c r="J14" s="94" t="s">
        <v>239</v>
      </c>
      <c r="K14" s="94" t="s">
        <v>239</v>
      </c>
      <c r="L14" s="94" t="s">
        <v>239</v>
      </c>
      <c r="M14" s="95" t="s">
        <v>247</v>
      </c>
      <c r="N14" s="95" t="s">
        <v>239</v>
      </c>
      <c r="O14" s="95" t="s">
        <v>239</v>
      </c>
      <c r="P14" s="95" t="s">
        <v>243</v>
      </c>
      <c r="Q14" s="95" t="s">
        <v>242</v>
      </c>
      <c r="R1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6">
        <f>(1 - ((1 - VLOOKUP(Table4[[#This Row],[Confidentiality]],'Reference - CVSSv3.0'!$B$15:$C$17,2,FALSE())) * (1 - VLOOKUP(Table4[[#This Row],[Integrity]],'Reference - CVSSv3.0'!$B$15:$C$17,2,FALSE())) *  (1 - VLOOKUP(Table4[[#This Row],[Availability]],'Reference - CVSSv3.0'!$B$15:$C$17,2,FALSE()))))</f>
        <v>0.52544799999999992</v>
      </c>
      <c r="T14" s="96">
        <f>IF(Table4[[#This Row],[Scope]]="Unchanged",6.42*Table4[[#This Row],[ISC Base]],IF(Table4[[#This Row],[Scope]]="Changed",7.52*(Table4[[#This Row],[ISC Base]] - 0.029) - 3.25 * POWER(Table4[[#This Row],[ISC Base]] - 0.02,15),NA()))</f>
        <v>3.3733761599999994</v>
      </c>
      <c r="U14"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90" t="s">
        <v>239</v>
      </c>
      <c r="W14" s="96">
        <f>VLOOKUP(Table4[[#This Row],[Threat Event Initiation]],NIST_Scale_LOAI[],2,FALSE())</f>
        <v>0.2</v>
      </c>
      <c r="X1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t="s">
        <v>446</v>
      </c>
      <c r="AA14" s="21" t="s">
        <v>246</v>
      </c>
      <c r="AB14" s="99"/>
      <c r="AC14" s="40"/>
      <c r="AD14" s="40"/>
      <c r="AE14" s="40"/>
      <c r="AF14" s="95"/>
      <c r="AG14" s="95"/>
      <c r="AH14" s="95"/>
      <c r="AI14" s="95"/>
      <c r="AJ14" s="104"/>
      <c r="AK1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6" t="e">
        <f>(1 - ((1 - VLOOKUP(Table4[[#This Row],[ConfidentialityP]],'Reference - CVSSv3.0'!$B$15:$C$17,2,FALSE())) * (1 - VLOOKUP(Table4[[#This Row],[IntegrityP]],'Reference - CVSSv3.0'!$B$15:$C$17,2,FALSE())) *  (1 - VLOOKUP(Table4[[#This Row],[AvailabilityP]],'Reference - CVSSv3.0'!$B$15:$C$17,2,FALSE()))))</f>
        <v>#N/A</v>
      </c>
      <c r="AM14" s="96" t="e">
        <f>IF(Table4[[#This Row],[ScopeP]]="Unchanged",6.42*Table4[[#This Row],[ISC BaseP]],IF(Table4[[#This Row],[ScopeP]]="Changed",7.52*(Table4[[#This Row],[ISC BaseP]] - 0.029) - 3.25 * POWER(Table4[[#This Row],[ISC BaseP]] - 0.02,15),NA()))</f>
        <v>#N/A</v>
      </c>
      <c r="AN1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0"/>
    </row>
    <row r="15" spans="1:45" s="30" customFormat="1" ht="196" hidden="1">
      <c r="A15" s="89">
        <v>11</v>
      </c>
      <c r="B15" s="90" t="s">
        <v>146</v>
      </c>
      <c r="C15" s="100" t="str">
        <f>IF(VLOOKUP(Table4[[#This Row],[T ID]],Table5[#All],5,FALSE())="No","Not in scope",VLOOKUP(Table4[[#This Row],[T ID]],Table5[#All],2,FALSE()))</f>
        <v>Deliver undirected malware
(CAPEC-185)</v>
      </c>
      <c r="D15" s="61" t="s">
        <v>85</v>
      </c>
      <c r="E15" s="100" t="str">
        <f>IF(VLOOKUP(Table4[[#This Row],[V ID]],Vulnerabilities[#All],3,FALSE())="No","Not in scope",VLOOKUP(Table4[[#This Row],[V ID]],Vulnerabilities[#All],2,FALSE()))</f>
        <v xml:space="preserve">Lack of plan for periodic Software Vulnerability Management </v>
      </c>
      <c r="F15" s="92" t="s">
        <v>10</v>
      </c>
      <c r="G15" s="100" t="str">
        <f>VLOOKUP(Table4[[#This Row],[A ID]],Assets[#All],3,FALSE())</f>
        <v>Tablet Resources - web cam, microphone, OTG devices, Removable USB, Tablet Application, Network interfaces (Bluetooth, Wifi)</v>
      </c>
      <c r="H15" s="21" t="s">
        <v>238</v>
      </c>
      <c r="I15" s="161"/>
      <c r="J15" s="94" t="s">
        <v>239</v>
      </c>
      <c r="K15" s="94" t="s">
        <v>239</v>
      </c>
      <c r="L15" s="94" t="s">
        <v>239</v>
      </c>
      <c r="M15" s="95" t="s">
        <v>247</v>
      </c>
      <c r="N15" s="95" t="s">
        <v>239</v>
      </c>
      <c r="O15" s="95" t="s">
        <v>239</v>
      </c>
      <c r="P15" s="95" t="s">
        <v>243</v>
      </c>
      <c r="Q15" s="95" t="s">
        <v>242</v>
      </c>
      <c r="R1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6">
        <f>(1 - ((1 - VLOOKUP(Table4[[#This Row],[Confidentiality]],'Reference - CVSSv3.0'!$B$15:$C$17,2,FALSE())) * (1 - VLOOKUP(Table4[[#This Row],[Integrity]],'Reference - CVSSv3.0'!$B$15:$C$17,2,FALSE())) *  (1 - VLOOKUP(Table4[[#This Row],[Availability]],'Reference - CVSSv3.0'!$B$15:$C$17,2,FALSE()))))</f>
        <v>0.52544799999999992</v>
      </c>
      <c r="T15" s="96">
        <f>IF(Table4[[#This Row],[Scope]]="Unchanged",6.42*Table4[[#This Row],[ISC Base]],IF(Table4[[#This Row],[Scope]]="Changed",7.52*(Table4[[#This Row],[ISC Base]] - 0.029) - 3.25 * POWER(Table4[[#This Row],[ISC Base]] - 0.02,15),NA()))</f>
        <v>3.3733761599999994</v>
      </c>
      <c r="U15"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90" t="s">
        <v>239</v>
      </c>
      <c r="W15" s="96">
        <f>VLOOKUP(Table4[[#This Row],[Threat Event Initiation]],NIST_Scale_LOAI[],2,FALSE())</f>
        <v>0.2</v>
      </c>
      <c r="X1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t="s">
        <v>446</v>
      </c>
      <c r="AA15" s="21" t="s">
        <v>246</v>
      </c>
      <c r="AB15" s="99"/>
      <c r="AC15" s="40"/>
      <c r="AD15" s="40"/>
      <c r="AE15" s="40"/>
      <c r="AF15" s="95"/>
      <c r="AG15" s="95"/>
      <c r="AH15" s="95"/>
      <c r="AI15" s="95"/>
      <c r="AJ15" s="104"/>
      <c r="AK1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6" t="e">
        <f>(1 - ((1 - VLOOKUP(Table4[[#This Row],[ConfidentialityP]],'Reference - CVSSv3.0'!$B$15:$C$17,2,FALSE())) * (1 - VLOOKUP(Table4[[#This Row],[IntegrityP]],'Reference - CVSSv3.0'!$B$15:$C$17,2,FALSE())) *  (1 - VLOOKUP(Table4[[#This Row],[AvailabilityP]],'Reference - CVSSv3.0'!$B$15:$C$17,2,FALSE()))))</f>
        <v>#N/A</v>
      </c>
      <c r="AM15" s="96" t="e">
        <f>IF(Table4[[#This Row],[ScopeP]]="Unchanged",6.42*Table4[[#This Row],[ISC BaseP]],IF(Table4[[#This Row],[ScopeP]]="Changed",7.52*(Table4[[#This Row],[ISC BaseP]] - 0.029) - 3.25 * POWER(Table4[[#This Row],[ISC BaseP]] - 0.02,15),NA()))</f>
        <v>#N/A</v>
      </c>
      <c r="AN1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0"/>
    </row>
    <row r="16" spans="1:45" s="30" customFormat="1" ht="168">
      <c r="A16" s="89">
        <v>12</v>
      </c>
      <c r="B16" s="90" t="s">
        <v>146</v>
      </c>
      <c r="C16" s="100" t="str">
        <f>IF(VLOOKUP(Table4[[#This Row],[T ID]],Table5[#All],5,FALSE())="No","Not in scope",VLOOKUP(Table4[[#This Row],[T ID]],Table5[#All],2,FALSE()))</f>
        <v>Deliver undirected malware
(CAPEC-185)</v>
      </c>
      <c r="D16" s="61" t="s">
        <v>85</v>
      </c>
      <c r="E16" s="100" t="str">
        <f>IF(VLOOKUP(Table4[[#This Row],[V ID]],Vulnerabilities[#All],3,FALSE())="No","Not in scope",VLOOKUP(Table4[[#This Row],[V ID]],Vulnerabilities[#All],2,FALSE()))</f>
        <v xml:space="preserve">Lack of plan for periodic Software Vulnerability Management </v>
      </c>
      <c r="F16" s="101" t="s">
        <v>18</v>
      </c>
      <c r="G16" s="100" t="str">
        <f>VLOOKUP(Table4[[#This Row],[A ID]],Assets[#All],3,FALSE())</f>
        <v>Smart medic (Stryker device) System Component</v>
      </c>
      <c r="H16" s="21" t="s">
        <v>238</v>
      </c>
      <c r="I16" s="161"/>
      <c r="J16" s="94" t="s">
        <v>239</v>
      </c>
      <c r="K16" s="94" t="s">
        <v>239</v>
      </c>
      <c r="L16" s="94" t="s">
        <v>239</v>
      </c>
      <c r="M16" s="95" t="s">
        <v>247</v>
      </c>
      <c r="N16" s="95" t="s">
        <v>239</v>
      </c>
      <c r="O16" s="95" t="s">
        <v>239</v>
      </c>
      <c r="P16" s="95" t="s">
        <v>243</v>
      </c>
      <c r="Q16" s="95" t="s">
        <v>242</v>
      </c>
      <c r="R1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6">
        <f>(1 - ((1 - VLOOKUP(Table4[[#This Row],[Confidentiality]],'Reference - CVSSv3.0'!$B$15:$C$17,2,FALSE())) * (1 - VLOOKUP(Table4[[#This Row],[Integrity]],'Reference - CVSSv3.0'!$B$15:$C$17,2,FALSE())) *  (1 - VLOOKUP(Table4[[#This Row],[Availability]],'Reference - CVSSv3.0'!$B$15:$C$17,2,FALSE()))))</f>
        <v>0.52544799999999992</v>
      </c>
      <c r="T16" s="96">
        <f>IF(Table4[[#This Row],[Scope]]="Unchanged",6.42*Table4[[#This Row],[ISC Base]],IF(Table4[[#This Row],[Scope]]="Changed",7.52*(Table4[[#This Row],[ISC Base]] - 0.029) - 3.25 * POWER(Table4[[#This Row],[ISC Base]] - 0.02,15),NA()))</f>
        <v>3.3733761599999994</v>
      </c>
      <c r="U16"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90" t="s">
        <v>239</v>
      </c>
      <c r="W16" s="96">
        <f>VLOOKUP(Table4[[#This Row],[Threat Event Initiation]],NIST_Scale_LOAI[],2,FALSE())</f>
        <v>0.2</v>
      </c>
      <c r="X1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t="s">
        <v>446</v>
      </c>
      <c r="AA16" s="21" t="s">
        <v>376</v>
      </c>
      <c r="AB16" s="99"/>
      <c r="AC16" s="40"/>
      <c r="AD16" s="40"/>
      <c r="AE16" s="40"/>
      <c r="AF16" s="95"/>
      <c r="AG16" s="95"/>
      <c r="AH16" s="95"/>
      <c r="AI16" s="95"/>
      <c r="AJ16" s="104"/>
      <c r="AK1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6" t="e">
        <f>(1 - ((1 - VLOOKUP(Table4[[#This Row],[ConfidentialityP]],'Reference - CVSSv3.0'!$B$15:$C$17,2,FALSE())) * (1 - VLOOKUP(Table4[[#This Row],[IntegrityP]],'Reference - CVSSv3.0'!$B$15:$C$17,2,FALSE())) *  (1 - VLOOKUP(Table4[[#This Row],[AvailabilityP]],'Reference - CVSSv3.0'!$B$15:$C$17,2,FALSE()))))</f>
        <v>#N/A</v>
      </c>
      <c r="AM16" s="96" t="e">
        <f>IF(Table4[[#This Row],[ScopeP]]="Unchanged",6.42*Table4[[#This Row],[ISC BaseP]],IF(Table4[[#This Row],[ScopeP]]="Changed",7.52*(Table4[[#This Row],[ISC BaseP]] - 0.029) - 3.25 * POWER(Table4[[#This Row],[ISC BaseP]] - 0.02,15),NA()))</f>
        <v>#N/A</v>
      </c>
      <c r="AN1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0"/>
    </row>
    <row r="17" spans="1:43" s="30" customFormat="1" ht="168" hidden="1">
      <c r="A17" s="89">
        <v>13</v>
      </c>
      <c r="B17" s="90" t="s">
        <v>146</v>
      </c>
      <c r="C17" s="100" t="str">
        <f>IF(VLOOKUP(Table4[[#This Row],[T ID]],Table5[#All],5,FALSE())="No","Not in scope",VLOOKUP(Table4[[#This Row],[T ID]],Table5[#All],2,FALSE()))</f>
        <v>Deliver undirected malware
(CAPEC-185)</v>
      </c>
      <c r="D17" s="61" t="s">
        <v>92</v>
      </c>
      <c r="E17" s="100" t="str">
        <f>IF(VLOOKUP(Table4[[#This Row],[V ID]],Vulnerabilities[#All],3,FALSE())="No","Not in scope",VLOOKUP(Table4[[#This Row],[V ID]],Vulnerabilities[#All],2,FALSE()))</f>
        <v>Unprotected network port(s) on network devices and connection points</v>
      </c>
      <c r="F17" s="101" t="s">
        <v>10</v>
      </c>
      <c r="G17" s="100" t="str">
        <f>VLOOKUP(Table4[[#This Row],[A ID]],Assets[#All],3,FALSE())</f>
        <v>Tablet Resources - web cam, microphone, OTG devices, Removable USB, Tablet Application, Network interfaces (Bluetooth, Wifi)</v>
      </c>
      <c r="H17" s="21" t="s">
        <v>238</v>
      </c>
      <c r="I17" s="161"/>
      <c r="J17" s="94" t="s">
        <v>243</v>
      </c>
      <c r="K17" s="94" t="s">
        <v>243</v>
      </c>
      <c r="L17" s="94" t="s">
        <v>248</v>
      </c>
      <c r="M17" s="95" t="s">
        <v>244</v>
      </c>
      <c r="N17" s="95" t="s">
        <v>239</v>
      </c>
      <c r="O17" s="95" t="s">
        <v>248</v>
      </c>
      <c r="P17" s="95" t="s">
        <v>243</v>
      </c>
      <c r="Q17" s="95" t="s">
        <v>242</v>
      </c>
      <c r="R1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6">
        <f>(1 - ((1 - VLOOKUP(Table4[[#This Row],[Confidentiality]],'Reference - CVSSv3.0'!$B$15:$C$17,2,FALSE())) * (1 - VLOOKUP(Table4[[#This Row],[Integrity]],'Reference - CVSSv3.0'!$B$15:$C$17,2,FALSE())) *  (1 - VLOOKUP(Table4[[#This Row],[Availability]],'Reference - CVSSv3.0'!$B$15:$C$17,2,FALSE()))))</f>
        <v>0.56000000000000005</v>
      </c>
      <c r="T17" s="96">
        <f>IF(Table4[[#This Row],[Scope]]="Unchanged",6.42*Table4[[#This Row],[ISC Base]],IF(Table4[[#This Row],[Scope]]="Changed",7.52*(Table4[[#This Row],[ISC Base]] - 0.029) - 3.25 * POWER(Table4[[#This Row],[ISC Base]] - 0.02,15),NA()))</f>
        <v>3.5952000000000002</v>
      </c>
      <c r="U17"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90" t="s">
        <v>239</v>
      </c>
      <c r="W17" s="96">
        <f>VLOOKUP(Table4[[#This Row],[Threat Event Initiation]],NIST_Scale_LOAI[],2,FALSE())</f>
        <v>0.2</v>
      </c>
      <c r="X1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t="s">
        <v>446</v>
      </c>
      <c r="AA17" s="21" t="s">
        <v>377</v>
      </c>
      <c r="AB17" s="99"/>
      <c r="AC17" s="40"/>
      <c r="AD17" s="40"/>
      <c r="AE17" s="40"/>
      <c r="AF17" s="95"/>
      <c r="AG17" s="95"/>
      <c r="AH17" s="95"/>
      <c r="AI17" s="95"/>
      <c r="AJ17" s="104"/>
      <c r="AK1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6" t="e">
        <f>(1 - ((1 - VLOOKUP(Table4[[#This Row],[ConfidentialityP]],'Reference - CVSSv3.0'!$B$15:$C$17,2,FALSE())) * (1 - VLOOKUP(Table4[[#This Row],[IntegrityP]],'Reference - CVSSv3.0'!$B$15:$C$17,2,FALSE())) *  (1 - VLOOKUP(Table4[[#This Row],[AvailabilityP]],'Reference - CVSSv3.0'!$B$15:$C$17,2,FALSE()))))</f>
        <v>#N/A</v>
      </c>
      <c r="AM17" s="96" t="e">
        <f>IF(Table4[[#This Row],[ScopeP]]="Unchanged",6.42*Table4[[#This Row],[ISC BaseP]],IF(Table4[[#This Row],[ScopeP]]="Changed",7.52*(Table4[[#This Row],[ISC BaseP]] - 0.029) - 3.25 * POWER(Table4[[#This Row],[ISC BaseP]] - 0.02,15),NA()))</f>
        <v>#N/A</v>
      </c>
      <c r="AN1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0"/>
    </row>
    <row r="18" spans="1:43" s="30" customFormat="1" ht="196">
      <c r="A18" s="89">
        <v>14</v>
      </c>
      <c r="B18" s="90" t="s">
        <v>146</v>
      </c>
      <c r="C18" s="100" t="str">
        <f>IF(VLOOKUP(Table4[[#This Row],[T ID]],Table5[#All],5,FALSE())="No","Not in scope",VLOOKUP(Table4[[#This Row],[T ID]],Table5[#All],2,FALSE()))</f>
        <v>Deliver undirected malware
(CAPEC-185)</v>
      </c>
      <c r="D18" s="61" t="s">
        <v>92</v>
      </c>
      <c r="E18" s="100" t="str">
        <f>IF(VLOOKUP(Table4[[#This Row],[V ID]],Vulnerabilities[#All],3,FALSE())="No","Not in scope",VLOOKUP(Table4[[#This Row],[V ID]],Vulnerabilities[#All],2,FALSE()))</f>
        <v>Unprotected network port(s) on network devices and connection points</v>
      </c>
      <c r="F18" s="101" t="s">
        <v>18</v>
      </c>
      <c r="G18" s="100" t="str">
        <f>VLOOKUP(Table4[[#This Row],[A ID]],Assets[#All],3,FALSE())</f>
        <v>Smart medic (Stryker device) System Component</v>
      </c>
      <c r="H18" s="21" t="s">
        <v>238</v>
      </c>
      <c r="I18" s="161"/>
      <c r="J18" s="94" t="s">
        <v>243</v>
      </c>
      <c r="K18" s="94" t="s">
        <v>243</v>
      </c>
      <c r="L18" s="94" t="s">
        <v>248</v>
      </c>
      <c r="M18" s="95" t="s">
        <v>244</v>
      </c>
      <c r="N18" s="95" t="s">
        <v>239</v>
      </c>
      <c r="O18" s="95" t="s">
        <v>248</v>
      </c>
      <c r="P18" s="95" t="s">
        <v>243</v>
      </c>
      <c r="Q18" s="95" t="s">
        <v>242</v>
      </c>
      <c r="R1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6">
        <f>(1 - ((1 - VLOOKUP(Table4[[#This Row],[Confidentiality]],'Reference - CVSSv3.0'!$B$15:$C$17,2,FALSE())) * (1 - VLOOKUP(Table4[[#This Row],[Integrity]],'Reference - CVSSv3.0'!$B$15:$C$17,2,FALSE())) *  (1 - VLOOKUP(Table4[[#This Row],[Availability]],'Reference - CVSSv3.0'!$B$15:$C$17,2,FALSE()))))</f>
        <v>0.56000000000000005</v>
      </c>
      <c r="T18" s="96">
        <f>IF(Table4[[#This Row],[Scope]]="Unchanged",6.42*Table4[[#This Row],[ISC Base]],IF(Table4[[#This Row],[Scope]]="Changed",7.52*(Table4[[#This Row],[ISC Base]] - 0.029) - 3.25 * POWER(Table4[[#This Row],[ISC Base]] - 0.02,15),NA()))</f>
        <v>3.5952000000000002</v>
      </c>
      <c r="U18"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90" t="s">
        <v>239</v>
      </c>
      <c r="W18" s="96">
        <f>VLOOKUP(Table4[[#This Row],[Threat Event Initiation]],NIST_Scale_LOAI[],2,FALSE())</f>
        <v>0.2</v>
      </c>
      <c r="X1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t="s">
        <v>446</v>
      </c>
      <c r="AA18" s="21" t="s">
        <v>246</v>
      </c>
      <c r="AB18" s="99"/>
      <c r="AC18" s="40"/>
      <c r="AD18" s="40"/>
      <c r="AE18" s="40"/>
      <c r="AF18" s="95"/>
      <c r="AG18" s="95"/>
      <c r="AH18" s="95"/>
      <c r="AI18" s="95"/>
      <c r="AJ18" s="104"/>
      <c r="AK1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6" t="e">
        <f>(1 - ((1 - VLOOKUP(Table4[[#This Row],[ConfidentialityP]],'Reference - CVSSv3.0'!$B$15:$C$17,2,FALSE())) * (1 - VLOOKUP(Table4[[#This Row],[IntegrityP]],'Reference - CVSSv3.0'!$B$15:$C$17,2,FALSE())) *  (1 - VLOOKUP(Table4[[#This Row],[AvailabilityP]],'Reference - CVSSv3.0'!$B$15:$C$17,2,FALSE()))))</f>
        <v>#N/A</v>
      </c>
      <c r="AM18" s="96" t="e">
        <f>IF(Table4[[#This Row],[ScopeP]]="Unchanged",6.42*Table4[[#This Row],[ISC BaseP]],IF(Table4[[#This Row],[ScopeP]]="Changed",7.52*(Table4[[#This Row],[ISC BaseP]] - 0.029) - 3.25 * POWER(Table4[[#This Row],[ISC BaseP]] - 0.02,15),NA()))</f>
        <v>#N/A</v>
      </c>
      <c r="AN1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0"/>
    </row>
    <row r="19" spans="1:43" s="30" customFormat="1" ht="196" hidden="1">
      <c r="A19" s="89">
        <v>15</v>
      </c>
      <c r="B19" s="90" t="s">
        <v>146</v>
      </c>
      <c r="C19" s="100" t="str">
        <f>IF(VLOOKUP(Table4[[#This Row],[T ID]],Table5[#All],5,FALSE())="No","Not in scope",VLOOKUP(Table4[[#This Row],[T ID]],Table5[#All],2,FALSE()))</f>
        <v>Deliver undirected malware
(CAPEC-185)</v>
      </c>
      <c r="D19" s="61" t="s">
        <v>101</v>
      </c>
      <c r="E19" s="100" t="str">
        <f>IF(VLOOKUP(Table4[[#This Row],[V ID]],Vulnerabilities[#All],3,FALSE())="No","Not in scope",VLOOKUP(Table4[[#This Row],[V ID]],Vulnerabilities[#All],2,FALSE()))</f>
        <v>Unencrypted data at rest in all possible locations</v>
      </c>
      <c r="F19" s="101" t="s">
        <v>10</v>
      </c>
      <c r="G19" s="100" t="str">
        <f>VLOOKUP(Table4[[#This Row],[A ID]],Assets[#All],3,FALSE())</f>
        <v>Tablet Resources - web cam, microphone, OTG devices, Removable USB, Tablet Application, Network interfaces (Bluetooth, Wifi)</v>
      </c>
      <c r="H19" s="21" t="s">
        <v>238</v>
      </c>
      <c r="I19" s="161"/>
      <c r="J19" s="94" t="s">
        <v>239</v>
      </c>
      <c r="K19" s="94" t="s">
        <v>239</v>
      </c>
      <c r="L19" s="94" t="s">
        <v>239</v>
      </c>
      <c r="M19" s="95" t="s">
        <v>247</v>
      </c>
      <c r="N19" s="95" t="s">
        <v>239</v>
      </c>
      <c r="O19" s="95" t="s">
        <v>239</v>
      </c>
      <c r="P19" s="95" t="s">
        <v>243</v>
      </c>
      <c r="Q19" s="95" t="s">
        <v>242</v>
      </c>
      <c r="R1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6">
        <f>(1 - ((1 - VLOOKUP(Table4[[#This Row],[Confidentiality]],'Reference - CVSSv3.0'!$B$15:$C$17,2,FALSE())) * (1 - VLOOKUP(Table4[[#This Row],[Integrity]],'Reference - CVSSv3.0'!$B$15:$C$17,2,FALSE())) *  (1 - VLOOKUP(Table4[[#This Row],[Availability]],'Reference - CVSSv3.0'!$B$15:$C$17,2,FALSE()))))</f>
        <v>0.52544799999999992</v>
      </c>
      <c r="T19" s="96">
        <f>IF(Table4[[#This Row],[Scope]]="Unchanged",6.42*Table4[[#This Row],[ISC Base]],IF(Table4[[#This Row],[Scope]]="Changed",7.52*(Table4[[#This Row],[ISC Base]] - 0.029) - 3.25 * POWER(Table4[[#This Row],[ISC Base]] - 0.02,15),NA()))</f>
        <v>3.3733761599999994</v>
      </c>
      <c r="U1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90" t="s">
        <v>239</v>
      </c>
      <c r="W19" s="96">
        <f>VLOOKUP(Table4[[#This Row],[Threat Event Initiation]],NIST_Scale_LOAI[],2,FALSE())</f>
        <v>0.2</v>
      </c>
      <c r="X1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t="s">
        <v>446</v>
      </c>
      <c r="AA19" s="21" t="s">
        <v>246</v>
      </c>
      <c r="AB19" s="99"/>
      <c r="AC19" s="40"/>
      <c r="AD19" s="40"/>
      <c r="AE19" s="40"/>
      <c r="AF19" s="95"/>
      <c r="AG19" s="95"/>
      <c r="AH19" s="95"/>
      <c r="AI19" s="95"/>
      <c r="AJ19" s="104"/>
      <c r="AK1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6" t="e">
        <f>(1 - ((1 - VLOOKUP(Table4[[#This Row],[ConfidentialityP]],'Reference - CVSSv3.0'!$B$15:$C$17,2,FALSE())) * (1 - VLOOKUP(Table4[[#This Row],[IntegrityP]],'Reference - CVSSv3.0'!$B$15:$C$17,2,FALSE())) *  (1 - VLOOKUP(Table4[[#This Row],[AvailabilityP]],'Reference - CVSSv3.0'!$B$15:$C$17,2,FALSE()))))</f>
        <v>#N/A</v>
      </c>
      <c r="AM19" s="96" t="e">
        <f>IF(Table4[[#This Row],[ScopeP]]="Unchanged",6.42*Table4[[#This Row],[ISC BaseP]],IF(Table4[[#This Row],[ScopeP]]="Changed",7.52*(Table4[[#This Row],[ISC BaseP]] - 0.029) - 3.25 * POWER(Table4[[#This Row],[ISC BaseP]] - 0.02,15),NA()))</f>
        <v>#N/A</v>
      </c>
      <c r="AN1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0"/>
    </row>
    <row r="20" spans="1:43" s="30" customFormat="1" ht="196">
      <c r="A20" s="106">
        <v>16</v>
      </c>
      <c r="B20" s="90" t="s">
        <v>146</v>
      </c>
      <c r="C20" s="100" t="str">
        <f>IF(VLOOKUP(Table4[[#This Row],[T ID]],Table5[#All],5,FALSE())="No","Not in scope",VLOOKUP(Table4[[#This Row],[T ID]],Table5[#All],2,FALSE()))</f>
        <v>Deliver undirected malware
(CAPEC-185)</v>
      </c>
      <c r="D20" s="61" t="s">
        <v>103</v>
      </c>
      <c r="E20" s="100" t="str">
        <f>IF(VLOOKUP(Table4[[#This Row],[V ID]],Vulnerabilities[#All],3,FALSE())="No","Not in scope",VLOOKUP(Table4[[#This Row],[V ID]],Vulnerabilities[#All],2,FALSE()))</f>
        <v>Unencrypted data in transit in all flowchannels</v>
      </c>
      <c r="F20" s="101" t="s">
        <v>18</v>
      </c>
      <c r="G20" s="100" t="str">
        <f>VLOOKUP(Table4[[#This Row],[A ID]],Assets[#All],3,FALSE())</f>
        <v>Smart medic (Stryker device) System Component</v>
      </c>
      <c r="H20" s="21" t="s">
        <v>238</v>
      </c>
      <c r="I20" s="161"/>
      <c r="J20" s="94" t="s">
        <v>243</v>
      </c>
      <c r="K20" s="94" t="s">
        <v>243</v>
      </c>
      <c r="L20" s="94" t="s">
        <v>248</v>
      </c>
      <c r="M20" s="95" t="s">
        <v>244</v>
      </c>
      <c r="N20" s="95" t="s">
        <v>239</v>
      </c>
      <c r="O20" s="95" t="s">
        <v>248</v>
      </c>
      <c r="P20" s="95" t="s">
        <v>243</v>
      </c>
      <c r="Q20" s="95" t="s">
        <v>242</v>
      </c>
      <c r="R2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6">
        <f>(1 - ((1 - VLOOKUP(Table4[[#This Row],[Confidentiality]],'Reference - CVSSv3.0'!$B$15:$C$17,2,FALSE())) * (1 - VLOOKUP(Table4[[#This Row],[Integrity]],'Reference - CVSSv3.0'!$B$15:$C$17,2,FALSE())) *  (1 - VLOOKUP(Table4[[#This Row],[Availability]],'Reference - CVSSv3.0'!$B$15:$C$17,2,FALSE()))))</f>
        <v>0.56000000000000005</v>
      </c>
      <c r="T20" s="96">
        <f>IF(Table4[[#This Row],[Scope]]="Unchanged",6.42*Table4[[#This Row],[ISC Base]],IF(Table4[[#This Row],[Scope]]="Changed",7.52*(Table4[[#This Row],[ISC Base]] - 0.029) - 3.25 * POWER(Table4[[#This Row],[ISC Base]] - 0.02,15),NA()))</f>
        <v>3.5952000000000002</v>
      </c>
      <c r="U20"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90" t="s">
        <v>239</v>
      </c>
      <c r="W20" s="96">
        <f>VLOOKUP(Table4[[#This Row],[Threat Event Initiation]],NIST_Scale_LOAI[],2,FALSE())</f>
        <v>0.2</v>
      </c>
      <c r="X2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t="s">
        <v>446</v>
      </c>
      <c r="AA20" s="21" t="s">
        <v>246</v>
      </c>
      <c r="AB20" s="99"/>
      <c r="AC20" s="40"/>
      <c r="AD20" s="40"/>
      <c r="AE20" s="40"/>
      <c r="AF20" s="95"/>
      <c r="AG20" s="95"/>
      <c r="AH20" s="95"/>
      <c r="AI20" s="95"/>
      <c r="AJ20" s="104"/>
      <c r="AK2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6" t="e">
        <f>(1 - ((1 - VLOOKUP(Table4[[#This Row],[ConfidentialityP]],'Reference - CVSSv3.0'!$B$15:$C$17,2,FALSE())) * (1 - VLOOKUP(Table4[[#This Row],[IntegrityP]],'Reference - CVSSv3.0'!$B$15:$C$17,2,FALSE())) *  (1 - VLOOKUP(Table4[[#This Row],[AvailabilityP]],'Reference - CVSSv3.0'!$B$15:$C$17,2,FALSE()))))</f>
        <v>#N/A</v>
      </c>
      <c r="AM20" s="96" t="e">
        <f>IF(Table4[[#This Row],[ScopeP]]="Unchanged",6.42*Table4[[#This Row],[ISC BaseP]],IF(Table4[[#This Row],[ScopeP]]="Changed",7.52*(Table4[[#This Row],[ISC BaseP]] - 0.029) - 3.25 * POWER(Table4[[#This Row],[ISC BaseP]] - 0.02,15),NA()))</f>
        <v>#N/A</v>
      </c>
      <c r="AN2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0"/>
    </row>
    <row r="21" spans="1:43" s="30" customFormat="1" ht="196" hidden="1">
      <c r="A21" s="106">
        <v>17</v>
      </c>
      <c r="B21" s="90" t="s">
        <v>146</v>
      </c>
      <c r="C21" s="100" t="str">
        <f>IF(VLOOKUP(Table4[[#This Row],[T ID]],Table5[#All],5,FALSE())="No","Not in scope",VLOOKUP(Table4[[#This Row],[T ID]],Table5[#All],2,FALSE()))</f>
        <v>Deliver undirected malware
(CAPEC-185)</v>
      </c>
      <c r="D21" s="61" t="s">
        <v>103</v>
      </c>
      <c r="E21" s="100" t="str">
        <f>IF(VLOOKUP(Table4[[#This Row],[V ID]],Vulnerabilities[#All],3,FALSE())="No","Not in scope",VLOOKUP(Table4[[#This Row],[V ID]],Vulnerabilities[#All],2,FALSE()))</f>
        <v>Unencrypted data in transit in all flowchannels</v>
      </c>
      <c r="F21" s="101" t="s">
        <v>10</v>
      </c>
      <c r="G21" s="100" t="str">
        <f>VLOOKUP(Table4[[#This Row],[A ID]],Assets[#All],3,FALSE())</f>
        <v>Tablet Resources - web cam, microphone, OTG devices, Removable USB, Tablet Application, Network interfaces (Bluetooth, Wifi)</v>
      </c>
      <c r="H21" s="21" t="s">
        <v>238</v>
      </c>
      <c r="I21" s="161"/>
      <c r="J21" s="94" t="s">
        <v>243</v>
      </c>
      <c r="K21" s="94" t="s">
        <v>243</v>
      </c>
      <c r="L21" s="94" t="s">
        <v>248</v>
      </c>
      <c r="M21" s="95" t="s">
        <v>244</v>
      </c>
      <c r="N21" s="95" t="s">
        <v>239</v>
      </c>
      <c r="O21" s="95" t="s">
        <v>248</v>
      </c>
      <c r="P21" s="95" t="s">
        <v>243</v>
      </c>
      <c r="Q21" s="95" t="s">
        <v>242</v>
      </c>
      <c r="R2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6">
        <f>(1 - ((1 - VLOOKUP(Table4[[#This Row],[Confidentiality]],'Reference - CVSSv3.0'!$B$15:$C$17,2,FALSE())) * (1 - VLOOKUP(Table4[[#This Row],[Integrity]],'Reference - CVSSv3.0'!$B$15:$C$17,2,FALSE())) *  (1 - VLOOKUP(Table4[[#This Row],[Availability]],'Reference - CVSSv3.0'!$B$15:$C$17,2,FALSE()))))</f>
        <v>0.56000000000000005</v>
      </c>
      <c r="T21" s="96">
        <f>IF(Table4[[#This Row],[Scope]]="Unchanged",6.42*Table4[[#This Row],[ISC Base]],IF(Table4[[#This Row],[Scope]]="Changed",7.52*(Table4[[#This Row],[ISC Base]] - 0.029) - 3.25 * POWER(Table4[[#This Row],[ISC Base]] - 0.02,15),NA()))</f>
        <v>3.5952000000000002</v>
      </c>
      <c r="U21"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90" t="s">
        <v>239</v>
      </c>
      <c r="W21" s="96">
        <f>VLOOKUP(Table4[[#This Row],[Threat Event Initiation]],NIST_Scale_LOAI[],2,FALSE())</f>
        <v>0.2</v>
      </c>
      <c r="X2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t="s">
        <v>446</v>
      </c>
      <c r="AA21" s="21" t="s">
        <v>246</v>
      </c>
      <c r="AB21" s="99"/>
      <c r="AC21" s="40"/>
      <c r="AD21" s="40"/>
      <c r="AE21" s="40"/>
      <c r="AF21" s="95"/>
      <c r="AG21" s="95"/>
      <c r="AH21" s="95"/>
      <c r="AI21" s="95"/>
      <c r="AJ21" s="104"/>
      <c r="AK2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6" t="e">
        <f>(1 - ((1 - VLOOKUP(Table4[[#This Row],[ConfidentialityP]],'Reference - CVSSv3.0'!$B$15:$C$17,2,FALSE())) * (1 - VLOOKUP(Table4[[#This Row],[IntegrityP]],'Reference - CVSSv3.0'!$B$15:$C$17,2,FALSE())) *  (1 - VLOOKUP(Table4[[#This Row],[AvailabilityP]],'Reference - CVSSv3.0'!$B$15:$C$17,2,FALSE()))))</f>
        <v>#N/A</v>
      </c>
      <c r="AM21" s="96" t="e">
        <f>IF(Table4[[#This Row],[ScopeP]]="Unchanged",6.42*Table4[[#This Row],[ISC BaseP]],IF(Table4[[#This Row],[ScopeP]]="Changed",7.52*(Table4[[#This Row],[ISC BaseP]] - 0.029) - 3.25 * POWER(Table4[[#This Row],[ISC BaseP]] - 0.02,15),NA()))</f>
        <v>#N/A</v>
      </c>
      <c r="AN2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0"/>
    </row>
    <row r="22" spans="1:43" s="30" customFormat="1" ht="196" hidden="1">
      <c r="A22" s="89">
        <v>18</v>
      </c>
      <c r="B22" s="90" t="s">
        <v>146</v>
      </c>
      <c r="C22" s="100" t="str">
        <f>IF(VLOOKUP(Table4[[#This Row],[T ID]],Table5[#All],5,FALSE())="No","Not in scope",VLOOKUP(Table4[[#This Row],[T ID]],Table5[#All],2,FALSE()))</f>
        <v>Deliver undirected malware
(CAPEC-185)</v>
      </c>
      <c r="D22" s="61" t="s">
        <v>116</v>
      </c>
      <c r="E22" s="100" t="str">
        <f>IF(VLOOKUP(Table4[[#This Row],[V ID]],Vulnerabilities[#All],3,FALSE())="No","Not in scope",VLOOKUP(Table4[[#This Row],[V ID]],Vulnerabilities[#All],2,FALSE()))</f>
        <v>Outdated  - Software/Hardware</v>
      </c>
      <c r="F22" s="101" t="s">
        <v>25</v>
      </c>
      <c r="G22" s="100" t="str">
        <f>VLOOKUP(Table4[[#This Row],[A ID]],Assets[#All],3,FALSE())</f>
        <v>Device Maintainence tool (Hardware/Software)</v>
      </c>
      <c r="H22" s="21" t="s">
        <v>238</v>
      </c>
      <c r="I22" s="161"/>
      <c r="J22" s="94" t="s">
        <v>239</v>
      </c>
      <c r="K22" s="94" t="s">
        <v>239</v>
      </c>
      <c r="L22" s="94" t="s">
        <v>239</v>
      </c>
      <c r="M22" s="95" t="s">
        <v>240</v>
      </c>
      <c r="N22" s="95" t="s">
        <v>239</v>
      </c>
      <c r="O22" s="95" t="s">
        <v>239</v>
      </c>
      <c r="P22" s="95" t="s">
        <v>243</v>
      </c>
      <c r="Q22" s="95" t="s">
        <v>242</v>
      </c>
      <c r="R2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6">
        <f>(1 - ((1 - VLOOKUP(Table4[[#This Row],[Confidentiality]],'Reference - CVSSv3.0'!$B$15:$C$17,2,FALSE())) * (1 - VLOOKUP(Table4[[#This Row],[Integrity]],'Reference - CVSSv3.0'!$B$15:$C$17,2,FALSE())) *  (1 - VLOOKUP(Table4[[#This Row],[Availability]],'Reference - CVSSv3.0'!$B$15:$C$17,2,FALSE()))))</f>
        <v>0.52544799999999992</v>
      </c>
      <c r="T22" s="96">
        <f>IF(Table4[[#This Row],[Scope]]="Unchanged",6.42*Table4[[#This Row],[ISC Base]],IF(Table4[[#This Row],[Scope]]="Changed",7.52*(Table4[[#This Row],[ISC Base]] - 0.029) - 3.25 * POWER(Table4[[#This Row],[ISC Base]] - 0.02,15),NA()))</f>
        <v>3.3733761599999994</v>
      </c>
      <c r="U2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90" t="s">
        <v>249</v>
      </c>
      <c r="W22" s="96">
        <f>VLOOKUP(Table4[[#This Row],[Threat Event Initiation]],NIST_Scale_LOAI[],2,FALSE())</f>
        <v>0.5</v>
      </c>
      <c r="X2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t="s">
        <v>446</v>
      </c>
      <c r="AA22" s="21" t="s">
        <v>246</v>
      </c>
      <c r="AB22" s="99"/>
      <c r="AC22" s="40"/>
      <c r="AD22" s="40"/>
      <c r="AE22" s="40"/>
      <c r="AF22" s="95"/>
      <c r="AG22" s="95"/>
      <c r="AH22" s="95"/>
      <c r="AI22" s="95"/>
      <c r="AJ22" s="104"/>
      <c r="AK2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6" t="e">
        <f>(1 - ((1 - VLOOKUP(Table4[[#This Row],[ConfidentialityP]],'Reference - CVSSv3.0'!$B$15:$C$17,2,FALSE())) * (1 - VLOOKUP(Table4[[#This Row],[IntegrityP]],'Reference - CVSSv3.0'!$B$15:$C$17,2,FALSE())) *  (1 - VLOOKUP(Table4[[#This Row],[AvailabilityP]],'Reference - CVSSv3.0'!$B$15:$C$17,2,FALSE()))))</f>
        <v>#N/A</v>
      </c>
      <c r="AM22" s="96" t="e">
        <f>IF(Table4[[#This Row],[ScopeP]]="Unchanged",6.42*Table4[[#This Row],[ISC BaseP]],IF(Table4[[#This Row],[ScopeP]]="Changed",7.52*(Table4[[#This Row],[ISC BaseP]] - 0.029) - 3.25 * POWER(Table4[[#This Row],[ISC BaseP]] - 0.02,15),NA()))</f>
        <v>#N/A</v>
      </c>
      <c r="AN2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0"/>
    </row>
    <row r="23" spans="1:43" s="30" customFormat="1" ht="196">
      <c r="A23" s="89">
        <v>19</v>
      </c>
      <c r="B23" s="90" t="s">
        <v>146</v>
      </c>
      <c r="C23" s="100" t="str">
        <f>IF(VLOOKUP(Table4[[#This Row],[T ID]],Table5[#All],5,FALSE())="No","Not in scope",VLOOKUP(Table4[[#This Row],[T ID]],Table5[#All],2,FALSE()))</f>
        <v>Deliver undirected malware
(CAPEC-185)</v>
      </c>
      <c r="D23" s="61" t="s">
        <v>116</v>
      </c>
      <c r="E23" s="100" t="str">
        <f>IF(VLOOKUP(Table4[[#This Row],[V ID]],Vulnerabilities[#All],3,FALSE())="No","Not in scope",VLOOKUP(Table4[[#This Row],[V ID]],Vulnerabilities[#All],2,FALSE()))</f>
        <v>Outdated  - Software/Hardware</v>
      </c>
      <c r="F23" s="101" t="s">
        <v>18</v>
      </c>
      <c r="G23" s="100" t="str">
        <f>VLOOKUP(Table4[[#This Row],[A ID]],Assets[#All],3,FALSE())</f>
        <v>Smart medic (Stryker device) System Component</v>
      </c>
      <c r="H23" s="21" t="s">
        <v>238</v>
      </c>
      <c r="I23" s="161"/>
      <c r="J23" s="94" t="s">
        <v>239</v>
      </c>
      <c r="K23" s="94" t="s">
        <v>239</v>
      </c>
      <c r="L23" s="94" t="s">
        <v>239</v>
      </c>
      <c r="M23" s="95" t="s">
        <v>240</v>
      </c>
      <c r="N23" s="95" t="s">
        <v>239</v>
      </c>
      <c r="O23" s="95" t="s">
        <v>239</v>
      </c>
      <c r="P23" s="95" t="s">
        <v>243</v>
      </c>
      <c r="Q23" s="95" t="s">
        <v>242</v>
      </c>
      <c r="R2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6">
        <f>(1 - ((1 - VLOOKUP(Table4[[#This Row],[Confidentiality]],'Reference - CVSSv3.0'!$B$15:$C$17,2,FALSE())) * (1 - VLOOKUP(Table4[[#This Row],[Integrity]],'Reference - CVSSv3.0'!$B$15:$C$17,2,FALSE())) *  (1 - VLOOKUP(Table4[[#This Row],[Availability]],'Reference - CVSSv3.0'!$B$15:$C$17,2,FALSE()))))</f>
        <v>0.52544799999999992</v>
      </c>
      <c r="T23" s="96">
        <f>IF(Table4[[#This Row],[Scope]]="Unchanged",6.42*Table4[[#This Row],[ISC Base]],IF(Table4[[#This Row],[Scope]]="Changed",7.52*(Table4[[#This Row],[ISC Base]] - 0.029) - 3.25 * POWER(Table4[[#This Row],[ISC Base]] - 0.02,15),NA()))</f>
        <v>3.3733761599999994</v>
      </c>
      <c r="U23"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90" t="s">
        <v>249</v>
      </c>
      <c r="W23" s="96">
        <f>VLOOKUP(Table4[[#This Row],[Threat Event Initiation]],NIST_Scale_LOAI[],2,FALSE())</f>
        <v>0.5</v>
      </c>
      <c r="X2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t="s">
        <v>446</v>
      </c>
      <c r="AA23" s="21" t="s">
        <v>246</v>
      </c>
      <c r="AB23" s="99"/>
      <c r="AC23" s="40"/>
      <c r="AD23" s="40"/>
      <c r="AE23" s="40"/>
      <c r="AF23" s="95"/>
      <c r="AG23" s="95"/>
      <c r="AH23" s="95"/>
      <c r="AI23" s="95"/>
      <c r="AJ23" s="104"/>
      <c r="AK2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6" t="e">
        <f>(1 - ((1 - VLOOKUP(Table4[[#This Row],[ConfidentialityP]],'Reference - CVSSv3.0'!$B$15:$C$17,2,FALSE())) * (1 - VLOOKUP(Table4[[#This Row],[IntegrityP]],'Reference - CVSSv3.0'!$B$15:$C$17,2,FALSE())) *  (1 - VLOOKUP(Table4[[#This Row],[AvailabilityP]],'Reference - CVSSv3.0'!$B$15:$C$17,2,FALSE()))))</f>
        <v>#N/A</v>
      </c>
      <c r="AM23" s="96" t="e">
        <f>IF(Table4[[#This Row],[ScopeP]]="Unchanged",6.42*Table4[[#This Row],[ISC BaseP]],IF(Table4[[#This Row],[ScopeP]]="Changed",7.52*(Table4[[#This Row],[ISC BaseP]] - 0.029) - 3.25 * POWER(Table4[[#This Row],[ISC BaseP]] - 0.02,15),NA()))</f>
        <v>#N/A</v>
      </c>
      <c r="AN2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0"/>
    </row>
    <row r="24" spans="1:43" s="30" customFormat="1" ht="196" hidden="1">
      <c r="A24" s="89">
        <v>20</v>
      </c>
      <c r="B24" s="90" t="s">
        <v>146</v>
      </c>
      <c r="C24" s="100" t="str">
        <f>IF(VLOOKUP(Table4[[#This Row],[T ID]],Table5[#All],5,FALSE())="No","Not in scope",VLOOKUP(Table4[[#This Row],[T ID]],Table5[#All],2,FALSE()))</f>
        <v>Deliver undirected malware
(CAPEC-185)</v>
      </c>
      <c r="D24" s="61" t="s">
        <v>116</v>
      </c>
      <c r="E24" s="100" t="str">
        <f>IF(VLOOKUP(Table4[[#This Row],[V ID]],Vulnerabilities[#All],3,FALSE())="No","Not in scope",VLOOKUP(Table4[[#This Row],[V ID]],Vulnerabilities[#All],2,FALSE()))</f>
        <v>Outdated  - Software/Hardware</v>
      </c>
      <c r="F24" s="101" t="s">
        <v>10</v>
      </c>
      <c r="G24" s="100" t="str">
        <f>VLOOKUP(Table4[[#This Row],[A ID]],Assets[#All],3,FALSE())</f>
        <v>Tablet Resources - web cam, microphone, OTG devices, Removable USB, Tablet Application, Network interfaces (Bluetooth, Wifi)</v>
      </c>
      <c r="H24" s="21" t="s">
        <v>238</v>
      </c>
      <c r="I24" s="161"/>
      <c r="J24" s="94" t="s">
        <v>239</v>
      </c>
      <c r="K24" s="94" t="s">
        <v>239</v>
      </c>
      <c r="L24" s="94" t="s">
        <v>239</v>
      </c>
      <c r="M24" s="95" t="s">
        <v>240</v>
      </c>
      <c r="N24" s="95" t="s">
        <v>239</v>
      </c>
      <c r="O24" s="95" t="s">
        <v>239</v>
      </c>
      <c r="P24" s="95" t="s">
        <v>243</v>
      </c>
      <c r="Q24" s="95" t="s">
        <v>242</v>
      </c>
      <c r="R2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6">
        <f>(1 - ((1 - VLOOKUP(Table4[[#This Row],[Confidentiality]],'Reference - CVSSv3.0'!$B$15:$C$17,2,FALSE())) * (1 - VLOOKUP(Table4[[#This Row],[Integrity]],'Reference - CVSSv3.0'!$B$15:$C$17,2,FALSE())) *  (1 - VLOOKUP(Table4[[#This Row],[Availability]],'Reference - CVSSv3.0'!$B$15:$C$17,2,FALSE()))))</f>
        <v>0.52544799999999992</v>
      </c>
      <c r="T24" s="96">
        <f>IF(Table4[[#This Row],[Scope]]="Unchanged",6.42*Table4[[#This Row],[ISC Base]],IF(Table4[[#This Row],[Scope]]="Changed",7.52*(Table4[[#This Row],[ISC Base]] - 0.029) - 3.25 * POWER(Table4[[#This Row],[ISC Base]] - 0.02,15),NA()))</f>
        <v>3.3733761599999994</v>
      </c>
      <c r="U24"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90" t="s">
        <v>239</v>
      </c>
      <c r="W24" s="96">
        <f>VLOOKUP(Table4[[#This Row],[Threat Event Initiation]],NIST_Scale_LOAI[],2,FALSE())</f>
        <v>0.2</v>
      </c>
      <c r="X2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t="s">
        <v>446</v>
      </c>
      <c r="AA24" s="21" t="s">
        <v>246</v>
      </c>
      <c r="AB24" s="99"/>
      <c r="AC24" s="40"/>
      <c r="AD24" s="40"/>
      <c r="AE24" s="40"/>
      <c r="AF24" s="95"/>
      <c r="AG24" s="95"/>
      <c r="AH24" s="95"/>
      <c r="AI24" s="95"/>
      <c r="AJ24" s="104"/>
      <c r="AK2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6" t="e">
        <f>(1 - ((1 - VLOOKUP(Table4[[#This Row],[ConfidentialityP]],'Reference - CVSSv3.0'!$B$15:$C$17,2,FALSE())) * (1 - VLOOKUP(Table4[[#This Row],[IntegrityP]],'Reference - CVSSv3.0'!$B$15:$C$17,2,FALSE())) *  (1 - VLOOKUP(Table4[[#This Row],[AvailabilityP]],'Reference - CVSSv3.0'!$B$15:$C$17,2,FALSE()))))</f>
        <v>#N/A</v>
      </c>
      <c r="AM24" s="96" t="e">
        <f>IF(Table4[[#This Row],[ScopeP]]="Unchanged",6.42*Table4[[#This Row],[ISC BaseP]],IF(Table4[[#This Row],[ScopeP]]="Changed",7.52*(Table4[[#This Row],[ISC BaseP]] - 0.029) - 3.25 * POWER(Table4[[#This Row],[ISC BaseP]] - 0.02,15),NA()))</f>
        <v>#N/A</v>
      </c>
      <c r="AN2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0"/>
    </row>
    <row r="25" spans="1:43" s="30" customFormat="1" ht="196" hidden="1">
      <c r="A25" s="89">
        <v>21</v>
      </c>
      <c r="B25" s="90" t="s">
        <v>150</v>
      </c>
      <c r="C25" s="91" t="str">
        <f>IF(VLOOKUP(Table4[[#This Row],[T ID]],Table5[#All],5,FALSE())="No","Not in scope",VLOOKUP(Table4[[#This Row],[T ID]],Table5[#All],2,FALSE()))</f>
        <v>Deliver directed malware
(CAPEC-185)</v>
      </c>
      <c r="D25" s="61" t="s">
        <v>112</v>
      </c>
      <c r="E25" s="91" t="str">
        <f>IF(VLOOKUP(Table4[[#This Row],[V ID]],Vulnerabilities[#All],3,FALSE())="No","Not in scope",VLOOKUP(Table4[[#This Row],[V ID]],Vulnerabilities[#All],2,FALSE()))</f>
        <v>InSecure Configuration for Software/OS on Mobile Devices, Laptops, Workstations, and Servers</v>
      </c>
      <c r="F25" s="101" t="s">
        <v>25</v>
      </c>
      <c r="G25" s="93" t="str">
        <f>VLOOKUP(Table4[[#This Row],[A ID]],Assets[#All],3,FALSE())</f>
        <v>Device Maintainence tool (Hardware/Software)</v>
      </c>
      <c r="H25" s="21" t="s">
        <v>238</v>
      </c>
      <c r="I25" s="161"/>
      <c r="J25" s="94" t="s">
        <v>243</v>
      </c>
      <c r="K25" s="94" t="s">
        <v>243</v>
      </c>
      <c r="L25" s="94" t="s">
        <v>248</v>
      </c>
      <c r="M25" s="95" t="s">
        <v>247</v>
      </c>
      <c r="N25" s="95" t="s">
        <v>239</v>
      </c>
      <c r="O25" s="95" t="s">
        <v>248</v>
      </c>
      <c r="P25" s="95" t="s">
        <v>241</v>
      </c>
      <c r="Q25" s="95" t="s">
        <v>242</v>
      </c>
      <c r="R2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6">
        <f>(1 - ((1 - VLOOKUP(Table4[[#This Row],[Confidentiality]],'Reference - CVSSv3.0'!$B$15:$C$17,2,FALSE())) * (1 - VLOOKUP(Table4[[#This Row],[Integrity]],'Reference - CVSSv3.0'!$B$15:$C$17,2,FALSE())) *  (1 - VLOOKUP(Table4[[#This Row],[Availability]],'Reference - CVSSv3.0'!$B$15:$C$17,2,FALSE()))))</f>
        <v>0.56000000000000005</v>
      </c>
      <c r="T25" s="96">
        <f>IF(Table4[[#This Row],[Scope]]="Unchanged",6.42*Table4[[#This Row],[ISC Base]],IF(Table4[[#This Row],[Scope]]="Changed",7.52*(Table4[[#This Row],[ISC Base]] - 0.029) - 3.25 * POWER(Table4[[#This Row],[ISC Base]] - 0.02,15),NA()))</f>
        <v>3.5952000000000002</v>
      </c>
      <c r="U25"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90" t="s">
        <v>249</v>
      </c>
      <c r="W25" s="97">
        <f>VLOOKUP(Table4[[#This Row],[Threat Event Initiation]],NIST_Scale_LOAI[],2,FALSE())</f>
        <v>0.5</v>
      </c>
      <c r="X2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t="s">
        <v>446</v>
      </c>
      <c r="AA25" s="21" t="s">
        <v>246</v>
      </c>
      <c r="AB25" s="99"/>
      <c r="AC25" s="94"/>
      <c r="AD25" s="94"/>
      <c r="AE25" s="94"/>
      <c r="AF25" s="95"/>
      <c r="AG25" s="95"/>
      <c r="AH25" s="95"/>
      <c r="AI25" s="95"/>
      <c r="AJ25" s="95"/>
      <c r="AK2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6" t="e">
        <f>(1 - ((1 - VLOOKUP(Table4[[#This Row],[ConfidentialityP]],'Reference - CVSSv3.0'!$B$15:$C$17,2,FALSE())) * (1 - VLOOKUP(Table4[[#This Row],[IntegrityP]],'Reference - CVSSv3.0'!$B$15:$C$17,2,FALSE())) *  (1 - VLOOKUP(Table4[[#This Row],[AvailabilityP]],'Reference - CVSSv3.0'!$B$15:$C$17,2,FALSE()))))</f>
        <v>#N/A</v>
      </c>
      <c r="AM25" s="96" t="e">
        <f>IF(Table4[[#This Row],[ScopeP]]="Unchanged",6.42*Table4[[#This Row],[ISC BaseP]],IF(Table4[[#This Row],[ScopeP]]="Changed",7.52*(Table4[[#This Row],[ISC BaseP]] - 0.029) - 3.25 * POWER(Table4[[#This Row],[ISC BaseP]] - 0.02,15),NA()))</f>
        <v>#N/A</v>
      </c>
      <c r="AN2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40" t="s">
        <v>250</v>
      </c>
    </row>
    <row r="26" spans="1:43" s="30" customFormat="1" ht="196">
      <c r="A26" s="89">
        <v>22</v>
      </c>
      <c r="B26" s="90" t="s">
        <v>150</v>
      </c>
      <c r="C26" s="100" t="str">
        <f>IF(VLOOKUP(Table4[[#This Row],[T ID]],Table5[#All],5,FALSE())="No","Not in scope",VLOOKUP(Table4[[#This Row],[T ID]],Table5[#All],2,FALSE()))</f>
        <v>Deliver directed malware
(CAPEC-185)</v>
      </c>
      <c r="D26" s="61" t="s">
        <v>112</v>
      </c>
      <c r="E26" s="100" t="str">
        <f>IF(VLOOKUP(Table4[[#This Row],[V ID]],Vulnerabilities[#All],3,FALSE())="No","Not in scope",VLOOKUP(Table4[[#This Row],[V ID]],Vulnerabilities[#All],2,FALSE()))</f>
        <v>InSecure Configuration for Software/OS on Mobile Devices, Laptops, Workstations, and Servers</v>
      </c>
      <c r="F26" s="101" t="s">
        <v>18</v>
      </c>
      <c r="G26" s="100" t="str">
        <f>VLOOKUP(Table4[[#This Row],[A ID]],Assets[#All],3,FALSE())</f>
        <v>Smart medic (Stryker device) System Component</v>
      </c>
      <c r="H26" s="21" t="s">
        <v>238</v>
      </c>
      <c r="I26" s="161"/>
      <c r="J26" s="94" t="s">
        <v>243</v>
      </c>
      <c r="K26" s="94" t="s">
        <v>243</v>
      </c>
      <c r="L26" s="94" t="s">
        <v>248</v>
      </c>
      <c r="M26" s="95" t="s">
        <v>247</v>
      </c>
      <c r="N26" s="95" t="s">
        <v>239</v>
      </c>
      <c r="O26" s="95" t="s">
        <v>248</v>
      </c>
      <c r="P26" s="95" t="s">
        <v>241</v>
      </c>
      <c r="Q26" s="95" t="s">
        <v>242</v>
      </c>
      <c r="R2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6">
        <f>(1 - ((1 - VLOOKUP(Table4[[#This Row],[Confidentiality]],'Reference - CVSSv3.0'!$B$15:$C$17,2,FALSE())) * (1 - VLOOKUP(Table4[[#This Row],[Integrity]],'Reference - CVSSv3.0'!$B$15:$C$17,2,FALSE())) *  (1 - VLOOKUP(Table4[[#This Row],[Availability]],'Reference - CVSSv3.0'!$B$15:$C$17,2,FALSE()))))</f>
        <v>0.56000000000000005</v>
      </c>
      <c r="T26" s="96">
        <f>IF(Table4[[#This Row],[Scope]]="Unchanged",6.42*Table4[[#This Row],[ISC Base]],IF(Table4[[#This Row],[Scope]]="Changed",7.52*(Table4[[#This Row],[ISC Base]] - 0.029) - 3.25 * POWER(Table4[[#This Row],[ISC Base]] - 0.02,15),NA()))</f>
        <v>3.5952000000000002</v>
      </c>
      <c r="U26"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90" t="s">
        <v>249</v>
      </c>
      <c r="W26" s="96">
        <f>VLOOKUP(Table4[[#This Row],[Threat Event Initiation]],NIST_Scale_LOAI[],2,FALSE())</f>
        <v>0.5</v>
      </c>
      <c r="X2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t="s">
        <v>446</v>
      </c>
      <c r="AA26" s="21" t="s">
        <v>246</v>
      </c>
      <c r="AB26" s="99"/>
      <c r="AC26" s="40"/>
      <c r="AD26" s="40"/>
      <c r="AE26" s="40"/>
      <c r="AF26" s="95"/>
      <c r="AG26" s="95"/>
      <c r="AH26" s="95"/>
      <c r="AI26" s="95"/>
      <c r="AJ26" s="104"/>
      <c r="AK2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6" t="e">
        <f>(1 - ((1 - VLOOKUP(Table4[[#This Row],[ConfidentialityP]],'Reference - CVSSv3.0'!$B$15:$C$17,2,FALSE())) * (1 - VLOOKUP(Table4[[#This Row],[IntegrityP]],'Reference - CVSSv3.0'!$B$15:$C$17,2,FALSE())) *  (1 - VLOOKUP(Table4[[#This Row],[AvailabilityP]],'Reference - CVSSv3.0'!$B$15:$C$17,2,FALSE()))))</f>
        <v>#N/A</v>
      </c>
      <c r="AM26" s="96" t="e">
        <f>IF(Table4[[#This Row],[ScopeP]]="Unchanged",6.42*Table4[[#This Row],[ISC BaseP]],IF(Table4[[#This Row],[ScopeP]]="Changed",7.52*(Table4[[#This Row],[ISC BaseP]] - 0.029) - 3.25 * POWER(Table4[[#This Row],[ISC BaseP]] - 0.02,15),NA()))</f>
        <v>#N/A</v>
      </c>
      <c r="AN2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0"/>
    </row>
    <row r="27" spans="1:43" s="30" customFormat="1" ht="196" hidden="1">
      <c r="A27" s="89">
        <v>23</v>
      </c>
      <c r="B27" s="90" t="s">
        <v>150</v>
      </c>
      <c r="C27" s="100" t="str">
        <f>IF(VLOOKUP(Table4[[#This Row],[T ID]],Table5[#All],5,FALSE())="No","Not in scope",VLOOKUP(Table4[[#This Row],[T ID]],Table5[#All],2,FALSE()))</f>
        <v>Deliver directed malware
(CAPEC-185)</v>
      </c>
      <c r="D27" s="61" t="s">
        <v>112</v>
      </c>
      <c r="E27" s="100" t="str">
        <f>IF(VLOOKUP(Table4[[#This Row],[V ID]],Vulnerabilities[#All],3,FALSE())="No","Not in scope",VLOOKUP(Table4[[#This Row],[V ID]],Vulnerabilities[#All],2,FALSE()))</f>
        <v>InSecure Configuration for Software/OS on Mobile Devices, Laptops, Workstations, and Servers</v>
      </c>
      <c r="F27" s="101" t="s">
        <v>10</v>
      </c>
      <c r="G27" s="100" t="str">
        <f>VLOOKUP(Table4[[#This Row],[A ID]],Assets[#All],3,FALSE())</f>
        <v>Tablet Resources - web cam, microphone, OTG devices, Removable USB, Tablet Application, Network interfaces (Bluetooth, Wifi)</v>
      </c>
      <c r="H27" s="21" t="s">
        <v>238</v>
      </c>
      <c r="I27" s="161"/>
      <c r="J27" s="94" t="s">
        <v>239</v>
      </c>
      <c r="K27" s="94" t="s">
        <v>239</v>
      </c>
      <c r="L27" s="94" t="s">
        <v>239</v>
      </c>
      <c r="M27" s="95" t="s">
        <v>247</v>
      </c>
      <c r="N27" s="95" t="s">
        <v>239</v>
      </c>
      <c r="O27" s="95" t="s">
        <v>239</v>
      </c>
      <c r="P27" s="95" t="s">
        <v>241</v>
      </c>
      <c r="Q27" s="95" t="s">
        <v>242</v>
      </c>
      <c r="R2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6">
        <f>(1 - ((1 - VLOOKUP(Table4[[#This Row],[Confidentiality]],'Reference - CVSSv3.0'!$B$15:$C$17,2,FALSE())) * (1 - VLOOKUP(Table4[[#This Row],[Integrity]],'Reference - CVSSv3.0'!$B$15:$C$17,2,FALSE())) *  (1 - VLOOKUP(Table4[[#This Row],[Availability]],'Reference - CVSSv3.0'!$B$15:$C$17,2,FALSE()))))</f>
        <v>0.52544799999999992</v>
      </c>
      <c r="T27" s="96">
        <f>IF(Table4[[#This Row],[Scope]]="Unchanged",6.42*Table4[[#This Row],[ISC Base]],IF(Table4[[#This Row],[Scope]]="Changed",7.52*(Table4[[#This Row],[ISC Base]] - 0.029) - 3.25 * POWER(Table4[[#This Row],[ISC Base]] - 0.02,15),NA()))</f>
        <v>3.3733761599999994</v>
      </c>
      <c r="U27"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90" t="s">
        <v>239</v>
      </c>
      <c r="W27" s="96">
        <f>VLOOKUP(Table4[[#This Row],[Threat Event Initiation]],NIST_Scale_LOAI[],2,FALSE())</f>
        <v>0.2</v>
      </c>
      <c r="X2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t="s">
        <v>446</v>
      </c>
      <c r="AA27" s="21" t="s">
        <v>246</v>
      </c>
      <c r="AB27" s="99"/>
      <c r="AC27" s="40"/>
      <c r="AD27" s="40"/>
      <c r="AE27" s="40"/>
      <c r="AF27" s="95"/>
      <c r="AG27" s="95"/>
      <c r="AH27" s="95"/>
      <c r="AI27" s="95"/>
      <c r="AJ27" s="104"/>
      <c r="AK2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6" t="e">
        <f>(1 - ((1 - VLOOKUP(Table4[[#This Row],[ConfidentialityP]],'Reference - CVSSv3.0'!$B$15:$C$17,2,FALSE())) * (1 - VLOOKUP(Table4[[#This Row],[IntegrityP]],'Reference - CVSSv3.0'!$B$15:$C$17,2,FALSE())) *  (1 - VLOOKUP(Table4[[#This Row],[AvailabilityP]],'Reference - CVSSv3.0'!$B$15:$C$17,2,FALSE()))))</f>
        <v>#N/A</v>
      </c>
      <c r="AM27" s="96" t="e">
        <f>IF(Table4[[#This Row],[ScopeP]]="Unchanged",6.42*Table4[[#This Row],[ISC BaseP]],IF(Table4[[#This Row],[ScopeP]]="Changed",7.52*(Table4[[#This Row],[ISC BaseP]] - 0.029) - 3.25 * POWER(Table4[[#This Row],[ISC BaseP]] - 0.02,15),NA()))</f>
        <v>#N/A</v>
      </c>
      <c r="AN2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0"/>
    </row>
    <row r="28" spans="1:43" s="30" customFormat="1" ht="70" hidden="1">
      <c r="A28" s="89">
        <v>24</v>
      </c>
      <c r="B28" s="90" t="s">
        <v>150</v>
      </c>
      <c r="C28" s="100" t="str">
        <f>IF(VLOOKUP(Table4[[#This Row],[T ID]],Table5[#All],5,FALSE())="No","Not in scope",VLOOKUP(Table4[[#This Row],[T ID]],Table5[#All],2,FALSE()))</f>
        <v>Deliver directed malware
(CAPEC-185)</v>
      </c>
      <c r="D28" s="61" t="s">
        <v>94</v>
      </c>
      <c r="E28" s="100" t="str">
        <f>IF(VLOOKUP(Table4[[#This Row],[V ID]],Vulnerabilities[#All],3,FALSE())="No","Not in scope",VLOOKUP(Table4[[#This Row],[V ID]],Vulnerabilities[#All],2,FALSE()))</f>
        <v>Unprotected external USB Port on the tablet/devices.</v>
      </c>
      <c r="F28" s="101" t="s">
        <v>34</v>
      </c>
      <c r="G28" s="100" t="str">
        <f>VLOOKUP(Table4[[#This Row],[A ID]],Assets[#All],3,FALSE())</f>
        <v>Wireless Network device (Scope of HDO)</v>
      </c>
      <c r="H28" s="21" t="s">
        <v>238</v>
      </c>
      <c r="I28" s="161"/>
      <c r="J28" s="94" t="s">
        <v>239</v>
      </c>
      <c r="K28" s="94" t="s">
        <v>239</v>
      </c>
      <c r="L28" s="94" t="s">
        <v>239</v>
      </c>
      <c r="M28" s="95" t="s">
        <v>240</v>
      </c>
      <c r="N28" s="95" t="s">
        <v>239</v>
      </c>
      <c r="O28" s="95" t="s">
        <v>239</v>
      </c>
      <c r="P28" s="95" t="s">
        <v>241</v>
      </c>
      <c r="Q28" s="95" t="s">
        <v>242</v>
      </c>
      <c r="R2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6">
        <f>(1 - ((1 - VLOOKUP(Table4[[#This Row],[Confidentiality]],'Reference - CVSSv3.0'!$B$15:$C$17,2,FALSE())) * (1 - VLOOKUP(Table4[[#This Row],[Integrity]],'Reference - CVSSv3.0'!$B$15:$C$17,2,FALSE())) *  (1 - VLOOKUP(Table4[[#This Row],[Availability]],'Reference - CVSSv3.0'!$B$15:$C$17,2,FALSE()))))</f>
        <v>0.52544799999999992</v>
      </c>
      <c r="T28" s="96">
        <f>IF(Table4[[#This Row],[Scope]]="Unchanged",6.42*Table4[[#This Row],[ISC Base]],IF(Table4[[#This Row],[Scope]]="Changed",7.52*(Table4[[#This Row],[ISC Base]] - 0.029) - 3.25 * POWER(Table4[[#This Row],[ISC Base]] - 0.02,15),NA()))</f>
        <v>3.3733761599999994</v>
      </c>
      <c r="U28"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90" t="s">
        <v>249</v>
      </c>
      <c r="W28" s="96">
        <f>VLOOKUP(Table4[[#This Row],[Threat Event Initiation]],NIST_Scale_LOAI[],2,FALSE())</f>
        <v>0.5</v>
      </c>
      <c r="X2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t="s">
        <v>373</v>
      </c>
      <c r="AA28" s="21" t="s">
        <v>251</v>
      </c>
      <c r="AB28" s="99"/>
      <c r="AC28" s="40"/>
      <c r="AD28" s="40"/>
      <c r="AE28" s="40"/>
      <c r="AF28" s="95"/>
      <c r="AG28" s="95"/>
      <c r="AH28" s="95"/>
      <c r="AI28" s="95"/>
      <c r="AJ28" s="104"/>
      <c r="AK2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6" t="e">
        <f>(1 - ((1 - VLOOKUP(Table4[[#This Row],[ConfidentialityP]],'Reference - CVSSv3.0'!$B$15:$C$17,2,FALSE())) * (1 - VLOOKUP(Table4[[#This Row],[IntegrityP]],'Reference - CVSSv3.0'!$B$15:$C$17,2,FALSE())) *  (1 - VLOOKUP(Table4[[#This Row],[AvailabilityP]],'Reference - CVSSv3.0'!$B$15:$C$17,2,FALSE()))))</f>
        <v>#N/A</v>
      </c>
      <c r="AM28" s="96" t="e">
        <f>IF(Table4[[#This Row],[ScopeP]]="Unchanged",6.42*Table4[[#This Row],[ISC BaseP]],IF(Table4[[#This Row],[ScopeP]]="Changed",7.52*(Table4[[#This Row],[ISC BaseP]] - 0.029) - 3.25 * POWER(Table4[[#This Row],[ISC BaseP]] - 0.02,15),NA()))</f>
        <v>#N/A</v>
      </c>
      <c r="AN2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0"/>
    </row>
    <row r="29" spans="1:43" s="30" customFormat="1" ht="196" hidden="1">
      <c r="A29" s="89">
        <v>25</v>
      </c>
      <c r="B29" s="90" t="s">
        <v>150</v>
      </c>
      <c r="C29" s="100" t="str">
        <f>IF(VLOOKUP(Table4[[#This Row],[T ID]],Table5[#All],5,FALSE())="No","Not in scope",VLOOKUP(Table4[[#This Row],[T ID]],Table5[#All],2,FALSE()))</f>
        <v>Deliver directed malware
(CAPEC-185)</v>
      </c>
      <c r="D29" s="61" t="s">
        <v>94</v>
      </c>
      <c r="E29" s="100" t="str">
        <f>IF(VLOOKUP(Table4[[#This Row],[V ID]],Vulnerabilities[#All],3,FALSE())="No","Not in scope",VLOOKUP(Table4[[#This Row],[V ID]],Vulnerabilities[#All],2,FALSE()))</f>
        <v>Unprotected external USB Port on the tablet/devices.</v>
      </c>
      <c r="F29" s="101" t="s">
        <v>10</v>
      </c>
      <c r="G29" s="100" t="str">
        <f>VLOOKUP(Table4[[#This Row],[A ID]],Assets[#All],3,FALSE())</f>
        <v>Tablet Resources - web cam, microphone, OTG devices, Removable USB, Tablet Application, Network interfaces (Bluetooth, Wifi)</v>
      </c>
      <c r="H29" s="21" t="s">
        <v>238</v>
      </c>
      <c r="I29" s="161"/>
      <c r="J29" s="94" t="s">
        <v>239</v>
      </c>
      <c r="K29" s="94" t="s">
        <v>239</v>
      </c>
      <c r="L29" s="94" t="s">
        <v>239</v>
      </c>
      <c r="M29" s="95" t="s">
        <v>240</v>
      </c>
      <c r="N29" s="95" t="s">
        <v>239</v>
      </c>
      <c r="O29" s="95" t="s">
        <v>239</v>
      </c>
      <c r="P29" s="95" t="s">
        <v>241</v>
      </c>
      <c r="Q29" s="95" t="s">
        <v>242</v>
      </c>
      <c r="R2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6">
        <f>(1 - ((1 - VLOOKUP(Table4[[#This Row],[Confidentiality]],'Reference - CVSSv3.0'!$B$15:$C$17,2,FALSE())) * (1 - VLOOKUP(Table4[[#This Row],[Integrity]],'Reference - CVSSv3.0'!$B$15:$C$17,2,FALSE())) *  (1 - VLOOKUP(Table4[[#This Row],[Availability]],'Reference - CVSSv3.0'!$B$15:$C$17,2,FALSE()))))</f>
        <v>0.52544799999999992</v>
      </c>
      <c r="T29" s="96">
        <f>IF(Table4[[#This Row],[Scope]]="Unchanged",6.42*Table4[[#This Row],[ISC Base]],IF(Table4[[#This Row],[Scope]]="Changed",7.52*(Table4[[#This Row],[ISC Base]] - 0.029) - 3.25 * POWER(Table4[[#This Row],[ISC Base]] - 0.02,15),NA()))</f>
        <v>3.3733761599999994</v>
      </c>
      <c r="U29"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90" t="s">
        <v>249</v>
      </c>
      <c r="W29" s="96">
        <f>VLOOKUP(Table4[[#This Row],[Threat Event Initiation]],NIST_Scale_LOAI[],2,FALSE())</f>
        <v>0.5</v>
      </c>
      <c r="X2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t="s">
        <v>446</v>
      </c>
      <c r="AA29" s="21" t="s">
        <v>246</v>
      </c>
      <c r="AB29" s="99"/>
      <c r="AC29" s="40"/>
      <c r="AD29" s="40"/>
      <c r="AE29" s="40"/>
      <c r="AF29" s="95"/>
      <c r="AG29" s="95"/>
      <c r="AH29" s="95"/>
      <c r="AI29" s="95"/>
      <c r="AJ29" s="104"/>
      <c r="AK2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6" t="e">
        <f>(1 - ((1 - VLOOKUP(Table4[[#This Row],[ConfidentialityP]],'Reference - CVSSv3.0'!$B$15:$C$17,2,FALSE())) * (1 - VLOOKUP(Table4[[#This Row],[IntegrityP]],'Reference - CVSSv3.0'!$B$15:$C$17,2,FALSE())) *  (1 - VLOOKUP(Table4[[#This Row],[AvailabilityP]],'Reference - CVSSv3.0'!$B$15:$C$17,2,FALSE()))))</f>
        <v>#N/A</v>
      </c>
      <c r="AM29" s="96" t="e">
        <f>IF(Table4[[#This Row],[ScopeP]]="Unchanged",6.42*Table4[[#This Row],[ISC BaseP]],IF(Table4[[#This Row],[ScopeP]]="Changed",7.52*(Table4[[#This Row],[ISC BaseP]] - 0.029) - 3.25 * POWER(Table4[[#This Row],[ISC BaseP]] - 0.02,15),NA()))</f>
        <v>#N/A</v>
      </c>
      <c r="AN2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0"/>
    </row>
    <row r="30" spans="1:43" s="30" customFormat="1" ht="196" hidden="1">
      <c r="A30" s="89">
        <v>26</v>
      </c>
      <c r="B30" s="90" t="s">
        <v>150</v>
      </c>
      <c r="C30" s="100" t="str">
        <f>IF(VLOOKUP(Table4[[#This Row],[T ID]],Table5[#All],5,FALSE())="No","Not in scope",VLOOKUP(Table4[[#This Row],[T ID]],Table5[#All],2,FALSE()))</f>
        <v>Deliver directed malware
(CAPEC-185)</v>
      </c>
      <c r="D30" s="61" t="s">
        <v>94</v>
      </c>
      <c r="E30" s="100" t="str">
        <f>IF(VLOOKUP(Table4[[#This Row],[V ID]],Vulnerabilities[#All],3,FALSE())="No","Not in scope",VLOOKUP(Table4[[#This Row],[V ID]],Vulnerabilities[#All],2,FALSE()))</f>
        <v>Unprotected external USB Port on the tablet/devices.</v>
      </c>
      <c r="F30" s="101" t="s">
        <v>43</v>
      </c>
      <c r="G30" s="100" t="str">
        <f>VLOOKUP(Table4[[#This Row],[A ID]],Assets[#All],3,FALSE())</f>
        <v>Smart medic app (Stryker Admin Web Application)</v>
      </c>
      <c r="H30" s="21" t="s">
        <v>238</v>
      </c>
      <c r="I30" s="161"/>
      <c r="J30" s="94" t="s">
        <v>239</v>
      </c>
      <c r="K30" s="94" t="s">
        <v>239</v>
      </c>
      <c r="L30" s="94" t="s">
        <v>239</v>
      </c>
      <c r="M30" s="95" t="s">
        <v>240</v>
      </c>
      <c r="N30" s="95" t="s">
        <v>239</v>
      </c>
      <c r="O30" s="95" t="s">
        <v>239</v>
      </c>
      <c r="P30" s="95" t="s">
        <v>241</v>
      </c>
      <c r="Q30" s="95" t="s">
        <v>242</v>
      </c>
      <c r="R3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96">
        <f>(1 - ((1 - VLOOKUP(Table4[[#This Row],[Confidentiality]],'Reference - CVSSv3.0'!$B$15:$C$17,2,FALSE())) * (1 - VLOOKUP(Table4[[#This Row],[Integrity]],'Reference - CVSSv3.0'!$B$15:$C$17,2,FALSE())) *  (1 - VLOOKUP(Table4[[#This Row],[Availability]],'Reference - CVSSv3.0'!$B$15:$C$17,2,FALSE()))))</f>
        <v>0.52544799999999992</v>
      </c>
      <c r="T30" s="96">
        <f>IF(Table4[[#This Row],[Scope]]="Unchanged",6.42*Table4[[#This Row],[ISC Base]],IF(Table4[[#This Row],[Scope]]="Changed",7.52*(Table4[[#This Row],[ISC Base]] - 0.029) - 3.25 * POWER(Table4[[#This Row],[ISC Base]] - 0.02,15),NA()))</f>
        <v>3.3733761599999994</v>
      </c>
      <c r="U30"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90" t="s">
        <v>239</v>
      </c>
      <c r="W30" s="96">
        <f>VLOOKUP(Table4[[#This Row],[Threat Event Initiation]],NIST_Scale_LOAI[],2,FALSE())</f>
        <v>0.2</v>
      </c>
      <c r="X3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1" t="s">
        <v>446</v>
      </c>
      <c r="AA30" s="21" t="s">
        <v>369</v>
      </c>
      <c r="AB30" s="99"/>
      <c r="AC30" s="40"/>
      <c r="AD30" s="40"/>
      <c r="AE30" s="40"/>
      <c r="AF30" s="95"/>
      <c r="AG30" s="95"/>
      <c r="AH30" s="95"/>
      <c r="AI30" s="95"/>
      <c r="AJ30" s="104"/>
      <c r="AK3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96" t="e">
        <f>(1 - ((1 - VLOOKUP(Table4[[#This Row],[ConfidentialityP]],'Reference - CVSSv3.0'!$B$15:$C$17,2,FALSE())) * (1 - VLOOKUP(Table4[[#This Row],[IntegrityP]],'Reference - CVSSv3.0'!$B$15:$C$17,2,FALSE())) *  (1 - VLOOKUP(Table4[[#This Row],[AvailabilityP]],'Reference - CVSSv3.0'!$B$15:$C$17,2,FALSE()))))</f>
        <v>#N/A</v>
      </c>
      <c r="AM30" s="96" t="e">
        <f>IF(Table4[[#This Row],[ScopeP]]="Unchanged",6.42*Table4[[#This Row],[ISC BaseP]],IF(Table4[[#This Row],[ScopeP]]="Changed",7.52*(Table4[[#This Row],[ISC BaseP]] - 0.029) - 3.25 * POWER(Table4[[#This Row],[ISC BaseP]] - 0.02,15),NA()))</f>
        <v>#N/A</v>
      </c>
      <c r="AN3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40"/>
    </row>
    <row r="31" spans="1:43" s="30" customFormat="1" ht="205.25" hidden="1" customHeight="1">
      <c r="A31" s="89">
        <v>27</v>
      </c>
      <c r="B31" s="90" t="s">
        <v>150</v>
      </c>
      <c r="C31" s="100" t="str">
        <f>IF(VLOOKUP(Table4[[#This Row],[T ID]],Table5[#All],5,FALSE())="No","Not in scope",VLOOKUP(Table4[[#This Row],[T ID]],Table5[#All],2,FALSE()))</f>
        <v>Deliver directed malware
(CAPEC-185)</v>
      </c>
      <c r="D31" s="61" t="s">
        <v>70</v>
      </c>
      <c r="E31" s="100" t="str">
        <f>IF(VLOOKUP(Table4[[#This Row],[V ID]],Vulnerabilities[#All],3,FALSE())="No","Not in scope",VLOOKUP(Table4[[#This Row],[V ID]],Vulnerabilities[#All],2,FALSE()))</f>
        <v>External communications and exposure for communciation channels from and to application and devices like tablet and smartmedic device.</v>
      </c>
      <c r="F31" s="101" t="s">
        <v>10</v>
      </c>
      <c r="G31" s="100" t="str">
        <f>VLOOKUP(Table4[[#This Row],[A ID]],Assets[#All],3,FALSE())</f>
        <v>Tablet Resources - web cam, microphone, OTG devices, Removable USB, Tablet Application, Network interfaces (Bluetooth, Wifi)</v>
      </c>
      <c r="H31" s="21" t="s">
        <v>238</v>
      </c>
      <c r="I31" s="161"/>
      <c r="J31" s="94" t="s">
        <v>243</v>
      </c>
      <c r="K31" s="94" t="s">
        <v>243</v>
      </c>
      <c r="L31" s="94" t="s">
        <v>248</v>
      </c>
      <c r="M31" s="95" t="s">
        <v>244</v>
      </c>
      <c r="N31" s="95" t="s">
        <v>239</v>
      </c>
      <c r="O31" s="95" t="s">
        <v>248</v>
      </c>
      <c r="P31" s="95" t="s">
        <v>241</v>
      </c>
      <c r="Q31" s="95" t="s">
        <v>242</v>
      </c>
      <c r="R3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6">
        <f>(1 - ((1 - VLOOKUP(Table4[[#This Row],[Confidentiality]],'Reference - CVSSv3.0'!$B$15:$C$17,2,FALSE())) * (1 - VLOOKUP(Table4[[#This Row],[Integrity]],'Reference - CVSSv3.0'!$B$15:$C$17,2,FALSE())) *  (1 - VLOOKUP(Table4[[#This Row],[Availability]],'Reference - CVSSv3.0'!$B$15:$C$17,2,FALSE()))))</f>
        <v>0.56000000000000005</v>
      </c>
      <c r="T31" s="96">
        <f>IF(Table4[[#This Row],[Scope]]="Unchanged",6.42*Table4[[#This Row],[ISC Base]],IF(Table4[[#This Row],[Scope]]="Changed",7.52*(Table4[[#This Row],[ISC Base]] - 0.029) - 3.25 * POWER(Table4[[#This Row],[ISC Base]] - 0.02,15),NA()))</f>
        <v>3.5952000000000002</v>
      </c>
      <c r="U31" s="96">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90" t="s">
        <v>249</v>
      </c>
      <c r="W31" s="96">
        <f>VLOOKUP(Table4[[#This Row],[Threat Event Initiation]],NIST_Scale_LOAI[],2,FALSE())</f>
        <v>0.5</v>
      </c>
      <c r="X3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10" t="s">
        <v>370</v>
      </c>
      <c r="AA31" s="107" t="s">
        <v>378</v>
      </c>
      <c r="AB31" s="99"/>
      <c r="AC31" s="40"/>
      <c r="AD31" s="40"/>
      <c r="AE31" s="40"/>
      <c r="AF31" s="95"/>
      <c r="AG31" s="95"/>
      <c r="AH31" s="95"/>
      <c r="AI31" s="95"/>
      <c r="AJ31" s="104"/>
      <c r="AK3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6" t="e">
        <f>(1 - ((1 - VLOOKUP(Table4[[#This Row],[ConfidentialityP]],'Reference - CVSSv3.0'!$B$15:$C$17,2,FALSE())) * (1 - VLOOKUP(Table4[[#This Row],[IntegrityP]],'Reference - CVSSv3.0'!$B$15:$C$17,2,FALSE())) *  (1 - VLOOKUP(Table4[[#This Row],[AvailabilityP]],'Reference - CVSSv3.0'!$B$15:$C$17,2,FALSE()))))</f>
        <v>#N/A</v>
      </c>
      <c r="AM31" s="96" t="e">
        <f>IF(Table4[[#This Row],[ScopeP]]="Unchanged",6.42*Table4[[#This Row],[ISC BaseP]],IF(Table4[[#This Row],[ScopeP]]="Changed",7.52*(Table4[[#This Row],[ISC BaseP]] - 0.029) - 3.25 * POWER(Table4[[#This Row],[ISC BaseP]] - 0.02,15),NA()))</f>
        <v>#N/A</v>
      </c>
      <c r="AN3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0"/>
    </row>
    <row r="32" spans="1:43" s="30" customFormat="1" ht="196" hidden="1">
      <c r="A32" s="89">
        <v>28</v>
      </c>
      <c r="B32" s="90" t="s">
        <v>150</v>
      </c>
      <c r="C32" s="100" t="str">
        <f>IF(VLOOKUP(Table4[[#This Row],[T ID]],Table5[#All],5,FALSE())="No","Not in scope",VLOOKUP(Table4[[#This Row],[T ID]],Table5[#All],2,FALSE()))</f>
        <v>Deliver directed malware
(CAPEC-185)</v>
      </c>
      <c r="D32" s="61" t="s">
        <v>83</v>
      </c>
      <c r="E32" s="100" t="str">
        <f>IF(VLOOKUP(Table4[[#This Row],[V ID]],Vulnerabilities[#All],3,FALSE())="No","Not in scope",VLOOKUP(Table4[[#This Row],[V ID]],Vulnerabilities[#All],2,FALSE()))</f>
        <v>Ineffective patch management of firware, OS and applications thoughout the information system plan</v>
      </c>
      <c r="F32" s="101" t="s">
        <v>25</v>
      </c>
      <c r="G32" s="100" t="str">
        <f>VLOOKUP(Table4[[#This Row],[A ID]],Assets[#All],3,FALSE())</f>
        <v>Device Maintainence tool (Hardware/Software)</v>
      </c>
      <c r="H32" s="21" t="s">
        <v>238</v>
      </c>
      <c r="I32" s="161"/>
      <c r="J32" s="94" t="s">
        <v>239</v>
      </c>
      <c r="K32" s="94" t="s">
        <v>239</v>
      </c>
      <c r="L32" s="94" t="s">
        <v>239</v>
      </c>
      <c r="M32" s="95" t="s">
        <v>247</v>
      </c>
      <c r="N32" s="95" t="s">
        <v>239</v>
      </c>
      <c r="O32" s="95" t="s">
        <v>239</v>
      </c>
      <c r="P32" s="95" t="s">
        <v>243</v>
      </c>
      <c r="Q32" s="95" t="s">
        <v>242</v>
      </c>
      <c r="R3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6">
        <f>(1 - ((1 - VLOOKUP(Table4[[#This Row],[Confidentiality]],'Reference - CVSSv3.0'!$B$15:$C$17,2,FALSE())) * (1 - VLOOKUP(Table4[[#This Row],[Integrity]],'Reference - CVSSv3.0'!$B$15:$C$17,2,FALSE())) *  (1 - VLOOKUP(Table4[[#This Row],[Availability]],'Reference - CVSSv3.0'!$B$15:$C$17,2,FALSE()))))</f>
        <v>0.52544799999999992</v>
      </c>
      <c r="T32" s="96">
        <f>IF(Table4[[#This Row],[Scope]]="Unchanged",6.42*Table4[[#This Row],[ISC Base]],IF(Table4[[#This Row],[Scope]]="Changed",7.52*(Table4[[#This Row],[ISC Base]] - 0.029) - 3.25 * POWER(Table4[[#This Row],[ISC Base]] - 0.02,15),NA()))</f>
        <v>3.3733761599999994</v>
      </c>
      <c r="U3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90" t="s">
        <v>239</v>
      </c>
      <c r="W32" s="96">
        <f>VLOOKUP(Table4[[#This Row],[Threat Event Initiation]],NIST_Scale_LOAI[],2,FALSE())</f>
        <v>0.2</v>
      </c>
      <c r="X3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t="s">
        <v>446</v>
      </c>
      <c r="AA32" s="21" t="s">
        <v>246</v>
      </c>
      <c r="AB32" s="99"/>
      <c r="AC32" s="40"/>
      <c r="AD32" s="40"/>
      <c r="AE32" s="40"/>
      <c r="AF32" s="95"/>
      <c r="AG32" s="95"/>
      <c r="AH32" s="95"/>
      <c r="AI32" s="95"/>
      <c r="AJ32" s="104"/>
      <c r="AK3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6" t="e">
        <f>(1 - ((1 - VLOOKUP(Table4[[#This Row],[ConfidentialityP]],'Reference - CVSSv3.0'!$B$15:$C$17,2,FALSE())) * (1 - VLOOKUP(Table4[[#This Row],[IntegrityP]],'Reference - CVSSv3.0'!$B$15:$C$17,2,FALSE())) *  (1 - VLOOKUP(Table4[[#This Row],[AvailabilityP]],'Reference - CVSSv3.0'!$B$15:$C$17,2,FALSE()))))</f>
        <v>#N/A</v>
      </c>
      <c r="AM32" s="96" t="e">
        <f>IF(Table4[[#This Row],[ScopeP]]="Unchanged",6.42*Table4[[#This Row],[ISC BaseP]],IF(Table4[[#This Row],[ScopeP]]="Changed",7.52*(Table4[[#This Row],[ISC BaseP]] - 0.029) - 3.25 * POWER(Table4[[#This Row],[ISC BaseP]] - 0.02,15),NA()))</f>
        <v>#N/A</v>
      </c>
      <c r="AN3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0"/>
    </row>
    <row r="33" spans="1:43" s="30" customFormat="1" ht="196">
      <c r="A33" s="89">
        <v>29</v>
      </c>
      <c r="B33" s="90" t="s">
        <v>150</v>
      </c>
      <c r="C33" s="100" t="str">
        <f>IF(VLOOKUP(Table4[[#This Row],[T ID]],Table5[#All],5,FALSE())="No","Not in scope",VLOOKUP(Table4[[#This Row],[T ID]],Table5[#All],2,FALSE()))</f>
        <v>Deliver directed malware
(CAPEC-185)</v>
      </c>
      <c r="D33" s="61" t="s">
        <v>83</v>
      </c>
      <c r="E33" s="100" t="str">
        <f>IF(VLOOKUP(Table4[[#This Row],[V ID]],Vulnerabilities[#All],3,FALSE())="No","Not in scope",VLOOKUP(Table4[[#This Row],[V ID]],Vulnerabilities[#All],2,FALSE()))</f>
        <v>Ineffective patch management of firware, OS and applications thoughout the information system plan</v>
      </c>
      <c r="F33" s="101" t="s">
        <v>18</v>
      </c>
      <c r="G33" s="100" t="str">
        <f>VLOOKUP(Table4[[#This Row],[A ID]],Assets[#All],3,FALSE())</f>
        <v>Smart medic (Stryker device) System Component</v>
      </c>
      <c r="H33" s="21" t="s">
        <v>238</v>
      </c>
      <c r="I33" s="161"/>
      <c r="J33" s="94" t="s">
        <v>239</v>
      </c>
      <c r="K33" s="94" t="s">
        <v>239</v>
      </c>
      <c r="L33" s="94" t="s">
        <v>239</v>
      </c>
      <c r="M33" s="95" t="s">
        <v>247</v>
      </c>
      <c r="N33" s="95" t="s">
        <v>239</v>
      </c>
      <c r="O33" s="95" t="s">
        <v>239</v>
      </c>
      <c r="P33" s="95" t="s">
        <v>243</v>
      </c>
      <c r="Q33" s="95" t="s">
        <v>242</v>
      </c>
      <c r="R3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6">
        <f>(1 - ((1 - VLOOKUP(Table4[[#This Row],[Confidentiality]],'Reference - CVSSv3.0'!$B$15:$C$17,2,FALSE())) * (1 - VLOOKUP(Table4[[#This Row],[Integrity]],'Reference - CVSSv3.0'!$B$15:$C$17,2,FALSE())) *  (1 - VLOOKUP(Table4[[#This Row],[Availability]],'Reference - CVSSv3.0'!$B$15:$C$17,2,FALSE()))))</f>
        <v>0.52544799999999992</v>
      </c>
      <c r="T33" s="96">
        <f>IF(Table4[[#This Row],[Scope]]="Unchanged",6.42*Table4[[#This Row],[ISC Base]],IF(Table4[[#This Row],[Scope]]="Changed",7.52*(Table4[[#This Row],[ISC Base]] - 0.029) - 3.25 * POWER(Table4[[#This Row],[ISC Base]] - 0.02,15),NA()))</f>
        <v>3.3733761599999994</v>
      </c>
      <c r="U33"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90" t="s">
        <v>239</v>
      </c>
      <c r="W33" s="96">
        <f>VLOOKUP(Table4[[#This Row],[Threat Event Initiation]],NIST_Scale_LOAI[],2,FALSE())</f>
        <v>0.2</v>
      </c>
      <c r="X3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t="s">
        <v>446</v>
      </c>
      <c r="AA33" s="21" t="s">
        <v>246</v>
      </c>
      <c r="AB33" s="99"/>
      <c r="AC33" s="40"/>
      <c r="AD33" s="40"/>
      <c r="AE33" s="40"/>
      <c r="AF33" s="95"/>
      <c r="AG33" s="95"/>
      <c r="AH33" s="95"/>
      <c r="AI33" s="95"/>
      <c r="AJ33" s="104"/>
      <c r="AK3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6" t="e">
        <f>(1 - ((1 - VLOOKUP(Table4[[#This Row],[ConfidentialityP]],'Reference - CVSSv3.0'!$B$15:$C$17,2,FALSE())) * (1 - VLOOKUP(Table4[[#This Row],[IntegrityP]],'Reference - CVSSv3.0'!$B$15:$C$17,2,FALSE())) *  (1 - VLOOKUP(Table4[[#This Row],[AvailabilityP]],'Reference - CVSSv3.0'!$B$15:$C$17,2,FALSE()))))</f>
        <v>#N/A</v>
      </c>
      <c r="AM33" s="96" t="e">
        <f>IF(Table4[[#This Row],[ScopeP]]="Unchanged",6.42*Table4[[#This Row],[ISC BaseP]],IF(Table4[[#This Row],[ScopeP]]="Changed",7.52*(Table4[[#This Row],[ISC BaseP]] - 0.029) - 3.25 * POWER(Table4[[#This Row],[ISC BaseP]] - 0.02,15),NA()))</f>
        <v>#N/A</v>
      </c>
      <c r="AN3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0"/>
    </row>
    <row r="34" spans="1:43" s="30" customFormat="1" ht="168" hidden="1">
      <c r="A34" s="89">
        <v>30</v>
      </c>
      <c r="B34" s="90" t="s">
        <v>150</v>
      </c>
      <c r="C34" s="100" t="str">
        <f>IF(VLOOKUP(Table4[[#This Row],[T ID]],Table5[#All],5,FALSE())="No","Not in scope",VLOOKUP(Table4[[#This Row],[T ID]],Table5[#All],2,FALSE()))</f>
        <v>Deliver directed malware
(CAPEC-185)</v>
      </c>
      <c r="D34" s="61" t="s">
        <v>83</v>
      </c>
      <c r="E34" s="100" t="str">
        <f>IF(VLOOKUP(Table4[[#This Row],[V ID]],Vulnerabilities[#All],3,FALSE())="No","Not in scope",VLOOKUP(Table4[[#This Row],[V ID]],Vulnerabilities[#All],2,FALSE()))</f>
        <v>Ineffective patch management of firware, OS and applications thoughout the information system plan</v>
      </c>
      <c r="F34" s="101" t="s">
        <v>10</v>
      </c>
      <c r="G34" s="100" t="str">
        <f>VLOOKUP(Table4[[#This Row],[A ID]],Assets[#All],3,FALSE())</f>
        <v>Tablet Resources - web cam, microphone, OTG devices, Removable USB, Tablet Application, Network interfaces (Bluetooth, Wifi)</v>
      </c>
      <c r="H34" s="21" t="s">
        <v>238</v>
      </c>
      <c r="I34" s="161"/>
      <c r="J34" s="94" t="s">
        <v>239</v>
      </c>
      <c r="K34" s="94" t="s">
        <v>239</v>
      </c>
      <c r="L34" s="94" t="s">
        <v>239</v>
      </c>
      <c r="M34" s="95" t="s">
        <v>247</v>
      </c>
      <c r="N34" s="95" t="s">
        <v>239</v>
      </c>
      <c r="O34" s="95" t="s">
        <v>239</v>
      </c>
      <c r="P34" s="95" t="s">
        <v>243</v>
      </c>
      <c r="Q34" s="95" t="s">
        <v>242</v>
      </c>
      <c r="R3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6">
        <f>(1 - ((1 - VLOOKUP(Table4[[#This Row],[Confidentiality]],'Reference - CVSSv3.0'!$B$15:$C$17,2,FALSE())) * (1 - VLOOKUP(Table4[[#This Row],[Integrity]],'Reference - CVSSv3.0'!$B$15:$C$17,2,FALSE())) *  (1 - VLOOKUP(Table4[[#This Row],[Availability]],'Reference - CVSSv3.0'!$B$15:$C$17,2,FALSE()))))</f>
        <v>0.52544799999999992</v>
      </c>
      <c r="T34" s="96">
        <f>IF(Table4[[#This Row],[Scope]]="Unchanged",6.42*Table4[[#This Row],[ISC Base]],IF(Table4[[#This Row],[Scope]]="Changed",7.52*(Table4[[#This Row],[ISC Base]] - 0.029) - 3.25 * POWER(Table4[[#This Row],[ISC Base]] - 0.02,15),NA()))</f>
        <v>3.3733761599999994</v>
      </c>
      <c r="U34"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90" t="s">
        <v>239</v>
      </c>
      <c r="W34" s="96">
        <f>VLOOKUP(Table4[[#This Row],[Threat Event Initiation]],NIST_Scale_LOAI[],2,FALSE())</f>
        <v>0.2</v>
      </c>
      <c r="X3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t="s">
        <v>446</v>
      </c>
      <c r="AA34" s="21" t="s">
        <v>377</v>
      </c>
      <c r="AB34" s="99"/>
      <c r="AC34" s="40"/>
      <c r="AD34" s="40"/>
      <c r="AE34" s="40"/>
      <c r="AF34" s="95"/>
      <c r="AG34" s="95"/>
      <c r="AH34" s="95"/>
      <c r="AI34" s="95"/>
      <c r="AJ34" s="104"/>
      <c r="AK3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6" t="e">
        <f>(1 - ((1 - VLOOKUP(Table4[[#This Row],[ConfidentialityP]],'Reference - CVSSv3.0'!$B$15:$C$17,2,FALSE())) * (1 - VLOOKUP(Table4[[#This Row],[IntegrityP]],'Reference - CVSSv3.0'!$B$15:$C$17,2,FALSE())) *  (1 - VLOOKUP(Table4[[#This Row],[AvailabilityP]],'Reference - CVSSv3.0'!$B$15:$C$17,2,FALSE()))))</f>
        <v>#N/A</v>
      </c>
      <c r="AM34" s="96" t="e">
        <f>IF(Table4[[#This Row],[ScopeP]]="Unchanged",6.42*Table4[[#This Row],[ISC BaseP]],IF(Table4[[#This Row],[ScopeP]]="Changed",7.52*(Table4[[#This Row],[ISC BaseP]] - 0.029) - 3.25 * POWER(Table4[[#This Row],[ISC BaseP]] - 0.02,15),NA()))</f>
        <v>#N/A</v>
      </c>
      <c r="AN3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40"/>
    </row>
    <row r="35" spans="1:43" s="30" customFormat="1" ht="150" customHeight="1">
      <c r="A35" s="89">
        <v>31</v>
      </c>
      <c r="B35" s="90" t="s">
        <v>150</v>
      </c>
      <c r="C35" s="100" t="str">
        <f>IF(VLOOKUP(Table4[[#This Row],[T ID]],Table5[#All],5,FALSE())="No","Not in scope",VLOOKUP(Table4[[#This Row],[T ID]],Table5[#All],2,FALSE()))</f>
        <v>Deliver directed malware
(CAPEC-185)</v>
      </c>
      <c r="D35" s="61" t="s">
        <v>92</v>
      </c>
      <c r="E35" s="100" t="str">
        <f>IF(VLOOKUP(Table4[[#This Row],[V ID]],Vulnerabilities[#All],3,FALSE())="No","Not in scope",VLOOKUP(Table4[[#This Row],[V ID]],Vulnerabilities[#All],2,FALSE()))</f>
        <v>Unprotected network port(s) on network devices and connection points</v>
      </c>
      <c r="F35" s="101" t="s">
        <v>18</v>
      </c>
      <c r="G35" s="100" t="str">
        <f>VLOOKUP(Table4[[#This Row],[A ID]],Assets[#All],3,FALSE())</f>
        <v>Smart medic (Stryker device) System Component</v>
      </c>
      <c r="H35" s="21" t="s">
        <v>252</v>
      </c>
      <c r="I35" s="161"/>
      <c r="J35" s="94" t="s">
        <v>243</v>
      </c>
      <c r="K35" s="94" t="s">
        <v>243</v>
      </c>
      <c r="L35" s="94" t="s">
        <v>248</v>
      </c>
      <c r="M35" s="95" t="s">
        <v>244</v>
      </c>
      <c r="N35" s="95" t="s">
        <v>239</v>
      </c>
      <c r="O35" s="95" t="s">
        <v>248</v>
      </c>
      <c r="P35" s="95" t="s">
        <v>243</v>
      </c>
      <c r="Q35" s="95" t="s">
        <v>242</v>
      </c>
      <c r="R3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6">
        <f>(1 - ((1 - VLOOKUP(Table4[[#This Row],[Confidentiality]],'Reference - CVSSv3.0'!$B$15:$C$17,2,FALSE())) * (1 - VLOOKUP(Table4[[#This Row],[Integrity]],'Reference - CVSSv3.0'!$B$15:$C$17,2,FALSE())) *  (1 - VLOOKUP(Table4[[#This Row],[Availability]],'Reference - CVSSv3.0'!$B$15:$C$17,2,FALSE()))))</f>
        <v>0.56000000000000005</v>
      </c>
      <c r="T35" s="96">
        <f>IF(Table4[[#This Row],[Scope]]="Unchanged",6.42*Table4[[#This Row],[ISC Base]],IF(Table4[[#This Row],[Scope]]="Changed",7.52*(Table4[[#This Row],[ISC Base]] - 0.029) - 3.25 * POWER(Table4[[#This Row],[ISC Base]] - 0.02,15),NA()))</f>
        <v>3.5952000000000002</v>
      </c>
      <c r="U35"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90" t="s">
        <v>249</v>
      </c>
      <c r="W35" s="96">
        <f>VLOOKUP(Table4[[#This Row],[Threat Event Initiation]],NIST_Scale_LOAI[],2,FALSE())</f>
        <v>0.5</v>
      </c>
      <c r="X3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10" t="s">
        <v>371</v>
      </c>
      <c r="AA35" s="107" t="s">
        <v>368</v>
      </c>
      <c r="AB35" s="99"/>
      <c r="AC35" s="40"/>
      <c r="AD35" s="40"/>
      <c r="AE35" s="40"/>
      <c r="AF35" s="95"/>
      <c r="AG35" s="95"/>
      <c r="AH35" s="95"/>
      <c r="AI35" s="95"/>
      <c r="AJ35" s="104"/>
      <c r="AK3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6" t="e">
        <f>(1 - ((1 - VLOOKUP(Table4[[#This Row],[ConfidentialityP]],'Reference - CVSSv3.0'!$B$15:$C$17,2,FALSE())) * (1 - VLOOKUP(Table4[[#This Row],[IntegrityP]],'Reference - CVSSv3.0'!$B$15:$C$17,2,FALSE())) *  (1 - VLOOKUP(Table4[[#This Row],[AvailabilityP]],'Reference - CVSSv3.0'!$B$15:$C$17,2,FALSE()))))</f>
        <v>#N/A</v>
      </c>
      <c r="AM35" s="96" t="e">
        <f>IF(Table4[[#This Row],[ScopeP]]="Unchanged",6.42*Table4[[#This Row],[ISC BaseP]],IF(Table4[[#This Row],[ScopeP]]="Changed",7.52*(Table4[[#This Row],[ISC BaseP]] - 0.029) - 3.25 * POWER(Table4[[#This Row],[ISC BaseP]] - 0.02,15),NA()))</f>
        <v>#N/A</v>
      </c>
      <c r="AN3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40"/>
    </row>
    <row r="36" spans="1:43" s="30" customFormat="1" ht="196" hidden="1">
      <c r="A36" s="89">
        <v>32</v>
      </c>
      <c r="B36" s="90" t="s">
        <v>150</v>
      </c>
      <c r="C36" s="100" t="str">
        <f>IF(VLOOKUP(Table4[[#This Row],[T ID]],Table5[#All],5,FALSE())="No","Not in scope",VLOOKUP(Table4[[#This Row],[T ID]],Table5[#All],2,FALSE()))</f>
        <v>Deliver directed malware
(CAPEC-185)</v>
      </c>
      <c r="D36" s="61" t="s">
        <v>92</v>
      </c>
      <c r="E36" s="100" t="str">
        <f>IF(VLOOKUP(Table4[[#This Row],[V ID]],Vulnerabilities[#All],3,FALSE())="No","Not in scope",VLOOKUP(Table4[[#This Row],[V ID]],Vulnerabilities[#All],2,FALSE()))</f>
        <v>Unprotected network port(s) on network devices and connection points</v>
      </c>
      <c r="F36" s="101" t="s">
        <v>10</v>
      </c>
      <c r="G36" s="100" t="str">
        <f>VLOOKUP(Table4[[#This Row],[A ID]],Assets[#All],3,FALSE())</f>
        <v>Tablet Resources - web cam, microphone, OTG devices, Removable USB, Tablet Application, Network interfaces (Bluetooth, Wifi)</v>
      </c>
      <c r="H36" s="21" t="s">
        <v>252</v>
      </c>
      <c r="I36" s="161"/>
      <c r="J36" s="94" t="s">
        <v>243</v>
      </c>
      <c r="K36" s="94" t="s">
        <v>243</v>
      </c>
      <c r="L36" s="94" t="s">
        <v>248</v>
      </c>
      <c r="M36" s="95" t="s">
        <v>244</v>
      </c>
      <c r="N36" s="95" t="s">
        <v>239</v>
      </c>
      <c r="O36" s="95" t="s">
        <v>248</v>
      </c>
      <c r="P36" s="95" t="s">
        <v>243</v>
      </c>
      <c r="Q36" s="95" t="s">
        <v>242</v>
      </c>
      <c r="R3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6">
        <f>(1 - ((1 - VLOOKUP(Table4[[#This Row],[Confidentiality]],'Reference - CVSSv3.0'!$B$15:$C$17,2,FALSE())) * (1 - VLOOKUP(Table4[[#This Row],[Integrity]],'Reference - CVSSv3.0'!$B$15:$C$17,2,FALSE())) *  (1 - VLOOKUP(Table4[[#This Row],[Availability]],'Reference - CVSSv3.0'!$B$15:$C$17,2,FALSE()))))</f>
        <v>0.56000000000000005</v>
      </c>
      <c r="T36" s="96">
        <f>IF(Table4[[#This Row],[Scope]]="Unchanged",6.42*Table4[[#This Row],[ISC Base]],IF(Table4[[#This Row],[Scope]]="Changed",7.52*(Table4[[#This Row],[ISC Base]] - 0.029) - 3.25 * POWER(Table4[[#This Row],[ISC Base]] - 0.02,15),NA()))</f>
        <v>3.5952000000000002</v>
      </c>
      <c r="U36"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90" t="s">
        <v>239</v>
      </c>
      <c r="W36" s="96">
        <f>VLOOKUP(Table4[[#This Row],[Threat Event Initiation]],NIST_Scale_LOAI[],2,FALSE())</f>
        <v>0.2</v>
      </c>
      <c r="X3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t="s">
        <v>446</v>
      </c>
      <c r="AA36" s="21" t="s">
        <v>369</v>
      </c>
      <c r="AB36" s="99"/>
      <c r="AC36" s="40"/>
      <c r="AD36" s="40"/>
      <c r="AE36" s="40"/>
      <c r="AF36" s="95"/>
      <c r="AG36" s="95"/>
      <c r="AH36" s="95"/>
      <c r="AI36" s="95"/>
      <c r="AJ36" s="104"/>
      <c r="AK3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6" t="e">
        <f>(1 - ((1 - VLOOKUP(Table4[[#This Row],[ConfidentialityP]],'Reference - CVSSv3.0'!$B$15:$C$17,2,FALSE())) * (1 - VLOOKUP(Table4[[#This Row],[IntegrityP]],'Reference - CVSSv3.0'!$B$15:$C$17,2,FALSE())) *  (1 - VLOOKUP(Table4[[#This Row],[AvailabilityP]],'Reference - CVSSv3.0'!$B$15:$C$17,2,FALSE()))))</f>
        <v>#N/A</v>
      </c>
      <c r="AM36" s="96" t="e">
        <f>IF(Table4[[#This Row],[ScopeP]]="Unchanged",6.42*Table4[[#This Row],[ISC BaseP]],IF(Table4[[#This Row],[ScopeP]]="Changed",7.52*(Table4[[#This Row],[ISC BaseP]] - 0.029) - 3.25 * POWER(Table4[[#This Row],[ISC BaseP]] - 0.02,15),NA()))</f>
        <v>#N/A</v>
      </c>
      <c r="AN3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40"/>
    </row>
    <row r="37" spans="1:43" s="30" customFormat="1" ht="263.5" hidden="1" customHeight="1">
      <c r="A37" s="89">
        <v>33</v>
      </c>
      <c r="B37" s="90" t="s">
        <v>150</v>
      </c>
      <c r="C37" s="100" t="str">
        <f>IF(VLOOKUP(Table4[[#This Row],[T ID]],Table5[#All],5,FALSE())="No","Not in scope",VLOOKUP(Table4[[#This Row],[T ID]],Table5[#All],2,FALSE()))</f>
        <v>Deliver directed malware
(CAPEC-185)</v>
      </c>
      <c r="D37" s="61" t="s">
        <v>112</v>
      </c>
      <c r="E37" s="100" t="str">
        <f>IF(VLOOKUP(Table4[[#This Row],[V ID]],Vulnerabilities[#All],3,FALSE())="No","Not in scope",VLOOKUP(Table4[[#This Row],[V ID]],Vulnerabilities[#All],2,FALSE()))</f>
        <v>InSecure Configuration for Software/OS on Mobile Devices, Laptops, Workstations, and Servers</v>
      </c>
      <c r="F37" s="101" t="s">
        <v>43</v>
      </c>
      <c r="G37" s="100" t="str">
        <f>VLOOKUP(Table4[[#This Row],[A ID]],Assets[#All],3,FALSE())</f>
        <v>Smart medic app (Stryker Admin Web Application)</v>
      </c>
      <c r="H37" s="21" t="s">
        <v>252</v>
      </c>
      <c r="I37" s="161"/>
      <c r="J37" s="94" t="s">
        <v>243</v>
      </c>
      <c r="K37" s="94" t="s">
        <v>243</v>
      </c>
      <c r="L37" s="94" t="s">
        <v>248</v>
      </c>
      <c r="M37" s="95" t="s">
        <v>247</v>
      </c>
      <c r="N37" s="95" t="s">
        <v>248</v>
      </c>
      <c r="O37" s="95" t="s">
        <v>248</v>
      </c>
      <c r="P37" s="95" t="s">
        <v>241</v>
      </c>
      <c r="Q37" s="95" t="s">
        <v>242</v>
      </c>
      <c r="R3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6">
        <f>(1 - ((1 - VLOOKUP(Table4[[#This Row],[Confidentiality]],'Reference - CVSSv3.0'!$B$15:$C$17,2,FALSE())) * (1 - VLOOKUP(Table4[[#This Row],[Integrity]],'Reference - CVSSv3.0'!$B$15:$C$17,2,FALSE())) *  (1 - VLOOKUP(Table4[[#This Row],[Availability]],'Reference - CVSSv3.0'!$B$15:$C$17,2,FALSE()))))</f>
        <v>0.56000000000000005</v>
      </c>
      <c r="T37" s="96">
        <f>IF(Table4[[#This Row],[Scope]]="Unchanged",6.42*Table4[[#This Row],[ISC Base]],IF(Table4[[#This Row],[Scope]]="Changed",7.52*(Table4[[#This Row],[ISC Base]] - 0.029) - 3.25 * POWER(Table4[[#This Row],[ISC Base]] - 0.02,15),NA()))</f>
        <v>3.5952000000000002</v>
      </c>
      <c r="U37" s="96">
        <f>IF(Table4[[#This Row],[Impact Sub Score]]&lt;=0,0,IF(Table4[[#This Row],[Scope]]="Unchanged",ROUNDUP(MIN((Table4[[#This Row],[Impact Sub Score]]+Table4[[#This Row],[Exploitability Sub Score]]),10),1),IF(Table4[[#This Row],[Scope]]="Changed",ROUNDUP(MIN((1.08*(Table4[[#This Row],[Impact Sub Score]]+Table4[[#This Row],[Exploitability Sub Score]])),10),1),NA())))</f>
        <v>4</v>
      </c>
      <c r="V37" s="90" t="s">
        <v>249</v>
      </c>
      <c r="W37" s="96">
        <f>VLOOKUP(Table4[[#This Row],[Threat Event Initiation]],NIST_Scale_LOAI[],2,FALSE())</f>
        <v>0.5</v>
      </c>
      <c r="X3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50" t="s">
        <v>395</v>
      </c>
      <c r="AA37" s="108" t="s">
        <v>470</v>
      </c>
      <c r="AB37" s="99"/>
      <c r="AC37" s="40"/>
      <c r="AD37" s="40"/>
      <c r="AE37" s="40"/>
      <c r="AF37" s="95"/>
      <c r="AG37" s="95"/>
      <c r="AH37" s="95"/>
      <c r="AI37" s="95"/>
      <c r="AJ37" s="104"/>
      <c r="AK3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6" t="e">
        <f>(1 - ((1 - VLOOKUP(Table4[[#This Row],[ConfidentialityP]],'Reference - CVSSv3.0'!$B$15:$C$17,2,FALSE())) * (1 - VLOOKUP(Table4[[#This Row],[IntegrityP]],'Reference - CVSSv3.0'!$B$15:$C$17,2,FALSE())) *  (1 - VLOOKUP(Table4[[#This Row],[AvailabilityP]],'Reference - CVSSv3.0'!$B$15:$C$17,2,FALSE()))))</f>
        <v>#N/A</v>
      </c>
      <c r="AM37" s="96" t="e">
        <f>IF(Table4[[#This Row],[ScopeP]]="Unchanged",6.42*Table4[[#This Row],[ISC BaseP]],IF(Table4[[#This Row],[ScopeP]]="Changed",7.52*(Table4[[#This Row],[ISC BaseP]] - 0.029) - 3.25 * POWER(Table4[[#This Row],[ISC BaseP]] - 0.02,15),NA()))</f>
        <v>#N/A</v>
      </c>
      <c r="AN3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40"/>
    </row>
    <row r="38" spans="1:43" s="30" customFormat="1" ht="196" hidden="1">
      <c r="A38" s="89">
        <v>34</v>
      </c>
      <c r="B38" s="90" t="s">
        <v>150</v>
      </c>
      <c r="C38" s="100" t="str">
        <f>IF(VLOOKUP(Table4[[#This Row],[T ID]],Table5[#All],5,FALSE())="No","Not in scope",VLOOKUP(Table4[[#This Row],[T ID]],Table5[#All],2,FALSE()))</f>
        <v>Deliver directed malware
(CAPEC-185)</v>
      </c>
      <c r="D38" s="61" t="s">
        <v>112</v>
      </c>
      <c r="E38" s="100" t="str">
        <f>IF(VLOOKUP(Table4[[#This Row],[V ID]],Vulnerabilities[#All],3,FALSE())="No","Not in scope",VLOOKUP(Table4[[#This Row],[V ID]],Vulnerabilities[#All],2,FALSE()))</f>
        <v>InSecure Configuration for Software/OS on Mobile Devices, Laptops, Workstations, and Servers</v>
      </c>
      <c r="F38" s="101" t="s">
        <v>10</v>
      </c>
      <c r="G38" s="100" t="str">
        <f>VLOOKUP(Table4[[#This Row],[A ID]],Assets[#All],3,FALSE())</f>
        <v>Tablet Resources - web cam, microphone, OTG devices, Removable USB, Tablet Application, Network interfaces (Bluetooth, Wifi)</v>
      </c>
      <c r="H38" s="21" t="s">
        <v>252</v>
      </c>
      <c r="I38" s="161"/>
      <c r="J38" s="94" t="s">
        <v>239</v>
      </c>
      <c r="K38" s="94" t="s">
        <v>239</v>
      </c>
      <c r="L38" s="94" t="s">
        <v>239</v>
      </c>
      <c r="M38" s="95" t="s">
        <v>247</v>
      </c>
      <c r="N38" s="95" t="s">
        <v>239</v>
      </c>
      <c r="O38" s="95" t="s">
        <v>239</v>
      </c>
      <c r="P38" s="95" t="s">
        <v>241</v>
      </c>
      <c r="Q38" s="95" t="s">
        <v>242</v>
      </c>
      <c r="R3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6">
        <f>(1 - ((1 - VLOOKUP(Table4[[#This Row],[Confidentiality]],'Reference - CVSSv3.0'!$B$15:$C$17,2,FALSE())) * (1 - VLOOKUP(Table4[[#This Row],[Integrity]],'Reference - CVSSv3.0'!$B$15:$C$17,2,FALSE())) *  (1 - VLOOKUP(Table4[[#This Row],[Availability]],'Reference - CVSSv3.0'!$B$15:$C$17,2,FALSE()))))</f>
        <v>0.52544799999999992</v>
      </c>
      <c r="T38" s="96">
        <f>IF(Table4[[#This Row],[Scope]]="Unchanged",6.42*Table4[[#This Row],[ISC Base]],IF(Table4[[#This Row],[Scope]]="Changed",7.52*(Table4[[#This Row],[ISC Base]] - 0.029) - 3.25 * POWER(Table4[[#This Row],[ISC Base]] - 0.02,15),NA()))</f>
        <v>3.3733761599999994</v>
      </c>
      <c r="U38"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90" t="s">
        <v>239</v>
      </c>
      <c r="W38" s="96">
        <f>VLOOKUP(Table4[[#This Row],[Threat Event Initiation]],NIST_Scale_LOAI[],2,FALSE())</f>
        <v>0.2</v>
      </c>
      <c r="X3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t="s">
        <v>446</v>
      </c>
      <c r="AA38" s="21" t="s">
        <v>246</v>
      </c>
      <c r="AB38" s="99"/>
      <c r="AC38" s="40"/>
      <c r="AD38" s="40"/>
      <c r="AE38" s="40"/>
      <c r="AF38" s="95"/>
      <c r="AG38" s="95"/>
      <c r="AH38" s="95"/>
      <c r="AI38" s="95"/>
      <c r="AJ38" s="104"/>
      <c r="AK3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6" t="e">
        <f>(1 - ((1 - VLOOKUP(Table4[[#This Row],[ConfidentialityP]],'Reference - CVSSv3.0'!$B$15:$C$17,2,FALSE())) * (1 - VLOOKUP(Table4[[#This Row],[IntegrityP]],'Reference - CVSSv3.0'!$B$15:$C$17,2,FALSE())) *  (1 - VLOOKUP(Table4[[#This Row],[AvailabilityP]],'Reference - CVSSv3.0'!$B$15:$C$17,2,FALSE()))))</f>
        <v>#N/A</v>
      </c>
      <c r="AM38" s="96" t="e">
        <f>IF(Table4[[#This Row],[ScopeP]]="Unchanged",6.42*Table4[[#This Row],[ISC BaseP]],IF(Table4[[#This Row],[ScopeP]]="Changed",7.52*(Table4[[#This Row],[ISC BaseP]] - 0.029) - 3.25 * POWER(Table4[[#This Row],[ISC BaseP]] - 0.02,15),NA()))</f>
        <v>#N/A</v>
      </c>
      <c r="AN3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40"/>
    </row>
    <row r="39" spans="1:43" s="30" customFormat="1" ht="196" hidden="1">
      <c r="A39" s="89">
        <v>35</v>
      </c>
      <c r="B39" s="90" t="s">
        <v>150</v>
      </c>
      <c r="C39" s="91" t="str">
        <f>IF(VLOOKUP(Table4[[#This Row],[T ID]],Table5[#All],5,FALSE())="No","Not in scope",VLOOKUP(Table4[[#This Row],[T ID]],Table5[#All],2,FALSE()))</f>
        <v>Deliver directed malware
(CAPEC-185)</v>
      </c>
      <c r="D39" s="61" t="s">
        <v>101</v>
      </c>
      <c r="E39" s="91" t="str">
        <f>IF(VLOOKUP(Table4[[#This Row],[V ID]],Vulnerabilities[#All],3,FALSE())="No","Not in scope",VLOOKUP(Table4[[#This Row],[V ID]],Vulnerabilities[#All],2,FALSE()))</f>
        <v>Unencrypted data at rest in all possible locations</v>
      </c>
      <c r="F39" s="92" t="s">
        <v>10</v>
      </c>
      <c r="G39" s="93" t="str">
        <f>VLOOKUP(Table4[[#This Row],[A ID]],Assets[#All],3,FALSE())</f>
        <v>Tablet Resources - web cam, microphone, OTG devices, Removable USB, Tablet Application, Network interfaces (Bluetooth, Wifi)</v>
      </c>
      <c r="H39" s="21" t="s">
        <v>252</v>
      </c>
      <c r="I39" s="161"/>
      <c r="J39" s="94" t="s">
        <v>239</v>
      </c>
      <c r="K39" s="94" t="s">
        <v>239</v>
      </c>
      <c r="L39" s="94" t="s">
        <v>239</v>
      </c>
      <c r="M39" s="95" t="s">
        <v>247</v>
      </c>
      <c r="N39" s="95" t="s">
        <v>239</v>
      </c>
      <c r="O39" s="95" t="s">
        <v>239</v>
      </c>
      <c r="P39" s="95" t="s">
        <v>243</v>
      </c>
      <c r="Q39" s="95" t="s">
        <v>242</v>
      </c>
      <c r="R39"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6">
        <f>(1 - ((1 - VLOOKUP(Table4[[#This Row],[Confidentiality]],'Reference - CVSSv3.0'!$B$15:$C$17,2,FALSE())) * (1 - VLOOKUP(Table4[[#This Row],[Integrity]],'Reference - CVSSv3.0'!$B$15:$C$17,2,FALSE())) *  (1 - VLOOKUP(Table4[[#This Row],[Availability]],'Reference - CVSSv3.0'!$B$15:$C$17,2,FALSE()))))</f>
        <v>0.52544799999999992</v>
      </c>
      <c r="T39" s="96">
        <f>IF(Table4[[#This Row],[Scope]]="Unchanged",6.42*Table4[[#This Row],[ISC Base]],IF(Table4[[#This Row],[Scope]]="Changed",7.52*(Table4[[#This Row],[ISC Base]] - 0.029) - 3.25 * POWER(Table4[[#This Row],[ISC Base]] - 0.02,15),NA()))</f>
        <v>3.3733761599999994</v>
      </c>
      <c r="U3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90" t="s">
        <v>239</v>
      </c>
      <c r="W39" s="97">
        <f>VLOOKUP(Table4[[#This Row],[Threat Event Initiation]],NIST_Scale_LOAI[],2,FALSE())</f>
        <v>0.2</v>
      </c>
      <c r="X3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t="s">
        <v>446</v>
      </c>
      <c r="AA39" s="21" t="s">
        <v>246</v>
      </c>
      <c r="AB39" s="99"/>
      <c r="AC39" s="94"/>
      <c r="AD39" s="94"/>
      <c r="AE39" s="94"/>
      <c r="AF39" s="95"/>
      <c r="AG39" s="95"/>
      <c r="AH39" s="95"/>
      <c r="AI39" s="95"/>
      <c r="AJ39" s="95"/>
      <c r="AK3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6" t="e">
        <f>(1 - ((1 - VLOOKUP(Table4[[#This Row],[ConfidentialityP]],'Reference - CVSSv3.0'!$B$15:$C$17,2,FALSE())) * (1 - VLOOKUP(Table4[[#This Row],[IntegrityP]],'Reference - CVSSv3.0'!$B$15:$C$17,2,FALSE())) *  (1 - VLOOKUP(Table4[[#This Row],[AvailabilityP]],'Reference - CVSSv3.0'!$B$15:$C$17,2,FALSE()))))</f>
        <v>#N/A</v>
      </c>
      <c r="AM39" s="96" t="e">
        <f>IF(Table4[[#This Row],[ScopeP]]="Unchanged",6.42*Table4[[#This Row],[ISC BaseP]],IF(Table4[[#This Row],[ScopeP]]="Changed",7.52*(Table4[[#This Row],[ISC BaseP]] - 0.029) - 3.25 * POWER(Table4[[#This Row],[ISC BaseP]] - 0.02,15),NA()))</f>
        <v>#N/A</v>
      </c>
      <c r="AN3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40"/>
    </row>
    <row r="40" spans="1:43" s="30" customFormat="1" ht="196" hidden="1">
      <c r="A40" s="89">
        <v>36</v>
      </c>
      <c r="B40" s="90" t="s">
        <v>150</v>
      </c>
      <c r="C40" s="100" t="str">
        <f>IF(VLOOKUP(Table4[[#This Row],[T ID]],Table5[#All],5,FALSE())="No","Not in scope",VLOOKUP(Table4[[#This Row],[T ID]],Table5[#All],2,FALSE()))</f>
        <v>Deliver directed malware
(CAPEC-185)</v>
      </c>
      <c r="D40" s="61" t="s">
        <v>101</v>
      </c>
      <c r="E40" s="100" t="str">
        <f>IF(VLOOKUP(Table4[[#This Row],[V ID]],Vulnerabilities[#All],3,FALSE())="No","Not in scope",VLOOKUP(Table4[[#This Row],[V ID]],Vulnerabilities[#All],2,FALSE()))</f>
        <v>Unencrypted data at rest in all possible locations</v>
      </c>
      <c r="F40" s="109" t="s">
        <v>14</v>
      </c>
      <c r="G40" s="100" t="str">
        <f>VLOOKUP(Table4[[#This Row],[A ID]],Assets[#All],3,FALSE())</f>
        <v>Tablet OS/network details &amp; Tablet Application</v>
      </c>
      <c r="H40" s="21" t="s">
        <v>252</v>
      </c>
      <c r="I40" s="161"/>
      <c r="J40" s="94" t="s">
        <v>239</v>
      </c>
      <c r="K40" s="94" t="s">
        <v>239</v>
      </c>
      <c r="L40" s="94" t="s">
        <v>239</v>
      </c>
      <c r="M40" s="95" t="s">
        <v>247</v>
      </c>
      <c r="N40" s="95" t="s">
        <v>239</v>
      </c>
      <c r="O40" s="95" t="s">
        <v>239</v>
      </c>
      <c r="P40" s="95" t="s">
        <v>243</v>
      </c>
      <c r="Q40" s="95" t="s">
        <v>242</v>
      </c>
      <c r="R4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6">
        <f>(1 - ((1 - VLOOKUP(Table4[[#This Row],[Confidentiality]],'Reference - CVSSv3.0'!$B$15:$C$17,2,FALSE())) * (1 - VLOOKUP(Table4[[#This Row],[Integrity]],'Reference - CVSSv3.0'!$B$15:$C$17,2,FALSE())) *  (1 - VLOOKUP(Table4[[#This Row],[Availability]],'Reference - CVSSv3.0'!$B$15:$C$17,2,FALSE()))))</f>
        <v>0.52544799999999992</v>
      </c>
      <c r="T40" s="96">
        <f>IF(Table4[[#This Row],[Scope]]="Unchanged",6.42*Table4[[#This Row],[ISC Base]],IF(Table4[[#This Row],[Scope]]="Changed",7.52*(Table4[[#This Row],[ISC Base]] - 0.029) - 3.25 * POWER(Table4[[#This Row],[ISC Base]] - 0.02,15),NA()))</f>
        <v>3.3733761599999994</v>
      </c>
      <c r="U40"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90" t="s">
        <v>239</v>
      </c>
      <c r="W40" s="96">
        <f>VLOOKUP(Table4[[#This Row],[Threat Event Initiation]],NIST_Scale_LOAI[],2,FALSE())</f>
        <v>0.2</v>
      </c>
      <c r="X4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t="s">
        <v>446</v>
      </c>
      <c r="AA40" s="21" t="s">
        <v>246</v>
      </c>
      <c r="AB40" s="99"/>
      <c r="AC40" s="40"/>
      <c r="AD40" s="40"/>
      <c r="AE40" s="40"/>
      <c r="AF40" s="95"/>
      <c r="AG40" s="95"/>
      <c r="AH40" s="95"/>
      <c r="AI40" s="95"/>
      <c r="AJ40" s="104"/>
      <c r="AK4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6" t="e">
        <f>(1 - ((1 - VLOOKUP(Table4[[#This Row],[ConfidentialityP]],'Reference - CVSSv3.0'!$B$15:$C$17,2,FALSE())) * (1 - VLOOKUP(Table4[[#This Row],[IntegrityP]],'Reference - CVSSv3.0'!$B$15:$C$17,2,FALSE())) *  (1 - VLOOKUP(Table4[[#This Row],[AvailabilityP]],'Reference - CVSSv3.0'!$B$15:$C$17,2,FALSE()))))</f>
        <v>#N/A</v>
      </c>
      <c r="AM40" s="96" t="e">
        <f>IF(Table4[[#This Row],[ScopeP]]="Unchanged",6.42*Table4[[#This Row],[ISC BaseP]],IF(Table4[[#This Row],[ScopeP]]="Changed",7.52*(Table4[[#This Row],[ISC BaseP]] - 0.029) - 3.25 * POWER(Table4[[#This Row],[ISC BaseP]] - 0.02,15),NA()))</f>
        <v>#N/A</v>
      </c>
      <c r="AN4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40"/>
    </row>
    <row r="41" spans="1:43" s="30" customFormat="1" ht="409.5" hidden="1">
      <c r="A41" s="89">
        <v>37</v>
      </c>
      <c r="B41" s="90" t="s">
        <v>150</v>
      </c>
      <c r="C41" s="100" t="str">
        <f>IF(VLOOKUP(Table4[[#This Row],[T ID]],Table5[#All],5,FALSE())="No","Not in scope",VLOOKUP(Table4[[#This Row],[T ID]],Table5[#All],2,FALSE()))</f>
        <v>Deliver directed malware
(CAPEC-185)</v>
      </c>
      <c r="D41" s="61" t="s">
        <v>101</v>
      </c>
      <c r="E41" s="100" t="str">
        <f>IF(VLOOKUP(Table4[[#This Row],[V ID]],Vulnerabilities[#All],3,FALSE())="No","Not in scope",VLOOKUP(Table4[[#This Row],[V ID]],Vulnerabilities[#All],2,FALSE()))</f>
        <v>Unencrypted data at rest in all possible locations</v>
      </c>
      <c r="F41" s="101" t="s">
        <v>43</v>
      </c>
      <c r="G41" s="100" t="str">
        <f>VLOOKUP(Table4[[#This Row],[A ID]],Assets[#All],3,FALSE())</f>
        <v>Smart medic app (Stryker Admin Web Application)</v>
      </c>
      <c r="H41" s="21" t="s">
        <v>252</v>
      </c>
      <c r="I41" s="161"/>
      <c r="J41" s="94" t="s">
        <v>239</v>
      </c>
      <c r="K41" s="94" t="s">
        <v>239</v>
      </c>
      <c r="L41" s="94" t="s">
        <v>239</v>
      </c>
      <c r="M41" s="95" t="s">
        <v>247</v>
      </c>
      <c r="N41" s="95" t="s">
        <v>239</v>
      </c>
      <c r="O41" s="95" t="s">
        <v>239</v>
      </c>
      <c r="P41" s="95" t="s">
        <v>243</v>
      </c>
      <c r="Q41" s="95" t="s">
        <v>242</v>
      </c>
      <c r="R4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6">
        <f>(1 - ((1 - VLOOKUP(Table4[[#This Row],[Confidentiality]],'Reference - CVSSv3.0'!$B$15:$C$17,2,FALSE())) * (1 - VLOOKUP(Table4[[#This Row],[Integrity]],'Reference - CVSSv3.0'!$B$15:$C$17,2,FALSE())) *  (1 - VLOOKUP(Table4[[#This Row],[Availability]],'Reference - CVSSv3.0'!$B$15:$C$17,2,FALSE()))))</f>
        <v>0.52544799999999992</v>
      </c>
      <c r="T41" s="96">
        <f>IF(Table4[[#This Row],[Scope]]="Unchanged",6.42*Table4[[#This Row],[ISC Base]],IF(Table4[[#This Row],[Scope]]="Changed",7.52*(Table4[[#This Row],[ISC Base]] - 0.029) - 3.25 * POWER(Table4[[#This Row],[ISC Base]] - 0.02,15),NA()))</f>
        <v>3.3733761599999994</v>
      </c>
      <c r="U4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90" t="s">
        <v>239</v>
      </c>
      <c r="W41" s="96">
        <f>VLOOKUP(Table4[[#This Row],[Threat Event Initiation]],NIST_Scale_LOAI[],2,FALSE())</f>
        <v>0.2</v>
      </c>
      <c r="X4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t="s">
        <v>438</v>
      </c>
      <c r="AA41" s="108" t="s">
        <v>437</v>
      </c>
      <c r="AB41" s="99"/>
      <c r="AC41" s="40"/>
      <c r="AD41" s="40"/>
      <c r="AE41" s="40"/>
      <c r="AF41" s="95"/>
      <c r="AG41" s="95"/>
      <c r="AH41" s="95"/>
      <c r="AI41" s="95"/>
      <c r="AJ41" s="104"/>
      <c r="AK4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6" t="e">
        <f>(1 - ((1 - VLOOKUP(Table4[[#This Row],[ConfidentialityP]],'Reference - CVSSv3.0'!$B$15:$C$17,2,FALSE())) * (1 - VLOOKUP(Table4[[#This Row],[IntegrityP]],'Reference - CVSSv3.0'!$B$15:$C$17,2,FALSE())) *  (1 - VLOOKUP(Table4[[#This Row],[AvailabilityP]],'Reference - CVSSv3.0'!$B$15:$C$17,2,FALSE()))))</f>
        <v>#N/A</v>
      </c>
      <c r="AM41" s="96" t="e">
        <f>IF(Table4[[#This Row],[ScopeP]]="Unchanged",6.42*Table4[[#This Row],[ISC BaseP]],IF(Table4[[#This Row],[ScopeP]]="Changed",7.52*(Table4[[#This Row],[ISC BaseP]] - 0.029) - 3.25 * POWER(Table4[[#This Row],[ISC BaseP]] - 0.02,15),NA()))</f>
        <v>#N/A</v>
      </c>
      <c r="AN4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40"/>
    </row>
    <row r="42" spans="1:43" s="30" customFormat="1" ht="196" hidden="1">
      <c r="A42" s="89">
        <v>38</v>
      </c>
      <c r="B42" s="90" t="s">
        <v>154</v>
      </c>
      <c r="C42" s="100" t="str">
        <f>IF(VLOOKUP(Table4[[#This Row],[T ID]],Table5[#All],5,FALSE())="No","Not in scope",VLOOKUP(Table4[[#This Row],[T ID]],Table5[#All],2,FALSE()))</f>
        <v>Gaining Access
([S]TRID[E])</v>
      </c>
      <c r="D42" s="61" t="s">
        <v>92</v>
      </c>
      <c r="E42" s="100" t="str">
        <f>IF(VLOOKUP(Table4[[#This Row],[V ID]],Vulnerabilities[#All],3,FALSE())="No","Not in scope",VLOOKUP(Table4[[#This Row],[V ID]],Vulnerabilities[#All],2,FALSE()))</f>
        <v>Unprotected network port(s) on network devices and connection points</v>
      </c>
      <c r="F42" s="109" t="s">
        <v>14</v>
      </c>
      <c r="G42" s="100" t="str">
        <f>VLOOKUP(Table4[[#This Row],[A ID]],Assets[#All],3,FALSE())</f>
        <v>Tablet OS/network details &amp; Tablet Application</v>
      </c>
      <c r="H42" s="21" t="s">
        <v>253</v>
      </c>
      <c r="I42" s="161"/>
      <c r="J42" s="94" t="s">
        <v>243</v>
      </c>
      <c r="K42" s="94" t="s">
        <v>243</v>
      </c>
      <c r="L42" s="94" t="s">
        <v>239</v>
      </c>
      <c r="M42" s="95" t="s">
        <v>244</v>
      </c>
      <c r="N42" s="95" t="s">
        <v>239</v>
      </c>
      <c r="O42" s="95" t="s">
        <v>239</v>
      </c>
      <c r="P42" s="95" t="s">
        <v>243</v>
      </c>
      <c r="Q42" s="95" t="s">
        <v>242</v>
      </c>
      <c r="R4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6">
        <f>(1 - ((1 - VLOOKUP(Table4[[#This Row],[Confidentiality]],'Reference - CVSSv3.0'!$B$15:$C$17,2,FALSE())) * (1 - VLOOKUP(Table4[[#This Row],[Integrity]],'Reference - CVSSv3.0'!$B$15:$C$17,2,FALSE())) *  (1 - VLOOKUP(Table4[[#This Row],[Availability]],'Reference - CVSSv3.0'!$B$15:$C$17,2,FALSE()))))</f>
        <v>0.21999999999999997</v>
      </c>
      <c r="T42" s="96">
        <f>IF(Table4[[#This Row],[Scope]]="Unchanged",6.42*Table4[[#This Row],[ISC Base]],IF(Table4[[#This Row],[Scope]]="Changed",7.52*(Table4[[#This Row],[ISC Base]] - 0.029) - 3.25 * POWER(Table4[[#This Row],[ISC Base]] - 0.02,15),NA()))</f>
        <v>1.4123999999999999</v>
      </c>
      <c r="U42" s="96">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90" t="s">
        <v>239</v>
      </c>
      <c r="W42" s="96">
        <f>VLOOKUP(Table4[[#This Row],[Threat Event Initiation]],NIST_Scale_LOAI[],2,FALSE())</f>
        <v>0.2</v>
      </c>
      <c r="X4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t="s">
        <v>446</v>
      </c>
      <c r="AA42" s="21" t="s">
        <v>246</v>
      </c>
      <c r="AB42" s="99"/>
      <c r="AC42" s="40"/>
      <c r="AD42" s="40"/>
      <c r="AE42" s="40"/>
      <c r="AF42" s="95"/>
      <c r="AG42" s="95"/>
      <c r="AH42" s="95"/>
      <c r="AI42" s="95"/>
      <c r="AJ42" s="104"/>
      <c r="AK4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6" t="e">
        <f>(1 - ((1 - VLOOKUP(Table4[[#This Row],[ConfidentialityP]],'Reference - CVSSv3.0'!$B$15:$C$17,2,FALSE())) * (1 - VLOOKUP(Table4[[#This Row],[IntegrityP]],'Reference - CVSSv3.0'!$B$15:$C$17,2,FALSE())) *  (1 - VLOOKUP(Table4[[#This Row],[AvailabilityP]],'Reference - CVSSv3.0'!$B$15:$C$17,2,FALSE()))))</f>
        <v>#N/A</v>
      </c>
      <c r="AM42" s="96" t="e">
        <f>IF(Table4[[#This Row],[ScopeP]]="Unchanged",6.42*Table4[[#This Row],[ISC BaseP]],IF(Table4[[#This Row],[ScopeP]]="Changed",7.52*(Table4[[#This Row],[ISC BaseP]] - 0.029) - 3.25 * POWER(Table4[[#This Row],[ISC BaseP]] - 0.02,15),NA()))</f>
        <v>#N/A</v>
      </c>
      <c r="AN4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40"/>
    </row>
    <row r="43" spans="1:43" s="30" customFormat="1" ht="406" hidden="1">
      <c r="A43" s="89">
        <v>39</v>
      </c>
      <c r="B43" s="90" t="s">
        <v>154</v>
      </c>
      <c r="C43" s="100" t="str">
        <f>IF(VLOOKUP(Table4[[#This Row],[T ID]],Table5[#All],5,FALSE())="No","Not in scope",VLOOKUP(Table4[[#This Row],[T ID]],Table5[#All],2,FALSE()))</f>
        <v>Gaining Access
([S]TRID[E])</v>
      </c>
      <c r="D43" s="61" t="s">
        <v>92</v>
      </c>
      <c r="E43" s="100" t="str">
        <f>IF(VLOOKUP(Table4[[#This Row],[V ID]],Vulnerabilities[#All],3,FALSE())="No","Not in scope",VLOOKUP(Table4[[#This Row],[V ID]],Vulnerabilities[#All],2,FALSE()))</f>
        <v>Unprotected network port(s) on network devices and connection points</v>
      </c>
      <c r="F43" s="101" t="s">
        <v>43</v>
      </c>
      <c r="G43" s="100" t="str">
        <f>VLOOKUP(Table4[[#This Row],[A ID]],Assets[#All],3,FALSE())</f>
        <v>Smart medic app (Stryker Admin Web Application)</v>
      </c>
      <c r="H43" s="21" t="s">
        <v>253</v>
      </c>
      <c r="I43" s="161"/>
      <c r="J43" s="94" t="s">
        <v>243</v>
      </c>
      <c r="K43" s="94" t="s">
        <v>239</v>
      </c>
      <c r="L43" s="94" t="s">
        <v>248</v>
      </c>
      <c r="M43" s="95" t="s">
        <v>244</v>
      </c>
      <c r="N43" s="95" t="s">
        <v>239</v>
      </c>
      <c r="O43" s="95" t="s">
        <v>248</v>
      </c>
      <c r="P43" s="95" t="s">
        <v>243</v>
      </c>
      <c r="Q43" s="95" t="s">
        <v>242</v>
      </c>
      <c r="R4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6">
        <f>(1 - ((1 - VLOOKUP(Table4[[#This Row],[Confidentiality]],'Reference - CVSSv3.0'!$B$15:$C$17,2,FALSE())) * (1 - VLOOKUP(Table4[[#This Row],[Integrity]],'Reference - CVSSv3.0'!$B$15:$C$17,2,FALSE())) *  (1 - VLOOKUP(Table4[[#This Row],[Availability]],'Reference - CVSSv3.0'!$B$15:$C$17,2,FALSE()))))</f>
        <v>0.65680000000000005</v>
      </c>
      <c r="T43" s="96">
        <f>IF(Table4[[#This Row],[Scope]]="Unchanged",6.42*Table4[[#This Row],[ISC Base]],IF(Table4[[#This Row],[Scope]]="Changed",7.52*(Table4[[#This Row],[ISC Base]] - 0.029) - 3.25 * POWER(Table4[[#This Row],[ISC Base]] - 0.02,15),NA()))</f>
        <v>4.2166560000000004</v>
      </c>
      <c r="U43"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90" t="s">
        <v>239</v>
      </c>
      <c r="W43" s="96">
        <f>VLOOKUP(Table4[[#This Row],[Threat Event Initiation]],NIST_Scale_LOAI[],2,FALSE())</f>
        <v>0.2</v>
      </c>
      <c r="X4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57" t="s">
        <v>383</v>
      </c>
      <c r="AA43" s="110" t="s">
        <v>393</v>
      </c>
      <c r="AB43" s="99"/>
      <c r="AC43" s="40"/>
      <c r="AD43" s="40"/>
      <c r="AE43" s="40"/>
      <c r="AF43" s="95"/>
      <c r="AG43" s="95"/>
      <c r="AH43" s="95"/>
      <c r="AI43" s="95"/>
      <c r="AJ43" s="104"/>
      <c r="AK4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6" t="e">
        <f>(1 - ((1 - VLOOKUP(Table4[[#This Row],[ConfidentialityP]],'Reference - CVSSv3.0'!$B$15:$C$17,2,FALSE())) * (1 - VLOOKUP(Table4[[#This Row],[IntegrityP]],'Reference - CVSSv3.0'!$B$15:$C$17,2,FALSE())) *  (1 - VLOOKUP(Table4[[#This Row],[AvailabilityP]],'Reference - CVSSv3.0'!$B$15:$C$17,2,FALSE()))))</f>
        <v>#N/A</v>
      </c>
      <c r="AM43" s="96" t="e">
        <f>IF(Table4[[#This Row],[ScopeP]]="Unchanged",6.42*Table4[[#This Row],[ISC BaseP]],IF(Table4[[#This Row],[ScopeP]]="Changed",7.52*(Table4[[#This Row],[ISC BaseP]] - 0.029) - 3.25 * POWER(Table4[[#This Row],[ISC BaseP]] - 0.02,15),NA()))</f>
        <v>#N/A</v>
      </c>
      <c r="AN4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40"/>
    </row>
    <row r="44" spans="1:43" s="30" customFormat="1" ht="196" hidden="1">
      <c r="A44" s="89">
        <v>40</v>
      </c>
      <c r="B44" s="90" t="s">
        <v>154</v>
      </c>
      <c r="C44" s="91" t="str">
        <f>IF(VLOOKUP(Table4[[#This Row],[T ID]],Table5[#All],5,FALSE())="No","Not in scope",VLOOKUP(Table4[[#This Row],[T ID]],Table5[#All],2,FALSE()))</f>
        <v>Gaining Access
([S]TRID[E])</v>
      </c>
      <c r="D44" s="61" t="s">
        <v>92</v>
      </c>
      <c r="E44" s="91" t="str">
        <f>IF(VLOOKUP(Table4[[#This Row],[V ID]],Vulnerabilities[#All],3,FALSE())="No","Not in scope",VLOOKUP(Table4[[#This Row],[V ID]],Vulnerabilities[#All],2,FALSE()))</f>
        <v>Unprotected network port(s) on network devices and connection points</v>
      </c>
      <c r="F44" s="92" t="s">
        <v>10</v>
      </c>
      <c r="G44" s="93" t="str">
        <f>VLOOKUP(Table4[[#This Row],[A ID]],Assets[#All],3,FALSE())</f>
        <v>Tablet Resources - web cam, microphone, OTG devices, Removable USB, Tablet Application, Network interfaces (Bluetooth, Wifi)</v>
      </c>
      <c r="H44" s="21" t="s">
        <v>253</v>
      </c>
      <c r="I44" s="161"/>
      <c r="J44" s="94" t="s">
        <v>243</v>
      </c>
      <c r="K44" s="94" t="s">
        <v>239</v>
      </c>
      <c r="L44" s="94" t="s">
        <v>243</v>
      </c>
      <c r="M44" s="95" t="s">
        <v>244</v>
      </c>
      <c r="N44" s="95" t="s">
        <v>239</v>
      </c>
      <c r="O44" s="95" t="s">
        <v>239</v>
      </c>
      <c r="P44" s="95" t="s">
        <v>243</v>
      </c>
      <c r="Q44" s="95" t="s">
        <v>242</v>
      </c>
      <c r="R44"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6">
        <f>(1 - ((1 - VLOOKUP(Table4[[#This Row],[Confidentiality]],'Reference - CVSSv3.0'!$B$15:$C$17,2,FALSE())) * (1 - VLOOKUP(Table4[[#This Row],[Integrity]],'Reference - CVSSv3.0'!$B$15:$C$17,2,FALSE())) *  (1 - VLOOKUP(Table4[[#This Row],[Availability]],'Reference - CVSSv3.0'!$B$15:$C$17,2,FALSE()))))</f>
        <v>0.21999999999999997</v>
      </c>
      <c r="T44" s="96">
        <f>IF(Table4[[#This Row],[Scope]]="Unchanged",6.42*Table4[[#This Row],[ISC Base]],IF(Table4[[#This Row],[Scope]]="Changed",7.52*(Table4[[#This Row],[ISC Base]] - 0.029) - 3.25 * POWER(Table4[[#This Row],[ISC Base]] - 0.02,15),NA()))</f>
        <v>1.4123999999999999</v>
      </c>
      <c r="U44" s="96">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90" t="s">
        <v>239</v>
      </c>
      <c r="W44" s="97">
        <f>VLOOKUP(Table4[[#This Row],[Threat Event Initiation]],NIST_Scale_LOAI[],2,FALSE())</f>
        <v>0.2</v>
      </c>
      <c r="X4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t="s">
        <v>446</v>
      </c>
      <c r="AA44" s="21" t="s">
        <v>246</v>
      </c>
      <c r="AB44" s="99"/>
      <c r="AC44" s="94"/>
      <c r="AD44" s="94"/>
      <c r="AE44" s="94"/>
      <c r="AF44" s="95"/>
      <c r="AG44" s="95"/>
      <c r="AH44" s="95"/>
      <c r="AI44" s="95"/>
      <c r="AJ44" s="95"/>
      <c r="AK4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6" t="e">
        <f>(1 - ((1 - VLOOKUP(Table4[[#This Row],[ConfidentialityP]],'Reference - CVSSv3.0'!$B$15:$C$17,2,FALSE())) * (1 - VLOOKUP(Table4[[#This Row],[IntegrityP]],'Reference - CVSSv3.0'!$B$15:$C$17,2,FALSE())) *  (1 - VLOOKUP(Table4[[#This Row],[AvailabilityP]],'Reference - CVSSv3.0'!$B$15:$C$17,2,FALSE()))))</f>
        <v>#N/A</v>
      </c>
      <c r="AM44" s="96" t="e">
        <f>IF(Table4[[#This Row],[ScopeP]]="Unchanged",6.42*Table4[[#This Row],[ISC BaseP]],IF(Table4[[#This Row],[ScopeP]]="Changed",7.52*(Table4[[#This Row],[ISC BaseP]] - 0.029) - 3.25 * POWER(Table4[[#This Row],[ISC BaseP]] - 0.02,15),NA()))</f>
        <v>#N/A</v>
      </c>
      <c r="AN4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40"/>
    </row>
    <row r="45" spans="1:43" s="30" customFormat="1" ht="322" hidden="1">
      <c r="A45" s="89">
        <v>41</v>
      </c>
      <c r="B45" s="90" t="s">
        <v>154</v>
      </c>
      <c r="C45" s="91" t="str">
        <f>IF(VLOOKUP(Table4[[#This Row],[T ID]],Table5[#All],5,FALSE())="No","Not in scope",VLOOKUP(Table4[[#This Row],[T ID]],Table5[#All],2,FALSE()))</f>
        <v>Gaining Access
([S]TRID[E])</v>
      </c>
      <c r="D45" s="61" t="s">
        <v>66</v>
      </c>
      <c r="E45" s="91" t="str">
        <f>IF(VLOOKUP(Table4[[#This Row],[V ID]],Vulnerabilities[#All],3,FALSE())="No","Not in scope",VLOOKUP(Table4[[#This Row],[V ID]],Vulnerabilities[#All],2,FALSE()))</f>
        <v>Devices with default passwords needs to be checked for bruteforce attacks</v>
      </c>
      <c r="F45" s="109" t="s">
        <v>22</v>
      </c>
      <c r="G45" s="93" t="str">
        <f>VLOOKUP(Table4[[#This Row],[A ID]],Assets[#All],3,FALSE())</f>
        <v>Authentication/Authorisation method of all device(s)/app</v>
      </c>
      <c r="H45" s="21" t="s">
        <v>253</v>
      </c>
      <c r="I45" s="161"/>
      <c r="J45" s="94" t="s">
        <v>239</v>
      </c>
      <c r="K45" s="94" t="s">
        <v>243</v>
      </c>
      <c r="L45" s="94" t="s">
        <v>248</v>
      </c>
      <c r="M45" s="95" t="s">
        <v>240</v>
      </c>
      <c r="N45" s="95" t="s">
        <v>239</v>
      </c>
      <c r="O45" s="95" t="s">
        <v>239</v>
      </c>
      <c r="P45" s="95" t="s">
        <v>243</v>
      </c>
      <c r="Q45" s="95" t="s">
        <v>242</v>
      </c>
      <c r="R4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6">
        <f>(1 - ((1 - VLOOKUP(Table4[[#This Row],[Confidentiality]],'Reference - CVSSv3.0'!$B$15:$C$17,2,FALSE())) * (1 - VLOOKUP(Table4[[#This Row],[Integrity]],'Reference - CVSSv3.0'!$B$15:$C$17,2,FALSE())) *  (1 - VLOOKUP(Table4[[#This Row],[Availability]],'Reference - CVSSv3.0'!$B$15:$C$17,2,FALSE()))))</f>
        <v>0.65680000000000005</v>
      </c>
      <c r="T45" s="96">
        <f>IF(Table4[[#This Row],[Scope]]="Unchanged",6.42*Table4[[#This Row],[ISC Base]],IF(Table4[[#This Row],[Scope]]="Changed",7.52*(Table4[[#This Row],[ISC Base]] - 0.029) - 3.25 * POWER(Table4[[#This Row],[ISC Base]] - 0.02,15),NA()))</f>
        <v>4.2166560000000004</v>
      </c>
      <c r="U45"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90" t="s">
        <v>249</v>
      </c>
      <c r="W45" s="97">
        <f>VLOOKUP(Table4[[#This Row],[Threat Event Initiation]],NIST_Scale_LOAI[],2,FALSE())</f>
        <v>0.5</v>
      </c>
      <c r="X4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t="s">
        <v>254</v>
      </c>
      <c r="AA45" s="108" t="s">
        <v>461</v>
      </c>
      <c r="AB45" s="111"/>
      <c r="AC45" s="94"/>
      <c r="AD45" s="94"/>
      <c r="AE45" s="94"/>
      <c r="AF45" s="95"/>
      <c r="AG45" s="95"/>
      <c r="AH45" s="95"/>
      <c r="AI45" s="95"/>
      <c r="AJ45" s="95"/>
      <c r="AK4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6" t="e">
        <f>(1 - ((1 - VLOOKUP(Table4[[#This Row],[ConfidentialityP]],'Reference - CVSSv3.0'!$B$15:$C$17,2,FALSE())) * (1 - VLOOKUP(Table4[[#This Row],[IntegrityP]],'Reference - CVSSv3.0'!$B$15:$C$17,2,FALSE())) *  (1 - VLOOKUP(Table4[[#This Row],[AvailabilityP]],'Reference - CVSSv3.0'!$B$15:$C$17,2,FALSE()))))</f>
        <v>#N/A</v>
      </c>
      <c r="AM45" s="96" t="e">
        <f>IF(Table4[[#This Row],[ScopeP]]="Unchanged",6.42*Table4[[#This Row],[ISC BaseP]],IF(Table4[[#This Row],[ScopeP]]="Changed",7.52*(Table4[[#This Row],[ISC BaseP]] - 0.029) - 3.25 * POWER(Table4[[#This Row],[ISC BaseP]] - 0.02,15),NA()))</f>
        <v>#N/A</v>
      </c>
      <c r="AN4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1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40"/>
    </row>
    <row r="46" spans="1:43" s="30" customFormat="1" ht="280" hidden="1">
      <c r="A46" s="89">
        <v>42</v>
      </c>
      <c r="B46" s="90" t="s">
        <v>154</v>
      </c>
      <c r="C46" s="100" t="str">
        <f>IF(VLOOKUP(Table4[[#This Row],[T ID]],Table5[#All],5,FALSE())="No","Not in scope",VLOOKUP(Table4[[#This Row],[T ID]],Table5[#All],2,FALSE()))</f>
        <v>Gaining Access
([S]TRID[E])</v>
      </c>
      <c r="D46" s="61" t="s">
        <v>66</v>
      </c>
      <c r="E46" s="100" t="str">
        <f>IF(VLOOKUP(Table4[[#This Row],[V ID]],Vulnerabilities[#All],3,FALSE())="No","Not in scope",VLOOKUP(Table4[[#This Row],[V ID]],Vulnerabilities[#All],2,FALSE()))</f>
        <v>Devices with default passwords needs to be checked for bruteforce attacks</v>
      </c>
      <c r="F46" s="101" t="s">
        <v>31</v>
      </c>
      <c r="G46" s="100" t="str">
        <f>VLOOKUP(Table4[[#This Row],[A ID]],Assets[#All],3,FALSE())</f>
        <v>Interface/API Communication</v>
      </c>
      <c r="H46" s="21" t="s">
        <v>253</v>
      </c>
      <c r="I46" s="161"/>
      <c r="J46" s="94" t="s">
        <v>239</v>
      </c>
      <c r="K46" s="94" t="s">
        <v>243</v>
      </c>
      <c r="L46" s="94" t="s">
        <v>239</v>
      </c>
      <c r="M46" s="95" t="s">
        <v>240</v>
      </c>
      <c r="N46" s="95" t="s">
        <v>239</v>
      </c>
      <c r="O46" s="95" t="s">
        <v>239</v>
      </c>
      <c r="P46" s="95" t="s">
        <v>243</v>
      </c>
      <c r="Q46" s="95" t="s">
        <v>242</v>
      </c>
      <c r="R4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6">
        <f>(1 - ((1 - VLOOKUP(Table4[[#This Row],[Confidentiality]],'Reference - CVSSv3.0'!$B$15:$C$17,2,FALSE())) * (1 - VLOOKUP(Table4[[#This Row],[Integrity]],'Reference - CVSSv3.0'!$B$15:$C$17,2,FALSE())) *  (1 - VLOOKUP(Table4[[#This Row],[Availability]],'Reference - CVSSv3.0'!$B$15:$C$17,2,FALSE()))))</f>
        <v>0.39159999999999995</v>
      </c>
      <c r="T46" s="96">
        <f>IF(Table4[[#This Row],[Scope]]="Unchanged",6.42*Table4[[#This Row],[ISC Base]],IF(Table4[[#This Row],[Scope]]="Changed",7.52*(Table4[[#This Row],[ISC Base]] - 0.029) - 3.25 * POWER(Table4[[#This Row],[ISC Base]] - 0.02,15),NA()))</f>
        <v>2.5140719999999996</v>
      </c>
      <c r="U46" s="96">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90" t="s">
        <v>239</v>
      </c>
      <c r="W46" s="96">
        <f>VLOOKUP(Table4[[#This Row],[Threat Event Initiation]],NIST_Scale_LOAI[],2,FALSE())</f>
        <v>0.2</v>
      </c>
      <c r="X4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251" t="s">
        <v>447</v>
      </c>
      <c r="AA46" s="108" t="s">
        <v>465</v>
      </c>
      <c r="AB46" s="111"/>
      <c r="AC46" s="40"/>
      <c r="AD46" s="40"/>
      <c r="AE46" s="40"/>
      <c r="AF46" s="95"/>
      <c r="AG46" s="95"/>
      <c r="AH46" s="95"/>
      <c r="AI46" s="95"/>
      <c r="AJ46" s="104"/>
      <c r="AK4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6" t="e">
        <f>(1 - ((1 - VLOOKUP(Table4[[#This Row],[ConfidentialityP]],'Reference - CVSSv3.0'!$B$15:$C$17,2,FALSE())) * (1 - VLOOKUP(Table4[[#This Row],[IntegrityP]],'Reference - CVSSv3.0'!$B$15:$C$17,2,FALSE())) *  (1 - VLOOKUP(Table4[[#This Row],[AvailabilityP]],'Reference - CVSSv3.0'!$B$15:$C$17,2,FALSE()))))</f>
        <v>#N/A</v>
      </c>
      <c r="AM46" s="96" t="e">
        <f>IF(Table4[[#This Row],[ScopeP]]="Unchanged",6.42*Table4[[#This Row],[ISC BaseP]],IF(Table4[[#This Row],[ScopeP]]="Changed",7.52*(Table4[[#This Row],[ISC BaseP]] - 0.029) - 3.25 * POWER(Table4[[#This Row],[ISC BaseP]] - 0.02,15),NA()))</f>
        <v>#N/A</v>
      </c>
      <c r="AN4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40"/>
    </row>
    <row r="47" spans="1:43" ht="408" hidden="1" customHeight="1">
      <c r="A47" s="89">
        <v>43</v>
      </c>
      <c r="B47" s="90" t="s">
        <v>154</v>
      </c>
      <c r="C47" s="100" t="str">
        <f>IF(VLOOKUP(Table4[[#This Row],[T ID]],Table5[#All],5,FALSE())="No","Not in scope",VLOOKUP(Table4[[#This Row],[T ID]],Table5[#All],2,FALSE()))</f>
        <v>Gaining Access
([S]TRID[E])</v>
      </c>
      <c r="D47" s="61" t="s">
        <v>72</v>
      </c>
      <c r="E47" s="100" t="str">
        <f>IF(VLOOKUP(Table4[[#This Row],[V ID]],Vulnerabilities[#All],3,FALSE())="No","Not in scope",VLOOKUP(Table4[[#This Row],[V ID]],Vulnerabilities[#All],2,FALSE()))</f>
        <v>The password complexity or location vulnerability. Like weak passwords and hardcoded passwords.</v>
      </c>
      <c r="F47" s="109" t="s">
        <v>22</v>
      </c>
      <c r="G47" s="100" t="str">
        <f>VLOOKUP(Table4[[#This Row],[A ID]],Assets[#All],3,FALSE())</f>
        <v>Authentication/Authorisation method of all device(s)/app</v>
      </c>
      <c r="H47" s="21" t="s">
        <v>253</v>
      </c>
      <c r="I47" s="161"/>
      <c r="J47" s="94" t="s">
        <v>239</v>
      </c>
      <c r="K47" s="94" t="s">
        <v>243</v>
      </c>
      <c r="L47" s="94" t="s">
        <v>248</v>
      </c>
      <c r="M47" s="95" t="s">
        <v>247</v>
      </c>
      <c r="N47" s="95" t="s">
        <v>239</v>
      </c>
      <c r="O47" s="95" t="s">
        <v>239</v>
      </c>
      <c r="P47" s="95" t="s">
        <v>241</v>
      </c>
      <c r="Q47" s="95" t="s">
        <v>242</v>
      </c>
      <c r="R4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6">
        <f>(1 - ((1 - VLOOKUP(Table4[[#This Row],[Confidentiality]],'Reference - CVSSv3.0'!$B$15:$C$17,2,FALSE())) * (1 - VLOOKUP(Table4[[#This Row],[Integrity]],'Reference - CVSSv3.0'!$B$15:$C$17,2,FALSE())) *  (1 - VLOOKUP(Table4[[#This Row],[Availability]],'Reference - CVSSv3.0'!$B$15:$C$17,2,FALSE()))))</f>
        <v>0.65680000000000005</v>
      </c>
      <c r="T47" s="96">
        <f>IF(Table4[[#This Row],[Scope]]="Unchanged",6.42*Table4[[#This Row],[ISC Base]],IF(Table4[[#This Row],[Scope]]="Changed",7.52*(Table4[[#This Row],[ISC Base]] - 0.029) - 3.25 * POWER(Table4[[#This Row],[ISC Base]] - 0.02,15),NA()))</f>
        <v>4.2166560000000004</v>
      </c>
      <c r="U47" s="96">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90" t="s">
        <v>239</v>
      </c>
      <c r="W47" s="96">
        <f>VLOOKUP(Table4[[#This Row],[Threat Event Initiation]],NIST_Scale_LOAI[],2,FALSE())</f>
        <v>0.2</v>
      </c>
      <c r="X4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t="s">
        <v>448</v>
      </c>
      <c r="AA47" s="110" t="s">
        <v>466</v>
      </c>
      <c r="AB47" s="111"/>
      <c r="AC47" s="40"/>
      <c r="AD47" s="40"/>
      <c r="AE47" s="40"/>
      <c r="AF47" s="95"/>
      <c r="AG47" s="95"/>
      <c r="AH47" s="95"/>
      <c r="AI47" s="95"/>
      <c r="AJ47" s="104"/>
      <c r="AK4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6" t="e">
        <f>(1 - ((1 - VLOOKUP(Table4[[#This Row],[ConfidentialityP]],'Reference - CVSSv3.0'!$B$15:$C$17,2,FALSE())) * (1 - VLOOKUP(Table4[[#This Row],[IntegrityP]],'Reference - CVSSv3.0'!$B$15:$C$17,2,FALSE())) *  (1 - VLOOKUP(Table4[[#This Row],[AvailabilityP]],'Reference - CVSSv3.0'!$B$15:$C$17,2,FALSE()))))</f>
        <v>#N/A</v>
      </c>
      <c r="AM47" s="96" t="e">
        <f>IF(Table4[[#This Row],[ScopeP]]="Unchanged",6.42*Table4[[#This Row],[ISC BaseP]],IF(Table4[[#This Row],[ScopeP]]="Changed",7.52*(Table4[[#This Row],[ISC BaseP]] - 0.029) - 3.25 * POWER(Table4[[#This Row],[ISC BaseP]] - 0.02,15),NA()))</f>
        <v>#N/A</v>
      </c>
      <c r="AN4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40"/>
    </row>
    <row r="48" spans="1:43" ht="409.5" hidden="1" customHeight="1">
      <c r="A48" s="89">
        <v>44</v>
      </c>
      <c r="B48" s="90" t="s">
        <v>154</v>
      </c>
      <c r="C48" s="100" t="str">
        <f>IF(VLOOKUP(Table4[[#This Row],[T ID]],Table5[#All],5,FALSE())="No","Not in scope",VLOOKUP(Table4[[#This Row],[T ID]],Table5[#All],2,FALSE()))</f>
        <v>Gaining Access
([S]TRID[E])</v>
      </c>
      <c r="D48" s="61" t="s">
        <v>74</v>
      </c>
      <c r="E48" s="100" t="str">
        <f>IF(VLOOKUP(Table4[[#This Row],[V ID]],Vulnerabilities[#All],3,FALSE())="No","Not in scope",VLOOKUP(Table4[[#This Row],[V ID]],Vulnerabilities[#All],2,FALSE()))</f>
        <v>Checking authentication modes for possible hacks and bypasses</v>
      </c>
      <c r="F48" s="109" t="s">
        <v>22</v>
      </c>
      <c r="G48" s="100" t="str">
        <f>VLOOKUP(Table4[[#This Row],[A ID]],Assets[#All],3,FALSE())</f>
        <v>Authentication/Authorisation method of all device(s)/app</v>
      </c>
      <c r="H48" s="21" t="s">
        <v>253</v>
      </c>
      <c r="I48" s="161"/>
      <c r="J48" s="94" t="s">
        <v>239</v>
      </c>
      <c r="K48" s="94" t="s">
        <v>239</v>
      </c>
      <c r="L48" s="94" t="s">
        <v>239</v>
      </c>
      <c r="M48" s="95" t="s">
        <v>240</v>
      </c>
      <c r="N48" s="95" t="s">
        <v>239</v>
      </c>
      <c r="O48" s="95" t="s">
        <v>239</v>
      </c>
      <c r="P48" s="95" t="s">
        <v>243</v>
      </c>
      <c r="Q48" s="95" t="s">
        <v>242</v>
      </c>
      <c r="R4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6">
        <f>(1 - ((1 - VLOOKUP(Table4[[#This Row],[Confidentiality]],'Reference - CVSSv3.0'!$B$15:$C$17,2,FALSE())) * (1 - VLOOKUP(Table4[[#This Row],[Integrity]],'Reference - CVSSv3.0'!$B$15:$C$17,2,FALSE())) *  (1 - VLOOKUP(Table4[[#This Row],[Availability]],'Reference - CVSSv3.0'!$B$15:$C$17,2,FALSE()))))</f>
        <v>0.52544799999999992</v>
      </c>
      <c r="T48" s="96">
        <f>IF(Table4[[#This Row],[Scope]]="Unchanged",6.42*Table4[[#This Row],[ISC Base]],IF(Table4[[#This Row],[Scope]]="Changed",7.52*(Table4[[#This Row],[ISC Base]] - 0.029) - 3.25 * POWER(Table4[[#This Row],[ISC Base]] - 0.02,15),NA()))</f>
        <v>3.3733761599999994</v>
      </c>
      <c r="U48"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90" t="s">
        <v>239</v>
      </c>
      <c r="W48" s="96">
        <f>VLOOKUP(Table4[[#This Row],[Threat Event Initiation]],NIST_Scale_LOAI[],2,FALSE())</f>
        <v>0.2</v>
      </c>
      <c r="X4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t="s">
        <v>255</v>
      </c>
      <c r="AA48" s="250" t="s">
        <v>379</v>
      </c>
      <c r="AB48" s="111"/>
      <c r="AC48" s="40"/>
      <c r="AD48" s="40"/>
      <c r="AE48" s="40"/>
      <c r="AF48" s="95"/>
      <c r="AG48" s="95"/>
      <c r="AH48" s="95"/>
      <c r="AI48" s="95"/>
      <c r="AJ48" s="104"/>
      <c r="AK4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6" t="e">
        <f>(1 - ((1 - VLOOKUP(Table4[[#This Row],[ConfidentialityP]],'Reference - CVSSv3.0'!$B$15:$C$17,2,FALSE())) * (1 - VLOOKUP(Table4[[#This Row],[IntegrityP]],'Reference - CVSSv3.0'!$B$15:$C$17,2,FALSE())) *  (1 - VLOOKUP(Table4[[#This Row],[AvailabilityP]],'Reference - CVSSv3.0'!$B$15:$C$17,2,FALSE()))))</f>
        <v>#N/A</v>
      </c>
      <c r="AM48" s="96" t="e">
        <f>IF(Table4[[#This Row],[ScopeP]]="Unchanged",6.42*Table4[[#This Row],[ISC BaseP]],IF(Table4[[#This Row],[ScopeP]]="Changed",7.52*(Table4[[#This Row],[ISC BaseP]] - 0.029) - 3.25 * POWER(Table4[[#This Row],[ISC BaseP]] - 0.02,15),NA()))</f>
        <v>#N/A</v>
      </c>
      <c r="AN4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40"/>
    </row>
    <row r="49" spans="1:43" ht="350" hidden="1">
      <c r="A49" s="89">
        <v>45</v>
      </c>
      <c r="B49" s="90" t="s">
        <v>154</v>
      </c>
      <c r="C49" s="100" t="str">
        <f>IF(VLOOKUP(Table4[[#This Row],[T ID]],Table5[#All],5,FALSE())="No","Not in scope",VLOOKUP(Table4[[#This Row],[T ID]],Table5[#All],2,FALSE()))</f>
        <v>Gaining Access
([S]TRID[E])</v>
      </c>
      <c r="D49" s="61" t="s">
        <v>74</v>
      </c>
      <c r="E49" s="100" t="str">
        <f>IF(VLOOKUP(Table4[[#This Row],[V ID]],Vulnerabilities[#All],3,FALSE())="No","Not in scope",VLOOKUP(Table4[[#This Row],[V ID]],Vulnerabilities[#All],2,FALSE()))</f>
        <v>Checking authentication modes for possible hacks and bypasses</v>
      </c>
      <c r="F49" s="101" t="s">
        <v>43</v>
      </c>
      <c r="G49" s="100" t="str">
        <f>VLOOKUP(Table4[[#This Row],[A ID]],Assets[#All],3,FALSE())</f>
        <v>Smart medic app (Stryker Admin Web Application)</v>
      </c>
      <c r="H49" s="21" t="s">
        <v>253</v>
      </c>
      <c r="I49" s="161"/>
      <c r="J49" s="94" t="s">
        <v>239</v>
      </c>
      <c r="K49" s="94" t="s">
        <v>239</v>
      </c>
      <c r="L49" s="94" t="s">
        <v>239</v>
      </c>
      <c r="M49" s="95" t="s">
        <v>240</v>
      </c>
      <c r="N49" s="95" t="s">
        <v>239</v>
      </c>
      <c r="O49" s="95" t="s">
        <v>239</v>
      </c>
      <c r="P49" s="95" t="s">
        <v>243</v>
      </c>
      <c r="Q49" s="95" t="s">
        <v>242</v>
      </c>
      <c r="R4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6">
        <f>(1 - ((1 - VLOOKUP(Table4[[#This Row],[Confidentiality]],'Reference - CVSSv3.0'!$B$15:$C$17,2,FALSE())) * (1 - VLOOKUP(Table4[[#This Row],[Integrity]],'Reference - CVSSv3.0'!$B$15:$C$17,2,FALSE())) *  (1 - VLOOKUP(Table4[[#This Row],[Availability]],'Reference - CVSSv3.0'!$B$15:$C$17,2,FALSE()))))</f>
        <v>0.52544799999999992</v>
      </c>
      <c r="T49" s="96">
        <f>IF(Table4[[#This Row],[Scope]]="Unchanged",6.42*Table4[[#This Row],[ISC Base]],IF(Table4[[#This Row],[Scope]]="Changed",7.52*(Table4[[#This Row],[ISC Base]] - 0.029) - 3.25 * POWER(Table4[[#This Row],[ISC Base]] - 0.02,15),NA()))</f>
        <v>3.3733761599999994</v>
      </c>
      <c r="U49"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90" t="s">
        <v>239</v>
      </c>
      <c r="W49" s="96">
        <f>VLOOKUP(Table4[[#This Row],[Threat Event Initiation]],NIST_Scale_LOAI[],2,FALSE())</f>
        <v>0.2</v>
      </c>
      <c r="X4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57" t="s">
        <v>439</v>
      </c>
      <c r="AA49" s="260" t="s">
        <v>394</v>
      </c>
      <c r="AB49" s="111"/>
      <c r="AC49" s="40"/>
      <c r="AD49" s="40"/>
      <c r="AE49" s="40"/>
      <c r="AF49" s="95"/>
      <c r="AG49" s="95"/>
      <c r="AH49" s="95"/>
      <c r="AI49" s="95"/>
      <c r="AJ49" s="104"/>
      <c r="AK4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6" t="e">
        <f>(1 - ((1 - VLOOKUP(Table4[[#This Row],[ConfidentialityP]],'Reference - CVSSv3.0'!$B$15:$C$17,2,FALSE())) * (1 - VLOOKUP(Table4[[#This Row],[IntegrityP]],'Reference - CVSSv3.0'!$B$15:$C$17,2,FALSE())) *  (1 - VLOOKUP(Table4[[#This Row],[AvailabilityP]],'Reference - CVSSv3.0'!$B$15:$C$17,2,FALSE()))))</f>
        <v>#N/A</v>
      </c>
      <c r="AM49" s="96" t="e">
        <f>IF(Table4[[#This Row],[ScopeP]]="Unchanged",6.42*Table4[[#This Row],[ISC BaseP]],IF(Table4[[#This Row],[ScopeP]]="Changed",7.52*(Table4[[#This Row],[ISC BaseP]] - 0.029) - 3.25 * POWER(Table4[[#This Row],[ISC BaseP]] - 0.02,15),NA()))</f>
        <v>#N/A</v>
      </c>
      <c r="AN4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40"/>
    </row>
    <row r="50" spans="1:43" ht="196" hidden="1">
      <c r="A50" s="89">
        <v>46</v>
      </c>
      <c r="B50" s="90" t="s">
        <v>154</v>
      </c>
      <c r="C50" s="100" t="str">
        <f>IF(VLOOKUP(Table4[[#This Row],[T ID]],Table5[#All],5,FALSE())="No","Not in scope",VLOOKUP(Table4[[#This Row],[T ID]],Table5[#All],2,FALSE()))</f>
        <v>Gaining Access
([S]TRID[E])</v>
      </c>
      <c r="D50" s="61" t="s">
        <v>74</v>
      </c>
      <c r="E50" s="100" t="str">
        <f>IF(VLOOKUP(Table4[[#This Row],[V ID]],Vulnerabilities[#All],3,FALSE())="No","Not in scope",VLOOKUP(Table4[[#This Row],[V ID]],Vulnerabilities[#All],2,FALSE()))</f>
        <v>Checking authentication modes for possible hacks and bypasses</v>
      </c>
      <c r="F50" s="101" t="s">
        <v>46</v>
      </c>
      <c r="G50" s="100" t="str">
        <f>VLOOKUP(Table4[[#This Row],[A ID]],Assets[#All],3,FALSE())</f>
        <v>Smart medic app (Azure Portal Administrator)</v>
      </c>
      <c r="H50" s="21" t="s">
        <v>253</v>
      </c>
      <c r="I50" s="161"/>
      <c r="J50" s="94" t="s">
        <v>239</v>
      </c>
      <c r="K50" s="94" t="s">
        <v>239</v>
      </c>
      <c r="L50" s="94" t="s">
        <v>239</v>
      </c>
      <c r="M50" s="95" t="s">
        <v>240</v>
      </c>
      <c r="N50" s="95" t="s">
        <v>239</v>
      </c>
      <c r="O50" s="95" t="s">
        <v>239</v>
      </c>
      <c r="P50" s="95" t="s">
        <v>243</v>
      </c>
      <c r="Q50" s="95" t="s">
        <v>242</v>
      </c>
      <c r="R5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6">
        <f>(1 - ((1 - VLOOKUP(Table4[[#This Row],[Confidentiality]],'Reference - CVSSv3.0'!$B$15:$C$17,2,FALSE())) * (1 - VLOOKUP(Table4[[#This Row],[Integrity]],'Reference - CVSSv3.0'!$B$15:$C$17,2,FALSE())) *  (1 - VLOOKUP(Table4[[#This Row],[Availability]],'Reference - CVSSv3.0'!$B$15:$C$17,2,FALSE()))))</f>
        <v>0.52544799999999992</v>
      </c>
      <c r="T50" s="96">
        <f>IF(Table4[[#This Row],[Scope]]="Unchanged",6.42*Table4[[#This Row],[ISC Base]],IF(Table4[[#This Row],[Scope]]="Changed",7.52*(Table4[[#This Row],[ISC Base]] - 0.029) - 3.25 * POWER(Table4[[#This Row],[ISC Base]] - 0.02,15),NA()))</f>
        <v>3.3733761599999994</v>
      </c>
      <c r="U5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90" t="s">
        <v>239</v>
      </c>
      <c r="W50" s="96">
        <f>VLOOKUP(Table4[[#This Row],[Threat Event Initiation]],NIST_Scale_LOAI[],2,FALSE())</f>
        <v>0.2</v>
      </c>
      <c r="X5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t="s">
        <v>431</v>
      </c>
      <c r="AA50" s="274" t="s">
        <v>471</v>
      </c>
      <c r="AB50" s="111"/>
      <c r="AC50" s="40"/>
      <c r="AD50" s="40"/>
      <c r="AE50" s="40"/>
      <c r="AF50" s="95"/>
      <c r="AG50" s="95"/>
      <c r="AH50" s="95"/>
      <c r="AI50" s="95"/>
      <c r="AJ50" s="104"/>
      <c r="AK5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6" t="e">
        <f>(1 - ((1 - VLOOKUP(Table4[[#This Row],[ConfidentialityP]],'Reference - CVSSv3.0'!$B$15:$C$17,2,FALSE())) * (1 - VLOOKUP(Table4[[#This Row],[IntegrityP]],'Reference - CVSSv3.0'!$B$15:$C$17,2,FALSE())) *  (1 - VLOOKUP(Table4[[#This Row],[AvailabilityP]],'Reference - CVSSv3.0'!$B$15:$C$17,2,FALSE()))))</f>
        <v>#N/A</v>
      </c>
      <c r="AM50" s="96" t="e">
        <f>IF(Table4[[#This Row],[ScopeP]]="Unchanged",6.42*Table4[[#This Row],[ISC BaseP]],IF(Table4[[#This Row],[ScopeP]]="Changed",7.52*(Table4[[#This Row],[ISC BaseP]] - 0.029) - 3.25 * POWER(Table4[[#This Row],[ISC BaseP]] - 0.02,15),NA()))</f>
        <v>#N/A</v>
      </c>
      <c r="AN5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40"/>
    </row>
    <row r="51" spans="1:43" ht="182" hidden="1">
      <c r="A51" s="89">
        <v>47</v>
      </c>
      <c r="B51" s="90" t="s">
        <v>154</v>
      </c>
      <c r="C51" s="100" t="str">
        <f>IF(VLOOKUP(Table4[[#This Row],[T ID]],Table5[#All],5,FALSE())="No","Not in scope",VLOOKUP(Table4[[#This Row],[T ID]],Table5[#All],2,FALSE()))</f>
        <v>Gaining Access
([S]TRID[E])</v>
      </c>
      <c r="D51" s="61" t="s">
        <v>94</v>
      </c>
      <c r="E51" s="100" t="str">
        <f>IF(VLOOKUP(Table4[[#This Row],[V ID]],Vulnerabilities[#All],3,FALSE())="No","Not in scope",VLOOKUP(Table4[[#This Row],[V ID]],Vulnerabilities[#All],2,FALSE()))</f>
        <v>Unprotected external USB Port on the tablet/devices.</v>
      </c>
      <c r="F51" s="101" t="s">
        <v>10</v>
      </c>
      <c r="G51" s="100" t="str">
        <f>VLOOKUP(Table4[[#This Row],[A ID]],Assets[#All],3,FALSE())</f>
        <v>Tablet Resources - web cam, microphone, OTG devices, Removable USB, Tablet Application, Network interfaces (Bluetooth, Wifi)</v>
      </c>
      <c r="H51" s="21" t="s">
        <v>253</v>
      </c>
      <c r="I51" s="161"/>
      <c r="J51" s="94" t="s">
        <v>239</v>
      </c>
      <c r="K51" s="94" t="s">
        <v>239</v>
      </c>
      <c r="L51" s="94" t="s">
        <v>239</v>
      </c>
      <c r="M51" s="95" t="s">
        <v>240</v>
      </c>
      <c r="N51" s="95" t="s">
        <v>239</v>
      </c>
      <c r="O51" s="95" t="s">
        <v>239</v>
      </c>
      <c r="P51" s="95" t="s">
        <v>241</v>
      </c>
      <c r="Q51" s="95" t="s">
        <v>242</v>
      </c>
      <c r="R5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6">
        <f>(1 - ((1 - VLOOKUP(Table4[[#This Row],[Confidentiality]],'Reference - CVSSv3.0'!$B$15:$C$17,2,FALSE())) * (1 - VLOOKUP(Table4[[#This Row],[Integrity]],'Reference - CVSSv3.0'!$B$15:$C$17,2,FALSE())) *  (1 - VLOOKUP(Table4[[#This Row],[Availability]],'Reference - CVSSv3.0'!$B$15:$C$17,2,FALSE()))))</f>
        <v>0.52544799999999992</v>
      </c>
      <c r="T51" s="96">
        <f>IF(Table4[[#This Row],[Scope]]="Unchanged",6.42*Table4[[#This Row],[ISC Base]],IF(Table4[[#This Row],[Scope]]="Changed",7.52*(Table4[[#This Row],[ISC Base]] - 0.029) - 3.25 * POWER(Table4[[#This Row],[ISC Base]] - 0.02,15),NA()))</f>
        <v>3.3733761599999994</v>
      </c>
      <c r="U51"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90" t="s">
        <v>239</v>
      </c>
      <c r="W51" s="96">
        <f>VLOOKUP(Table4[[#This Row],[Threat Event Initiation]],NIST_Scale_LOAI[],2,FALSE())</f>
        <v>0.2</v>
      </c>
      <c r="X5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t="s">
        <v>446</v>
      </c>
      <c r="AA51" s="21" t="s">
        <v>467</v>
      </c>
      <c r="AB51" s="111"/>
      <c r="AC51" s="40"/>
      <c r="AD51" s="40"/>
      <c r="AE51" s="40"/>
      <c r="AF51" s="95"/>
      <c r="AG51" s="95"/>
      <c r="AH51" s="95"/>
      <c r="AI51" s="95"/>
      <c r="AJ51" s="104"/>
      <c r="AK5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6" t="e">
        <f>(1 - ((1 - VLOOKUP(Table4[[#This Row],[ConfidentialityP]],'Reference - CVSSv3.0'!$B$15:$C$17,2,FALSE())) * (1 - VLOOKUP(Table4[[#This Row],[IntegrityP]],'Reference - CVSSv3.0'!$B$15:$C$17,2,FALSE())) *  (1 - VLOOKUP(Table4[[#This Row],[AvailabilityP]],'Reference - CVSSv3.0'!$B$15:$C$17,2,FALSE()))))</f>
        <v>#N/A</v>
      </c>
      <c r="AM51" s="96" t="e">
        <f>IF(Table4[[#This Row],[ScopeP]]="Unchanged",6.42*Table4[[#This Row],[ISC BaseP]],IF(Table4[[#This Row],[ScopeP]]="Changed",7.52*(Table4[[#This Row],[ISC BaseP]] - 0.029) - 3.25 * POWER(Table4[[#This Row],[ISC BaseP]] - 0.02,15),NA()))</f>
        <v>#N/A</v>
      </c>
      <c r="AN5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40"/>
    </row>
    <row r="52" spans="1:43" ht="392" hidden="1">
      <c r="A52" s="89">
        <v>48</v>
      </c>
      <c r="B52" s="90" t="s">
        <v>157</v>
      </c>
      <c r="C52" s="100" t="str">
        <f>IF(VLOOKUP(Table4[[#This Row],[T ID]],Table5[#All],5,FALSE())="No","Not in scope",VLOOKUP(Table4[[#This Row],[T ID]],Table5[#All],2,FALSE()))</f>
        <v>Maintaining Access
(TTP)</v>
      </c>
      <c r="D52" s="61" t="s">
        <v>66</v>
      </c>
      <c r="E52" s="100" t="str">
        <f>IF(VLOOKUP(Table4[[#This Row],[V ID]],Vulnerabilities[#All],3,FALSE())="No","Not in scope",VLOOKUP(Table4[[#This Row],[V ID]],Vulnerabilities[#All],2,FALSE()))</f>
        <v>Devices with default passwords needs to be checked for bruteforce attacks</v>
      </c>
      <c r="F52" s="109" t="s">
        <v>22</v>
      </c>
      <c r="G52" s="100" t="str">
        <f>VLOOKUP(Table4[[#This Row],[A ID]],Assets[#All],3,FALSE())</f>
        <v>Authentication/Authorisation method of all device(s)/app</v>
      </c>
      <c r="H52" s="21" t="s">
        <v>253</v>
      </c>
      <c r="I52" s="161"/>
      <c r="J52" s="94" t="s">
        <v>239</v>
      </c>
      <c r="K52" s="94" t="s">
        <v>239</v>
      </c>
      <c r="L52" s="94" t="s">
        <v>239</v>
      </c>
      <c r="M52" s="95" t="s">
        <v>240</v>
      </c>
      <c r="N52" s="95" t="s">
        <v>239</v>
      </c>
      <c r="O52" s="95" t="s">
        <v>239</v>
      </c>
      <c r="P52" s="95" t="s">
        <v>243</v>
      </c>
      <c r="Q52" s="95" t="s">
        <v>242</v>
      </c>
      <c r="R5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96">
        <f>(1 - ((1 - VLOOKUP(Table4[[#This Row],[Confidentiality]],'Reference - CVSSv3.0'!$B$15:$C$17,2,FALSE())) * (1 - VLOOKUP(Table4[[#This Row],[Integrity]],'Reference - CVSSv3.0'!$B$15:$C$17,2,FALSE())) *  (1 - VLOOKUP(Table4[[#This Row],[Availability]],'Reference - CVSSv3.0'!$B$15:$C$17,2,FALSE()))))</f>
        <v>0.52544799999999992</v>
      </c>
      <c r="T52" s="96">
        <f>IF(Table4[[#This Row],[Scope]]="Unchanged",6.42*Table4[[#This Row],[ISC Base]],IF(Table4[[#This Row],[Scope]]="Changed",7.52*(Table4[[#This Row],[ISC Base]] - 0.029) - 3.25 * POWER(Table4[[#This Row],[ISC Base]] - 0.02,15),NA()))</f>
        <v>3.3733761599999994</v>
      </c>
      <c r="U5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90" t="s">
        <v>249</v>
      </c>
      <c r="W52" s="96">
        <f>VLOOKUP(Table4[[#This Row],[Threat Event Initiation]],NIST_Scale_LOAI[],2,FALSE())</f>
        <v>0.5</v>
      </c>
      <c r="X5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1" t="s">
        <v>447</v>
      </c>
      <c r="AA52" s="108" t="s">
        <v>462</v>
      </c>
      <c r="AB52" s="111"/>
      <c r="AC52" s="40"/>
      <c r="AD52" s="40"/>
      <c r="AE52" s="40"/>
      <c r="AF52" s="95"/>
      <c r="AG52" s="95"/>
      <c r="AH52" s="95"/>
      <c r="AI52" s="95"/>
      <c r="AJ52" s="104"/>
      <c r="AK5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96" t="e">
        <f>(1 - ((1 - VLOOKUP(Table4[[#This Row],[ConfidentialityP]],'Reference - CVSSv3.0'!$B$15:$C$17,2,FALSE())) * (1 - VLOOKUP(Table4[[#This Row],[IntegrityP]],'Reference - CVSSv3.0'!$B$15:$C$17,2,FALSE())) *  (1 - VLOOKUP(Table4[[#This Row],[AvailabilityP]],'Reference - CVSSv3.0'!$B$15:$C$17,2,FALSE()))))</f>
        <v>#N/A</v>
      </c>
      <c r="AM52" s="96" t="e">
        <f>IF(Table4[[#This Row],[ScopeP]]="Unchanged",6.42*Table4[[#This Row],[ISC BaseP]],IF(Table4[[#This Row],[ScopeP]]="Changed",7.52*(Table4[[#This Row],[ISC BaseP]] - 0.029) - 3.25 * POWER(Table4[[#This Row],[ISC BaseP]] - 0.02,15),NA()))</f>
        <v>#N/A</v>
      </c>
      <c r="AN5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40"/>
    </row>
    <row r="53" spans="1:43" ht="409.5" hidden="1">
      <c r="A53" s="89">
        <v>49</v>
      </c>
      <c r="B53" s="90" t="s">
        <v>157</v>
      </c>
      <c r="C53" s="100" t="str">
        <f>IF(VLOOKUP(Table4[[#This Row],[T ID]],Table5[#All],5,FALSE())="No","Not in scope",VLOOKUP(Table4[[#This Row],[T ID]],Table5[#All],2,FALSE()))</f>
        <v>Maintaining Access
(TTP)</v>
      </c>
      <c r="D53" s="61" t="s">
        <v>72</v>
      </c>
      <c r="E53" s="100" t="str">
        <f>IF(VLOOKUP(Table4[[#This Row],[V ID]],Vulnerabilities[#All],3,FALSE())="No","Not in scope",VLOOKUP(Table4[[#This Row],[V ID]],Vulnerabilities[#All],2,FALSE()))</f>
        <v>The password complexity or location vulnerability. Like weak passwords and hardcoded passwords.</v>
      </c>
      <c r="F53" s="109" t="s">
        <v>22</v>
      </c>
      <c r="G53" s="100" t="str">
        <f>VLOOKUP(Table4[[#This Row],[A ID]],Assets[#All],3,FALSE())</f>
        <v>Authentication/Authorisation method of all device(s)/app</v>
      </c>
      <c r="H53" s="21" t="s">
        <v>253</v>
      </c>
      <c r="I53" s="161"/>
      <c r="J53" s="94" t="s">
        <v>239</v>
      </c>
      <c r="K53" s="94" t="s">
        <v>239</v>
      </c>
      <c r="L53" s="94" t="s">
        <v>239</v>
      </c>
      <c r="M53" s="95" t="s">
        <v>247</v>
      </c>
      <c r="N53" s="95" t="s">
        <v>239</v>
      </c>
      <c r="O53" s="95" t="s">
        <v>239</v>
      </c>
      <c r="P53" s="95" t="s">
        <v>241</v>
      </c>
      <c r="Q53" s="95" t="s">
        <v>242</v>
      </c>
      <c r="R5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6">
        <f>(1 - ((1 - VLOOKUP(Table4[[#This Row],[Confidentiality]],'Reference - CVSSv3.0'!$B$15:$C$17,2,FALSE())) * (1 - VLOOKUP(Table4[[#This Row],[Integrity]],'Reference - CVSSv3.0'!$B$15:$C$17,2,FALSE())) *  (1 - VLOOKUP(Table4[[#This Row],[Availability]],'Reference - CVSSv3.0'!$B$15:$C$17,2,FALSE()))))</f>
        <v>0.52544799999999992</v>
      </c>
      <c r="T53" s="96">
        <f>IF(Table4[[#This Row],[Scope]]="Unchanged",6.42*Table4[[#This Row],[ISC Base]],IF(Table4[[#This Row],[Scope]]="Changed",7.52*(Table4[[#This Row],[ISC Base]] - 0.029) - 3.25 * POWER(Table4[[#This Row],[ISC Base]] - 0.02,15),NA()))</f>
        <v>3.3733761599999994</v>
      </c>
      <c r="U53"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90" t="s">
        <v>239</v>
      </c>
      <c r="W53" s="96">
        <f>VLOOKUP(Table4[[#This Row],[Threat Event Initiation]],NIST_Scale_LOAI[],2,FALSE())</f>
        <v>0.2</v>
      </c>
      <c r="X5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51" t="s">
        <v>449</v>
      </c>
      <c r="AA53" s="250" t="s">
        <v>468</v>
      </c>
      <c r="AB53" s="111"/>
      <c r="AC53" s="40"/>
      <c r="AD53" s="40"/>
      <c r="AE53" s="40"/>
      <c r="AF53" s="95"/>
      <c r="AG53" s="95"/>
      <c r="AH53" s="95"/>
      <c r="AI53" s="95"/>
      <c r="AJ53" s="104"/>
      <c r="AK5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6" t="e">
        <f>(1 - ((1 - VLOOKUP(Table4[[#This Row],[ConfidentialityP]],'Reference - CVSSv3.0'!$B$15:$C$17,2,FALSE())) * (1 - VLOOKUP(Table4[[#This Row],[IntegrityP]],'Reference - CVSSv3.0'!$B$15:$C$17,2,FALSE())) *  (1 - VLOOKUP(Table4[[#This Row],[AvailabilityP]],'Reference - CVSSv3.0'!$B$15:$C$17,2,FALSE()))))</f>
        <v>#N/A</v>
      </c>
      <c r="AM53" s="96" t="e">
        <f>IF(Table4[[#This Row],[ScopeP]]="Unchanged",6.42*Table4[[#This Row],[ISC BaseP]],IF(Table4[[#This Row],[ScopeP]]="Changed",7.52*(Table4[[#This Row],[ISC BaseP]] - 0.029) - 3.25 * POWER(Table4[[#This Row],[ISC BaseP]] - 0.02,15),NA()))</f>
        <v>#N/A</v>
      </c>
      <c r="AN5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40"/>
    </row>
    <row r="54" spans="1:43" ht="196" hidden="1">
      <c r="A54" s="89">
        <v>50</v>
      </c>
      <c r="B54" s="90" t="s">
        <v>160</v>
      </c>
      <c r="C54" s="100" t="str">
        <f>IF(VLOOKUP(Table4[[#This Row],[T ID]],Table5[#All],5,FALSE())="No","Not in scope",VLOOKUP(Table4[[#This Row],[T ID]],Table5[#All],2,FALSE()))</f>
        <v>Clearing Track
(TTP)</v>
      </c>
      <c r="D54" s="61" t="s">
        <v>112</v>
      </c>
      <c r="E54" s="100" t="str">
        <f>IF(VLOOKUP(Table4[[#This Row],[V ID]],Vulnerabilities[#All],3,FALSE())="No","Not in scope",VLOOKUP(Table4[[#This Row],[V ID]],Vulnerabilities[#All],2,FALSE()))</f>
        <v>InSecure Configuration for Software/OS on Mobile Devices, Laptops, Workstations, and Servers</v>
      </c>
      <c r="F54" s="101" t="s">
        <v>10</v>
      </c>
      <c r="G54" s="100" t="str">
        <f>VLOOKUP(Table4[[#This Row],[A ID]],Assets[#All],3,FALSE())</f>
        <v>Tablet Resources - web cam, microphone, OTG devices, Removable USB, Tablet Application, Network interfaces (Bluetooth, Wifi)</v>
      </c>
      <c r="H54" s="21" t="s">
        <v>256</v>
      </c>
      <c r="I54" s="161"/>
      <c r="J54" s="94" t="s">
        <v>239</v>
      </c>
      <c r="K54" s="94" t="s">
        <v>239</v>
      </c>
      <c r="L54" s="94" t="s">
        <v>239</v>
      </c>
      <c r="M54" s="95" t="s">
        <v>247</v>
      </c>
      <c r="N54" s="95" t="s">
        <v>239</v>
      </c>
      <c r="O54" s="95" t="s">
        <v>239</v>
      </c>
      <c r="P54" s="95" t="s">
        <v>241</v>
      </c>
      <c r="Q54" s="95" t="s">
        <v>242</v>
      </c>
      <c r="R5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6">
        <f>(1 - ((1 - VLOOKUP(Table4[[#This Row],[Confidentiality]],'Reference - CVSSv3.0'!$B$15:$C$17,2,FALSE())) * (1 - VLOOKUP(Table4[[#This Row],[Integrity]],'Reference - CVSSv3.0'!$B$15:$C$17,2,FALSE())) *  (1 - VLOOKUP(Table4[[#This Row],[Availability]],'Reference - CVSSv3.0'!$B$15:$C$17,2,FALSE()))))</f>
        <v>0.52544799999999992</v>
      </c>
      <c r="T54" s="96">
        <f>IF(Table4[[#This Row],[Scope]]="Unchanged",6.42*Table4[[#This Row],[ISC Base]],IF(Table4[[#This Row],[Scope]]="Changed",7.52*(Table4[[#This Row],[ISC Base]] - 0.029) - 3.25 * POWER(Table4[[#This Row],[ISC Base]] - 0.02,15),NA()))</f>
        <v>3.3733761599999994</v>
      </c>
      <c r="U54"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90" t="s">
        <v>239</v>
      </c>
      <c r="W54" s="96">
        <f>VLOOKUP(Table4[[#This Row],[Threat Event Initiation]],NIST_Scale_LOAI[],2,FALSE())</f>
        <v>0.2</v>
      </c>
      <c r="X5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t="s">
        <v>446</v>
      </c>
      <c r="AA54" s="21" t="s">
        <v>246</v>
      </c>
      <c r="AB54" s="111"/>
      <c r="AC54" s="40"/>
      <c r="AD54" s="40"/>
      <c r="AE54" s="40"/>
      <c r="AF54" s="95"/>
      <c r="AG54" s="95"/>
      <c r="AH54" s="95"/>
      <c r="AI54" s="95"/>
      <c r="AJ54" s="104"/>
      <c r="AK5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6" t="e">
        <f>(1 - ((1 - VLOOKUP(Table4[[#This Row],[ConfidentialityP]],'Reference - CVSSv3.0'!$B$15:$C$17,2,FALSE())) * (1 - VLOOKUP(Table4[[#This Row],[IntegrityP]],'Reference - CVSSv3.0'!$B$15:$C$17,2,FALSE())) *  (1 - VLOOKUP(Table4[[#This Row],[AvailabilityP]],'Reference - CVSSv3.0'!$B$15:$C$17,2,FALSE()))))</f>
        <v>#N/A</v>
      </c>
      <c r="AM54" s="96" t="e">
        <f>IF(Table4[[#This Row],[ScopeP]]="Unchanged",6.42*Table4[[#This Row],[ISC BaseP]],IF(Table4[[#This Row],[ScopeP]]="Changed",7.52*(Table4[[#This Row],[ISC BaseP]] - 0.029) - 3.25 * POWER(Table4[[#This Row],[ISC BaseP]] - 0.02,15),NA()))</f>
        <v>#N/A</v>
      </c>
      <c r="AN5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40"/>
    </row>
    <row r="55" spans="1:43" ht="196" hidden="1">
      <c r="A55" s="89">
        <v>51</v>
      </c>
      <c r="B55" s="90" t="s">
        <v>160</v>
      </c>
      <c r="C55" s="100" t="str">
        <f>IF(VLOOKUP(Table4[[#This Row],[T ID]],Table5[#All],5,FALSE())="No","Not in scope",VLOOKUP(Table4[[#This Row],[T ID]],Table5[#All],2,FALSE()))</f>
        <v>Clearing Track
(TTP)</v>
      </c>
      <c r="D55" s="61" t="s">
        <v>116</v>
      </c>
      <c r="E55" s="100" t="str">
        <f>IF(VLOOKUP(Table4[[#This Row],[V ID]],Vulnerabilities[#All],3,FALSE())="No","Not in scope",VLOOKUP(Table4[[#This Row],[V ID]],Vulnerabilities[#All],2,FALSE()))</f>
        <v>Outdated  - Software/Hardware</v>
      </c>
      <c r="F55" s="101" t="s">
        <v>10</v>
      </c>
      <c r="G55" s="100" t="str">
        <f>VLOOKUP(Table4[[#This Row],[A ID]],Assets[#All],3,FALSE())</f>
        <v>Tablet Resources - web cam, microphone, OTG devices, Removable USB, Tablet Application, Network interfaces (Bluetooth, Wifi)</v>
      </c>
      <c r="H55" s="21" t="s">
        <v>256</v>
      </c>
      <c r="I55" s="161" t="s">
        <v>430</v>
      </c>
      <c r="J55" s="94" t="s">
        <v>239</v>
      </c>
      <c r="K55" s="94" t="s">
        <v>239</v>
      </c>
      <c r="L55" s="94" t="s">
        <v>239</v>
      </c>
      <c r="M55" s="95" t="s">
        <v>240</v>
      </c>
      <c r="N55" s="95" t="s">
        <v>239</v>
      </c>
      <c r="O55" s="95" t="s">
        <v>239</v>
      </c>
      <c r="P55" s="95" t="s">
        <v>243</v>
      </c>
      <c r="Q55" s="95" t="s">
        <v>242</v>
      </c>
      <c r="R5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6">
        <f>(1 - ((1 - VLOOKUP(Table4[[#This Row],[Confidentiality]],'Reference - CVSSv3.0'!$B$15:$C$17,2,FALSE())) * (1 - VLOOKUP(Table4[[#This Row],[Integrity]],'Reference - CVSSv3.0'!$B$15:$C$17,2,FALSE())) *  (1 - VLOOKUP(Table4[[#This Row],[Availability]],'Reference - CVSSv3.0'!$B$15:$C$17,2,FALSE()))))</f>
        <v>0.52544799999999992</v>
      </c>
      <c r="T55" s="96">
        <f>IF(Table4[[#This Row],[Scope]]="Unchanged",6.42*Table4[[#This Row],[ISC Base]],IF(Table4[[#This Row],[Scope]]="Changed",7.52*(Table4[[#This Row],[ISC Base]] - 0.029) - 3.25 * POWER(Table4[[#This Row],[ISC Base]] - 0.02,15),NA()))</f>
        <v>3.3733761599999994</v>
      </c>
      <c r="U55"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90" t="s">
        <v>249</v>
      </c>
      <c r="W55" s="96">
        <f>VLOOKUP(Table4[[#This Row],[Threat Event Initiation]],NIST_Scale_LOAI[],2,FALSE())</f>
        <v>0.5</v>
      </c>
      <c r="X5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t="s">
        <v>446</v>
      </c>
      <c r="AA55" s="21" t="s">
        <v>246</v>
      </c>
      <c r="AB55" s="111"/>
      <c r="AC55" s="40"/>
      <c r="AD55" s="40"/>
      <c r="AE55" s="40"/>
      <c r="AF55" s="95"/>
      <c r="AG55" s="95"/>
      <c r="AH55" s="95"/>
      <c r="AI55" s="95"/>
      <c r="AJ55" s="104"/>
      <c r="AK5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6" t="e">
        <f>(1 - ((1 - VLOOKUP(Table4[[#This Row],[ConfidentialityP]],'Reference - CVSSv3.0'!$B$15:$C$17,2,FALSE())) * (1 - VLOOKUP(Table4[[#This Row],[IntegrityP]],'Reference - CVSSv3.0'!$B$15:$C$17,2,FALSE())) *  (1 - VLOOKUP(Table4[[#This Row],[AvailabilityP]],'Reference - CVSSv3.0'!$B$15:$C$17,2,FALSE()))))</f>
        <v>#N/A</v>
      </c>
      <c r="AM55" s="96" t="e">
        <f>IF(Table4[[#This Row],[ScopeP]]="Unchanged",6.42*Table4[[#This Row],[ISC BaseP]],IF(Table4[[#This Row],[ScopeP]]="Changed",7.52*(Table4[[#This Row],[ISC BaseP]] - 0.029) - 3.25 * POWER(Table4[[#This Row],[ISC BaseP]] - 0.02,15),NA()))</f>
        <v>#N/A</v>
      </c>
      <c r="AN5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40"/>
    </row>
    <row r="56" spans="1:43" ht="196" hidden="1">
      <c r="A56" s="89">
        <v>52</v>
      </c>
      <c r="B56" s="90" t="s">
        <v>160</v>
      </c>
      <c r="C56" s="100" t="str">
        <f>IF(VLOOKUP(Table4[[#This Row],[T ID]],Table5[#All],5,FALSE())="No","Not in scope",VLOOKUP(Table4[[#This Row],[T ID]],Table5[#All],2,FALSE()))</f>
        <v>Clearing Track
(TTP)</v>
      </c>
      <c r="D56" s="61" t="s">
        <v>81</v>
      </c>
      <c r="E56" s="100" t="str">
        <f>IF(VLOOKUP(Table4[[#This Row],[V ID]],Vulnerabilities[#All],3,FALSE())="No","Not in scope",VLOOKUP(Table4[[#This Row],[V ID]],Vulnerabilities[#All],2,FALSE()))</f>
        <v>Lack of configuration controls for IT assets in the informaion system plan</v>
      </c>
      <c r="F56" s="101" t="s">
        <v>10</v>
      </c>
      <c r="G56" s="100" t="str">
        <f>VLOOKUP(Table4[[#This Row],[A ID]],Assets[#All],3,FALSE())</f>
        <v>Tablet Resources - web cam, microphone, OTG devices, Removable USB, Tablet Application, Network interfaces (Bluetooth, Wifi)</v>
      </c>
      <c r="H56" s="21" t="s">
        <v>256</v>
      </c>
      <c r="I56" s="161" t="s">
        <v>430</v>
      </c>
      <c r="J56" s="94" t="s">
        <v>239</v>
      </c>
      <c r="K56" s="94" t="s">
        <v>239</v>
      </c>
      <c r="L56" s="94" t="s">
        <v>239</v>
      </c>
      <c r="M56" s="95" t="s">
        <v>247</v>
      </c>
      <c r="N56" s="95" t="s">
        <v>239</v>
      </c>
      <c r="O56" s="95" t="s">
        <v>239</v>
      </c>
      <c r="P56" s="95" t="s">
        <v>241</v>
      </c>
      <c r="Q56" s="95" t="s">
        <v>242</v>
      </c>
      <c r="R5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6">
        <f>(1 - ((1 - VLOOKUP(Table4[[#This Row],[Confidentiality]],'Reference - CVSSv3.0'!$B$15:$C$17,2,FALSE())) * (1 - VLOOKUP(Table4[[#This Row],[Integrity]],'Reference - CVSSv3.0'!$B$15:$C$17,2,FALSE())) *  (1 - VLOOKUP(Table4[[#This Row],[Availability]],'Reference - CVSSv3.0'!$B$15:$C$17,2,FALSE()))))</f>
        <v>0.52544799999999992</v>
      </c>
      <c r="T56" s="96">
        <f>IF(Table4[[#This Row],[Scope]]="Unchanged",6.42*Table4[[#This Row],[ISC Base]],IF(Table4[[#This Row],[Scope]]="Changed",7.52*(Table4[[#This Row],[ISC Base]] - 0.029) - 3.25 * POWER(Table4[[#This Row],[ISC Base]] - 0.02,15),NA()))</f>
        <v>3.3733761599999994</v>
      </c>
      <c r="U56"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90" t="s">
        <v>239</v>
      </c>
      <c r="W56" s="96">
        <f>VLOOKUP(Table4[[#This Row],[Threat Event Initiation]],NIST_Scale_LOAI[],2,FALSE())</f>
        <v>0.2</v>
      </c>
      <c r="X5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t="s">
        <v>446</v>
      </c>
      <c r="AA56" s="21" t="s">
        <v>246</v>
      </c>
      <c r="AB56" s="111"/>
      <c r="AC56" s="40"/>
      <c r="AD56" s="40"/>
      <c r="AE56" s="40"/>
      <c r="AF56" s="95"/>
      <c r="AG56" s="95"/>
      <c r="AH56" s="95"/>
      <c r="AI56" s="95"/>
      <c r="AJ56" s="104"/>
      <c r="AK5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6" t="e">
        <f>(1 - ((1 - VLOOKUP(Table4[[#This Row],[ConfidentialityP]],'Reference - CVSSv3.0'!$B$15:$C$17,2,FALSE())) * (1 - VLOOKUP(Table4[[#This Row],[IntegrityP]],'Reference - CVSSv3.0'!$B$15:$C$17,2,FALSE())) *  (1 - VLOOKUP(Table4[[#This Row],[AvailabilityP]],'Reference - CVSSv3.0'!$B$15:$C$17,2,FALSE()))))</f>
        <v>#N/A</v>
      </c>
      <c r="AM56" s="96" t="e">
        <f>IF(Table4[[#This Row],[ScopeP]]="Unchanged",6.42*Table4[[#This Row],[ISC BaseP]],IF(Table4[[#This Row],[ScopeP]]="Changed",7.52*(Table4[[#This Row],[ISC BaseP]] - 0.029) - 3.25 * POWER(Table4[[#This Row],[ISC BaseP]] - 0.02,15),NA()))</f>
        <v>#N/A</v>
      </c>
      <c r="AN5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40"/>
    </row>
    <row r="57" spans="1:43" ht="196" hidden="1">
      <c r="A57" s="89">
        <v>53</v>
      </c>
      <c r="B57" s="90" t="s">
        <v>160</v>
      </c>
      <c r="C57" s="100" t="str">
        <f>IF(VLOOKUP(Table4[[#This Row],[T ID]],Table5[#All],5,FALSE())="No","Not in scope",VLOOKUP(Table4[[#This Row],[T ID]],Table5[#All],2,FALSE()))</f>
        <v>Clearing Track
(TTP)</v>
      </c>
      <c r="D57" s="92" t="s">
        <v>81</v>
      </c>
      <c r="E57" s="100" t="str">
        <f>IF(VLOOKUP(Table4[[#This Row],[V ID]],Vulnerabilities[#All],3,FALSE())="No","Not in scope",VLOOKUP(Table4[[#This Row],[V ID]],Vulnerabilities[#All],2,FALSE()))</f>
        <v>Lack of configuration controls for IT assets in the informaion system plan</v>
      </c>
      <c r="F57" s="101" t="s">
        <v>25</v>
      </c>
      <c r="G57" s="100" t="str">
        <f>VLOOKUP(Table4[[#This Row],[A ID]],Assets[#All],3,FALSE())</f>
        <v>Device Maintainence tool (Hardware/Software)</v>
      </c>
      <c r="H57" s="21" t="s">
        <v>256</v>
      </c>
      <c r="I57" s="161" t="s">
        <v>430</v>
      </c>
      <c r="J57" s="94" t="s">
        <v>239</v>
      </c>
      <c r="K57" s="94" t="s">
        <v>239</v>
      </c>
      <c r="L57" s="94" t="s">
        <v>239</v>
      </c>
      <c r="M57" s="95" t="s">
        <v>247</v>
      </c>
      <c r="N57" s="95" t="s">
        <v>239</v>
      </c>
      <c r="O57" s="95" t="s">
        <v>239</v>
      </c>
      <c r="P57" s="95" t="s">
        <v>241</v>
      </c>
      <c r="Q57" s="95" t="s">
        <v>242</v>
      </c>
      <c r="R5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6">
        <f>(1 - ((1 - VLOOKUP(Table4[[#This Row],[Confidentiality]],'Reference - CVSSv3.0'!$B$15:$C$17,2,FALSE())) * (1 - VLOOKUP(Table4[[#This Row],[Integrity]],'Reference - CVSSv3.0'!$B$15:$C$17,2,FALSE())) *  (1 - VLOOKUP(Table4[[#This Row],[Availability]],'Reference - CVSSv3.0'!$B$15:$C$17,2,FALSE()))))</f>
        <v>0.52544799999999992</v>
      </c>
      <c r="T57" s="96">
        <f>IF(Table4[[#This Row],[Scope]]="Unchanged",6.42*Table4[[#This Row],[ISC Base]],IF(Table4[[#This Row],[Scope]]="Changed",7.52*(Table4[[#This Row],[ISC Base]] - 0.029) - 3.25 * POWER(Table4[[#This Row],[ISC Base]] - 0.02,15),NA()))</f>
        <v>3.3733761599999994</v>
      </c>
      <c r="U57"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90" t="s">
        <v>239</v>
      </c>
      <c r="W57" s="96">
        <f>VLOOKUP(Table4[[#This Row],[Threat Event Initiation]],NIST_Scale_LOAI[],2,FALSE())</f>
        <v>0.2</v>
      </c>
      <c r="X5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t="s">
        <v>446</v>
      </c>
      <c r="AA57" s="21" t="s">
        <v>432</v>
      </c>
      <c r="AB57" s="111"/>
      <c r="AC57" s="40"/>
      <c r="AD57" s="40"/>
      <c r="AE57" s="40"/>
      <c r="AF57" s="95"/>
      <c r="AG57" s="95"/>
      <c r="AH57" s="95"/>
      <c r="AI57" s="95"/>
      <c r="AJ57" s="104"/>
      <c r="AK5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6" t="e">
        <f>(1 - ((1 - VLOOKUP(Table4[[#This Row],[ConfidentialityP]],'Reference - CVSSv3.0'!$B$15:$C$17,2,FALSE())) * (1 - VLOOKUP(Table4[[#This Row],[IntegrityP]],'Reference - CVSSv3.0'!$B$15:$C$17,2,FALSE())) *  (1 - VLOOKUP(Table4[[#This Row],[AvailabilityP]],'Reference - CVSSv3.0'!$B$15:$C$17,2,FALSE()))))</f>
        <v>#N/A</v>
      </c>
      <c r="AM57" s="96" t="e">
        <f>IF(Table4[[#This Row],[ScopeP]]="Unchanged",6.42*Table4[[#This Row],[ISC BaseP]],IF(Table4[[#This Row],[ScopeP]]="Changed",7.52*(Table4[[#This Row],[ISC BaseP]] - 0.029) - 3.25 * POWER(Table4[[#This Row],[ISC BaseP]] - 0.02,15),NA()))</f>
        <v>#N/A</v>
      </c>
      <c r="AN5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40"/>
    </row>
    <row r="58" spans="1:43" ht="182" hidden="1">
      <c r="A58" s="89">
        <v>54</v>
      </c>
      <c r="B58" s="90" t="s">
        <v>160</v>
      </c>
      <c r="C58" s="100" t="str">
        <f>IF(VLOOKUP(Table4[[#This Row],[T ID]],Table5[#All],5,FALSE())="No","Not in scope",VLOOKUP(Table4[[#This Row],[T ID]],Table5[#All],2,FALSE()))</f>
        <v>Clearing Track
(TTP)</v>
      </c>
      <c r="D58" s="61" t="s">
        <v>83</v>
      </c>
      <c r="E58" s="100" t="str">
        <f>IF(VLOOKUP(Table4[[#This Row],[V ID]],Vulnerabilities[#All],3,FALSE())="No","Not in scope",VLOOKUP(Table4[[#This Row],[V ID]],Vulnerabilities[#All],2,FALSE()))</f>
        <v>Ineffective patch management of firware, OS and applications thoughout the information system plan</v>
      </c>
      <c r="F58" s="101" t="s">
        <v>10</v>
      </c>
      <c r="G58" s="100" t="str">
        <f>VLOOKUP(Table4[[#This Row],[A ID]],Assets[#All],3,FALSE())</f>
        <v>Tablet Resources - web cam, microphone, OTG devices, Removable USB, Tablet Application, Network interfaces (Bluetooth, Wifi)</v>
      </c>
      <c r="H58" s="21" t="s">
        <v>256</v>
      </c>
      <c r="I58" s="161" t="s">
        <v>430</v>
      </c>
      <c r="J58" s="94" t="s">
        <v>243</v>
      </c>
      <c r="K58" s="94" t="s">
        <v>239</v>
      </c>
      <c r="L58" s="94" t="s">
        <v>239</v>
      </c>
      <c r="M58" s="95" t="s">
        <v>247</v>
      </c>
      <c r="N58" s="95" t="s">
        <v>239</v>
      </c>
      <c r="O58" s="95" t="s">
        <v>248</v>
      </c>
      <c r="P58" s="95" t="s">
        <v>243</v>
      </c>
      <c r="Q58" s="95" t="s">
        <v>242</v>
      </c>
      <c r="R5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6">
        <f>(1 - ((1 - VLOOKUP(Table4[[#This Row],[Confidentiality]],'Reference - CVSSv3.0'!$B$15:$C$17,2,FALSE())) * (1 - VLOOKUP(Table4[[#This Row],[Integrity]],'Reference - CVSSv3.0'!$B$15:$C$17,2,FALSE())) *  (1 - VLOOKUP(Table4[[#This Row],[Availability]],'Reference - CVSSv3.0'!$B$15:$C$17,2,FALSE()))))</f>
        <v>0.39159999999999995</v>
      </c>
      <c r="T58" s="96">
        <f>IF(Table4[[#This Row],[Scope]]="Unchanged",6.42*Table4[[#This Row],[ISC Base]],IF(Table4[[#This Row],[Scope]]="Changed",7.52*(Table4[[#This Row],[ISC Base]] - 0.029) - 3.25 * POWER(Table4[[#This Row],[ISC Base]] - 0.02,15),NA()))</f>
        <v>2.5140719999999996</v>
      </c>
      <c r="U58" s="96">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90" t="s">
        <v>249</v>
      </c>
      <c r="W58" s="96">
        <f>VLOOKUP(Table4[[#This Row],[Threat Event Initiation]],NIST_Scale_LOAI[],2,FALSE())</f>
        <v>0.5</v>
      </c>
      <c r="X5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t="s">
        <v>446</v>
      </c>
      <c r="AA58" s="21" t="s">
        <v>257</v>
      </c>
      <c r="AB58" s="111"/>
      <c r="AC58" s="40"/>
      <c r="AD58" s="40"/>
      <c r="AE58" s="40"/>
      <c r="AF58" s="95"/>
      <c r="AG58" s="95"/>
      <c r="AH58" s="95"/>
      <c r="AI58" s="95"/>
      <c r="AJ58" s="104"/>
      <c r="AK5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6" t="e">
        <f>(1 - ((1 - VLOOKUP(Table4[[#This Row],[ConfidentialityP]],'Reference - CVSSv3.0'!$B$15:$C$17,2,FALSE())) * (1 - VLOOKUP(Table4[[#This Row],[IntegrityP]],'Reference - CVSSv3.0'!$B$15:$C$17,2,FALSE())) *  (1 - VLOOKUP(Table4[[#This Row],[AvailabilityP]],'Reference - CVSSv3.0'!$B$15:$C$17,2,FALSE()))))</f>
        <v>#N/A</v>
      </c>
      <c r="AM58" s="96" t="e">
        <f>IF(Table4[[#This Row],[ScopeP]]="Unchanged",6.42*Table4[[#This Row],[ISC BaseP]],IF(Table4[[#This Row],[ScopeP]]="Changed",7.52*(Table4[[#This Row],[ISC BaseP]] - 0.029) - 3.25 * POWER(Table4[[#This Row],[ISC BaseP]] - 0.02,15),NA()))</f>
        <v>#N/A</v>
      </c>
      <c r="AN5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40"/>
    </row>
    <row r="59" spans="1:43" ht="182" hidden="1">
      <c r="A59" s="89">
        <v>55</v>
      </c>
      <c r="B59" s="90" t="s">
        <v>160</v>
      </c>
      <c r="C59" s="100" t="str">
        <f>IF(VLOOKUP(Table4[[#This Row],[T ID]],Table5[#All],5,FALSE())="No","Not in scope",VLOOKUP(Table4[[#This Row],[T ID]],Table5[#All],2,FALSE()))</f>
        <v>Clearing Track
(TTP)</v>
      </c>
      <c r="D59" s="61" t="s">
        <v>83</v>
      </c>
      <c r="E59" s="100" t="str">
        <f>IF(VLOOKUP(Table4[[#This Row],[V ID]],Vulnerabilities[#All],3,FALSE())="No","Not in scope",VLOOKUP(Table4[[#This Row],[V ID]],Vulnerabilities[#All],2,FALSE()))</f>
        <v>Ineffective patch management of firware, OS and applications thoughout the information system plan</v>
      </c>
      <c r="F59" s="101" t="s">
        <v>25</v>
      </c>
      <c r="G59" s="100" t="str">
        <f>VLOOKUP(Table4[[#This Row],[A ID]],Assets[#All],3,FALSE())</f>
        <v>Device Maintainence tool (Hardware/Software)</v>
      </c>
      <c r="H59" s="21" t="s">
        <v>256</v>
      </c>
      <c r="I59" s="161" t="s">
        <v>430</v>
      </c>
      <c r="J59" s="94" t="s">
        <v>239</v>
      </c>
      <c r="K59" s="94" t="s">
        <v>239</v>
      </c>
      <c r="L59" s="94" t="s">
        <v>239</v>
      </c>
      <c r="M59" s="95" t="s">
        <v>247</v>
      </c>
      <c r="N59" s="95" t="s">
        <v>239</v>
      </c>
      <c r="O59" s="95" t="s">
        <v>239</v>
      </c>
      <c r="P59" s="95" t="s">
        <v>243</v>
      </c>
      <c r="Q59" s="95" t="s">
        <v>242</v>
      </c>
      <c r="R5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6">
        <f>(1 - ((1 - VLOOKUP(Table4[[#This Row],[Confidentiality]],'Reference - CVSSv3.0'!$B$15:$C$17,2,FALSE())) * (1 - VLOOKUP(Table4[[#This Row],[Integrity]],'Reference - CVSSv3.0'!$B$15:$C$17,2,FALSE())) *  (1 - VLOOKUP(Table4[[#This Row],[Availability]],'Reference - CVSSv3.0'!$B$15:$C$17,2,FALSE()))))</f>
        <v>0.52544799999999992</v>
      </c>
      <c r="T59" s="96">
        <f>IF(Table4[[#This Row],[Scope]]="Unchanged",6.42*Table4[[#This Row],[ISC Base]],IF(Table4[[#This Row],[Scope]]="Changed",7.52*(Table4[[#This Row],[ISC Base]] - 0.029) - 3.25 * POWER(Table4[[#This Row],[ISC Base]] - 0.02,15),NA()))</f>
        <v>3.3733761599999994</v>
      </c>
      <c r="U5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90" t="s">
        <v>239</v>
      </c>
      <c r="W59" s="96">
        <f>VLOOKUP(Table4[[#This Row],[Threat Event Initiation]],NIST_Scale_LOAI[],2,FALSE())</f>
        <v>0.2</v>
      </c>
      <c r="X5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t="s">
        <v>446</v>
      </c>
      <c r="AA59" s="21" t="s">
        <v>257</v>
      </c>
      <c r="AB59" s="111"/>
      <c r="AC59" s="40"/>
      <c r="AD59" s="40"/>
      <c r="AE59" s="40"/>
      <c r="AF59" s="95"/>
      <c r="AG59" s="95"/>
      <c r="AH59" s="95"/>
      <c r="AI59" s="95"/>
      <c r="AJ59" s="104"/>
      <c r="AK5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6" t="e">
        <f>(1 - ((1 - VLOOKUP(Table4[[#This Row],[ConfidentialityP]],'Reference - CVSSv3.0'!$B$15:$C$17,2,FALSE())) * (1 - VLOOKUP(Table4[[#This Row],[IntegrityP]],'Reference - CVSSv3.0'!$B$15:$C$17,2,FALSE())) *  (1 - VLOOKUP(Table4[[#This Row],[AvailabilityP]],'Reference - CVSSv3.0'!$B$15:$C$17,2,FALSE()))))</f>
        <v>#N/A</v>
      </c>
      <c r="AM59" s="96" t="e">
        <f>IF(Table4[[#This Row],[ScopeP]]="Unchanged",6.42*Table4[[#This Row],[ISC BaseP]],IF(Table4[[#This Row],[ScopeP]]="Changed",7.52*(Table4[[#This Row],[ISC BaseP]] - 0.029) - 3.25 * POWER(Table4[[#This Row],[ISC BaseP]] - 0.02,15),NA()))</f>
        <v>#N/A</v>
      </c>
      <c r="AN5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40"/>
    </row>
    <row r="60" spans="1:43" ht="196" hidden="1">
      <c r="A60" s="89">
        <v>56</v>
      </c>
      <c r="B60" s="90" t="s">
        <v>160</v>
      </c>
      <c r="C60" s="100" t="str">
        <f>IF(VLOOKUP(Table4[[#This Row],[T ID]],Table5[#All],5,FALSE())="No","Not in scope",VLOOKUP(Table4[[#This Row],[T ID]],Table5[#All],2,FALSE()))</f>
        <v>Clearing Track
(TTP)</v>
      </c>
      <c r="D60" s="61" t="s">
        <v>83</v>
      </c>
      <c r="E60" s="100" t="str">
        <f>IF(VLOOKUP(Table4[[#This Row],[V ID]],Vulnerabilities[#All],3,FALSE())="No","Not in scope",VLOOKUP(Table4[[#This Row],[V ID]],Vulnerabilities[#All],2,FALSE()))</f>
        <v>Ineffective patch management of firware, OS and applications thoughout the information system plan</v>
      </c>
      <c r="F60" s="101" t="s">
        <v>14</v>
      </c>
      <c r="G60" s="100" t="str">
        <f>VLOOKUP(Table4[[#This Row],[A ID]],Assets[#All],3,FALSE())</f>
        <v>Tablet OS/network details &amp; Tablet Application</v>
      </c>
      <c r="H60" s="21" t="s">
        <v>256</v>
      </c>
      <c r="I60" s="161" t="s">
        <v>430</v>
      </c>
      <c r="J60" s="94" t="s">
        <v>239</v>
      </c>
      <c r="K60" s="94" t="s">
        <v>239</v>
      </c>
      <c r="L60" s="94" t="s">
        <v>239</v>
      </c>
      <c r="M60" s="95" t="s">
        <v>247</v>
      </c>
      <c r="N60" s="95" t="s">
        <v>239</v>
      </c>
      <c r="O60" s="95" t="s">
        <v>239</v>
      </c>
      <c r="P60" s="95" t="s">
        <v>243</v>
      </c>
      <c r="Q60" s="95" t="s">
        <v>242</v>
      </c>
      <c r="R6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6">
        <f>(1 - ((1 - VLOOKUP(Table4[[#This Row],[Confidentiality]],'Reference - CVSSv3.0'!$B$15:$C$17,2,FALSE())) * (1 - VLOOKUP(Table4[[#This Row],[Integrity]],'Reference - CVSSv3.0'!$B$15:$C$17,2,FALSE())) *  (1 - VLOOKUP(Table4[[#This Row],[Availability]],'Reference - CVSSv3.0'!$B$15:$C$17,2,FALSE()))))</f>
        <v>0.52544799999999992</v>
      </c>
      <c r="T60" s="96">
        <f>IF(Table4[[#This Row],[Scope]]="Unchanged",6.42*Table4[[#This Row],[ISC Base]],IF(Table4[[#This Row],[Scope]]="Changed",7.52*(Table4[[#This Row],[ISC Base]] - 0.029) - 3.25 * POWER(Table4[[#This Row],[ISC Base]] - 0.02,15),NA()))</f>
        <v>3.3733761599999994</v>
      </c>
      <c r="U60"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90" t="s">
        <v>239</v>
      </c>
      <c r="W60" s="96">
        <f>VLOOKUP(Table4[[#This Row],[Threat Event Initiation]],NIST_Scale_LOAI[],2,FALSE())</f>
        <v>0.2</v>
      </c>
      <c r="X6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t="s">
        <v>446</v>
      </c>
      <c r="AA60" s="21" t="s">
        <v>246</v>
      </c>
      <c r="AB60" s="111"/>
      <c r="AC60" s="40"/>
      <c r="AD60" s="40"/>
      <c r="AE60" s="40"/>
      <c r="AF60" s="95"/>
      <c r="AG60" s="95"/>
      <c r="AH60" s="95"/>
      <c r="AI60" s="95"/>
      <c r="AJ60" s="104"/>
      <c r="AK6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6" t="e">
        <f>(1 - ((1 - VLOOKUP(Table4[[#This Row],[ConfidentialityP]],'Reference - CVSSv3.0'!$B$15:$C$17,2,FALSE())) * (1 - VLOOKUP(Table4[[#This Row],[IntegrityP]],'Reference - CVSSv3.0'!$B$15:$C$17,2,FALSE())) *  (1 - VLOOKUP(Table4[[#This Row],[AvailabilityP]],'Reference - CVSSv3.0'!$B$15:$C$17,2,FALSE()))))</f>
        <v>#N/A</v>
      </c>
      <c r="AM60" s="96" t="e">
        <f>IF(Table4[[#This Row],[ScopeP]]="Unchanged",6.42*Table4[[#This Row],[ISC BaseP]],IF(Table4[[#This Row],[ScopeP]]="Changed",7.52*(Table4[[#This Row],[ISC BaseP]] - 0.029) - 3.25 * POWER(Table4[[#This Row],[ISC BaseP]] - 0.02,15),NA()))</f>
        <v>#N/A</v>
      </c>
      <c r="AN6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40"/>
    </row>
    <row r="61" spans="1:43" ht="196" hidden="1">
      <c r="A61" s="89">
        <v>57</v>
      </c>
      <c r="B61" s="90" t="s">
        <v>160</v>
      </c>
      <c r="C61" s="100" t="str">
        <f>IF(VLOOKUP(Table4[[#This Row],[T ID]],Table5[#All],5,FALSE())="No","Not in scope",VLOOKUP(Table4[[#This Row],[T ID]],Table5[#All],2,FALSE()))</f>
        <v>Clearing Track
(TTP)</v>
      </c>
      <c r="D61" s="61" t="s">
        <v>87</v>
      </c>
      <c r="E61" s="100" t="str">
        <f>IF(VLOOKUP(Table4[[#This Row],[V ID]],Vulnerabilities[#All],3,FALSE())="No","Not in scope",VLOOKUP(Table4[[#This Row],[V ID]],Vulnerabilities[#All],2,FALSE()))</f>
        <v>The  static connection digaram between devices and applications with provision for periodic updation as per changes</v>
      </c>
      <c r="F61" s="101" t="s">
        <v>25</v>
      </c>
      <c r="G61" s="100" t="str">
        <f>VLOOKUP(Table4[[#This Row],[A ID]],Assets[#All],3,FALSE())</f>
        <v>Device Maintainence tool (Hardware/Software)</v>
      </c>
      <c r="H61" s="21" t="s">
        <v>256</v>
      </c>
      <c r="I61" s="161" t="s">
        <v>430</v>
      </c>
      <c r="J61" s="94" t="s">
        <v>239</v>
      </c>
      <c r="K61" s="94" t="s">
        <v>239</v>
      </c>
      <c r="L61" s="94" t="s">
        <v>239</v>
      </c>
      <c r="M61" s="95" t="s">
        <v>247</v>
      </c>
      <c r="N61" s="95" t="s">
        <v>239</v>
      </c>
      <c r="O61" s="95" t="s">
        <v>239</v>
      </c>
      <c r="P61" s="95" t="s">
        <v>243</v>
      </c>
      <c r="Q61" s="95" t="s">
        <v>242</v>
      </c>
      <c r="R6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6">
        <f>(1 - ((1 - VLOOKUP(Table4[[#This Row],[Confidentiality]],'Reference - CVSSv3.0'!$B$15:$C$17,2,FALSE())) * (1 - VLOOKUP(Table4[[#This Row],[Integrity]],'Reference - CVSSv3.0'!$B$15:$C$17,2,FALSE())) *  (1 - VLOOKUP(Table4[[#This Row],[Availability]],'Reference - CVSSv3.0'!$B$15:$C$17,2,FALSE()))))</f>
        <v>0.52544799999999992</v>
      </c>
      <c r="T61" s="96">
        <f>IF(Table4[[#This Row],[Scope]]="Unchanged",6.42*Table4[[#This Row],[ISC Base]],IF(Table4[[#This Row],[Scope]]="Changed",7.52*(Table4[[#This Row],[ISC Base]] - 0.029) - 3.25 * POWER(Table4[[#This Row],[ISC Base]] - 0.02,15),NA()))</f>
        <v>3.3733761599999994</v>
      </c>
      <c r="U6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90" t="s">
        <v>239</v>
      </c>
      <c r="W61" s="96">
        <f>VLOOKUP(Table4[[#This Row],[Threat Event Initiation]],NIST_Scale_LOAI[],2,FALSE())</f>
        <v>0.2</v>
      </c>
      <c r="X6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t="s">
        <v>446</v>
      </c>
      <c r="AA61" s="21" t="s">
        <v>246</v>
      </c>
      <c r="AB61" s="111"/>
      <c r="AC61" s="40"/>
      <c r="AD61" s="40"/>
      <c r="AE61" s="40"/>
      <c r="AF61" s="95"/>
      <c r="AG61" s="95"/>
      <c r="AH61" s="95"/>
      <c r="AI61" s="95"/>
      <c r="AJ61" s="104"/>
      <c r="AK6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6" t="e">
        <f>(1 - ((1 - VLOOKUP(Table4[[#This Row],[ConfidentialityP]],'Reference - CVSSv3.0'!$B$15:$C$17,2,FALSE())) * (1 - VLOOKUP(Table4[[#This Row],[IntegrityP]],'Reference - CVSSv3.0'!$B$15:$C$17,2,FALSE())) *  (1 - VLOOKUP(Table4[[#This Row],[AvailabilityP]],'Reference - CVSSv3.0'!$B$15:$C$17,2,FALSE()))))</f>
        <v>#N/A</v>
      </c>
      <c r="AM61" s="96" t="e">
        <f>IF(Table4[[#This Row],[ScopeP]]="Unchanged",6.42*Table4[[#This Row],[ISC BaseP]],IF(Table4[[#This Row],[ScopeP]]="Changed",7.52*(Table4[[#This Row],[ISC BaseP]] - 0.029) - 3.25 * POWER(Table4[[#This Row],[ISC BaseP]] - 0.02,15),NA()))</f>
        <v>#N/A</v>
      </c>
      <c r="AN6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40"/>
    </row>
    <row r="62" spans="1:43" ht="196" hidden="1">
      <c r="A62" s="89">
        <v>58</v>
      </c>
      <c r="B62" s="90" t="s">
        <v>160</v>
      </c>
      <c r="C62" s="100" t="str">
        <f>IF(VLOOKUP(Table4[[#This Row],[T ID]],Table5[#All],5,FALSE())="No","Not in scope",VLOOKUP(Table4[[#This Row],[T ID]],Table5[#All],2,FALSE()))</f>
        <v>Clearing Track
(TTP)</v>
      </c>
      <c r="D62" s="61" t="s">
        <v>87</v>
      </c>
      <c r="E62" s="100" t="str">
        <f>IF(VLOOKUP(Table4[[#This Row],[V ID]],Vulnerabilities[#All],3,FALSE())="No","Not in scope",VLOOKUP(Table4[[#This Row],[V ID]],Vulnerabilities[#All],2,FALSE()))</f>
        <v>The  static connection digaram between devices and applications with provision for periodic updation as per changes</v>
      </c>
      <c r="F62" s="101" t="s">
        <v>10</v>
      </c>
      <c r="G62" s="100" t="str">
        <f>VLOOKUP(Table4[[#This Row],[A ID]],Assets[#All],3,FALSE())</f>
        <v>Tablet Resources - web cam, microphone, OTG devices, Removable USB, Tablet Application, Network interfaces (Bluetooth, Wifi)</v>
      </c>
      <c r="H62" s="21" t="s">
        <v>256</v>
      </c>
      <c r="I62" s="161" t="s">
        <v>430</v>
      </c>
      <c r="J62" s="94" t="s">
        <v>239</v>
      </c>
      <c r="K62" s="94" t="s">
        <v>239</v>
      </c>
      <c r="L62" s="94" t="s">
        <v>239</v>
      </c>
      <c r="M62" s="95" t="s">
        <v>247</v>
      </c>
      <c r="N62" s="95" t="s">
        <v>239</v>
      </c>
      <c r="O62" s="95" t="s">
        <v>239</v>
      </c>
      <c r="P62" s="95" t="s">
        <v>243</v>
      </c>
      <c r="Q62" s="95" t="s">
        <v>242</v>
      </c>
      <c r="R6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6">
        <f>(1 - ((1 - VLOOKUP(Table4[[#This Row],[Confidentiality]],'Reference - CVSSv3.0'!$B$15:$C$17,2,FALSE())) * (1 - VLOOKUP(Table4[[#This Row],[Integrity]],'Reference - CVSSv3.0'!$B$15:$C$17,2,FALSE())) *  (1 - VLOOKUP(Table4[[#This Row],[Availability]],'Reference - CVSSv3.0'!$B$15:$C$17,2,FALSE()))))</f>
        <v>0.52544799999999992</v>
      </c>
      <c r="T62" s="96">
        <f>IF(Table4[[#This Row],[Scope]]="Unchanged",6.42*Table4[[#This Row],[ISC Base]],IF(Table4[[#This Row],[Scope]]="Changed",7.52*(Table4[[#This Row],[ISC Base]] - 0.029) - 3.25 * POWER(Table4[[#This Row],[ISC Base]] - 0.02,15),NA()))</f>
        <v>3.3733761599999994</v>
      </c>
      <c r="U6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90" t="s">
        <v>239</v>
      </c>
      <c r="W62" s="96">
        <f>VLOOKUP(Table4[[#This Row],[Threat Event Initiation]],NIST_Scale_LOAI[],2,FALSE())</f>
        <v>0.2</v>
      </c>
      <c r="X6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t="s">
        <v>446</v>
      </c>
      <c r="AA62" s="21" t="s">
        <v>246</v>
      </c>
      <c r="AB62" s="111"/>
      <c r="AC62" s="40"/>
      <c r="AD62" s="40"/>
      <c r="AE62" s="40"/>
      <c r="AF62" s="95"/>
      <c r="AG62" s="95"/>
      <c r="AH62" s="95"/>
      <c r="AI62" s="95"/>
      <c r="AJ62" s="104"/>
      <c r="AK6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6" t="e">
        <f>(1 - ((1 - VLOOKUP(Table4[[#This Row],[ConfidentialityP]],'Reference - CVSSv3.0'!$B$15:$C$17,2,FALSE())) * (1 - VLOOKUP(Table4[[#This Row],[IntegrityP]],'Reference - CVSSv3.0'!$B$15:$C$17,2,FALSE())) *  (1 - VLOOKUP(Table4[[#This Row],[AvailabilityP]],'Reference - CVSSv3.0'!$B$15:$C$17,2,FALSE()))))</f>
        <v>#N/A</v>
      </c>
      <c r="AM62" s="96" t="e">
        <f>IF(Table4[[#This Row],[ScopeP]]="Unchanged",6.42*Table4[[#This Row],[ISC BaseP]],IF(Table4[[#This Row],[ScopeP]]="Changed",7.52*(Table4[[#This Row],[ISC BaseP]] - 0.029) - 3.25 * POWER(Table4[[#This Row],[ISC BaseP]] - 0.02,15),NA()))</f>
        <v>#N/A</v>
      </c>
      <c r="AN6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40"/>
    </row>
    <row r="63" spans="1:43" ht="183" hidden="1" customHeight="1">
      <c r="A63" s="89">
        <v>59</v>
      </c>
      <c r="B63" s="90" t="s">
        <v>163</v>
      </c>
      <c r="C63" s="100" t="str">
        <f>IF(VLOOKUP(Table4[[#This Row],[T ID]],Table5[#All],5,FALSE())="No","Not in scope",VLOOKUP(Table4[[#This Row],[T ID]],Table5[#All],2,FALSE()))</f>
        <v>Elevation of privilege
(STRID[E])</v>
      </c>
      <c r="D63" s="92" t="s">
        <v>98</v>
      </c>
      <c r="E63" s="100" t="str">
        <f>IF(VLOOKUP(Table4[[#This Row],[V ID]],Vulnerabilities[#All],3,FALSE())="No","Not in scope",VLOOKUP(Table4[[#This Row],[V ID]],Vulnerabilities[#All],2,FALSE()))</f>
        <v>Controlled Use of Administrative Privileges over the network</v>
      </c>
      <c r="F63" s="109" t="s">
        <v>22</v>
      </c>
      <c r="G63" s="100" t="str">
        <f>VLOOKUP(Table4[[#This Row],[A ID]],Assets[#All],3,FALSE())</f>
        <v>Authentication/Authorisation method of all device(s)/app</v>
      </c>
      <c r="H63" s="21" t="s">
        <v>258</v>
      </c>
      <c r="I63" s="161"/>
      <c r="J63" s="94" t="s">
        <v>239</v>
      </c>
      <c r="K63" s="94" t="s">
        <v>239</v>
      </c>
      <c r="L63" s="94" t="s">
        <v>239</v>
      </c>
      <c r="M63" s="95" t="s">
        <v>244</v>
      </c>
      <c r="N63" s="95" t="s">
        <v>239</v>
      </c>
      <c r="O63" s="95" t="s">
        <v>239</v>
      </c>
      <c r="P63" s="95" t="s">
        <v>241</v>
      </c>
      <c r="Q63" s="95" t="s">
        <v>242</v>
      </c>
      <c r="R6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96">
        <f>(1 - ((1 - VLOOKUP(Table4[[#This Row],[Confidentiality]],'Reference - CVSSv3.0'!$B$15:$C$17,2,FALSE())) * (1 - VLOOKUP(Table4[[#This Row],[Integrity]],'Reference - CVSSv3.0'!$B$15:$C$17,2,FALSE())) *  (1 - VLOOKUP(Table4[[#This Row],[Availability]],'Reference - CVSSv3.0'!$B$15:$C$17,2,FALSE()))))</f>
        <v>0.52544799999999992</v>
      </c>
      <c r="T63" s="96">
        <f>IF(Table4[[#This Row],[Scope]]="Unchanged",6.42*Table4[[#This Row],[ISC Base]],IF(Table4[[#This Row],[Scope]]="Changed",7.52*(Table4[[#This Row],[ISC Base]] - 0.029) - 3.25 * POWER(Table4[[#This Row],[ISC Base]] - 0.02,15),NA()))</f>
        <v>3.3733761599999994</v>
      </c>
      <c r="U63"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90" t="s">
        <v>239</v>
      </c>
      <c r="W63" s="96">
        <f>VLOOKUP(Table4[[#This Row],[Threat Event Initiation]],NIST_Scale_LOAI[],2,FALSE())</f>
        <v>0.2</v>
      </c>
      <c r="X6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57" t="s">
        <v>374</v>
      </c>
      <c r="AA63" s="258" t="s">
        <v>384</v>
      </c>
      <c r="AB63" s="111"/>
      <c r="AC63" s="40"/>
      <c r="AD63" s="40"/>
      <c r="AE63" s="40"/>
      <c r="AF63" s="95"/>
      <c r="AG63" s="95"/>
      <c r="AH63" s="95"/>
      <c r="AI63" s="95"/>
      <c r="AJ63" s="104"/>
      <c r="AK6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96" t="e">
        <f>(1 - ((1 - VLOOKUP(Table4[[#This Row],[ConfidentialityP]],'Reference - CVSSv3.0'!$B$15:$C$17,2,FALSE())) * (1 - VLOOKUP(Table4[[#This Row],[IntegrityP]],'Reference - CVSSv3.0'!$B$15:$C$17,2,FALSE())) *  (1 - VLOOKUP(Table4[[#This Row],[AvailabilityP]],'Reference - CVSSv3.0'!$B$15:$C$17,2,FALSE()))))</f>
        <v>#N/A</v>
      </c>
      <c r="AM63" s="96" t="e">
        <f>IF(Table4[[#This Row],[ScopeP]]="Unchanged",6.42*Table4[[#This Row],[ISC BaseP]],IF(Table4[[#This Row],[ScopeP]]="Changed",7.52*(Table4[[#This Row],[ISC BaseP]] - 0.029) - 3.25 * POWER(Table4[[#This Row],[ISC BaseP]] - 0.02,15),NA()))</f>
        <v>#N/A</v>
      </c>
      <c r="AN6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40"/>
    </row>
    <row r="64" spans="1:43" ht="169.5" hidden="1" customHeight="1">
      <c r="A64" s="89">
        <v>60</v>
      </c>
      <c r="B64" s="90" t="s">
        <v>163</v>
      </c>
      <c r="C64" s="100" t="str">
        <f>IF(VLOOKUP(Table4[[#This Row],[T ID]],Table5[#All],5,FALSE())="No","Not in scope",VLOOKUP(Table4[[#This Row],[T ID]],Table5[#All],2,FALSE()))</f>
        <v>Elevation of privilege
(STRID[E])</v>
      </c>
      <c r="D64" s="92" t="s">
        <v>98</v>
      </c>
      <c r="E64" s="100" t="str">
        <f>IF(VLOOKUP(Table4[[#This Row],[V ID]],Vulnerabilities[#All],3,FALSE())="No","Not in scope",VLOOKUP(Table4[[#This Row],[V ID]],Vulnerabilities[#All],2,FALSE()))</f>
        <v>Controlled Use of Administrative Privileges over the network</v>
      </c>
      <c r="F64" s="113" t="s">
        <v>46</v>
      </c>
      <c r="G64" s="100" t="str">
        <f>VLOOKUP(Table4[[#This Row],[A ID]],Assets[#All],3,FALSE())</f>
        <v>Smart medic app (Azure Portal Administrator)</v>
      </c>
      <c r="H64" s="21" t="s">
        <v>258</v>
      </c>
      <c r="I64" s="161"/>
      <c r="J64" s="94" t="s">
        <v>243</v>
      </c>
      <c r="K64" s="94" t="s">
        <v>239</v>
      </c>
      <c r="L64" s="94" t="s">
        <v>248</v>
      </c>
      <c r="M64" s="95" t="s">
        <v>244</v>
      </c>
      <c r="N64" s="95" t="s">
        <v>239</v>
      </c>
      <c r="O64" s="95" t="s">
        <v>248</v>
      </c>
      <c r="P64" s="95" t="s">
        <v>241</v>
      </c>
      <c r="Q64" s="95" t="s">
        <v>242</v>
      </c>
      <c r="R6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6">
        <f>(1 - ((1 - VLOOKUP(Table4[[#This Row],[Confidentiality]],'Reference - CVSSv3.0'!$B$15:$C$17,2,FALSE())) * (1 - VLOOKUP(Table4[[#This Row],[Integrity]],'Reference - CVSSv3.0'!$B$15:$C$17,2,FALSE())) *  (1 - VLOOKUP(Table4[[#This Row],[Availability]],'Reference - CVSSv3.0'!$B$15:$C$17,2,FALSE()))))</f>
        <v>0.65680000000000005</v>
      </c>
      <c r="T64" s="96">
        <f>IF(Table4[[#This Row],[Scope]]="Unchanged",6.42*Table4[[#This Row],[ISC Base]],IF(Table4[[#This Row],[Scope]]="Changed",7.52*(Table4[[#This Row],[ISC Base]] - 0.029) - 3.25 * POWER(Table4[[#This Row],[ISC Base]] - 0.02,15),NA()))</f>
        <v>4.2166560000000004</v>
      </c>
      <c r="U64" s="96">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90" t="s">
        <v>249</v>
      </c>
      <c r="W64" s="96">
        <f>VLOOKUP(Table4[[#This Row],[Threat Event Initiation]],NIST_Scale_LOAI[],2,FALSE())</f>
        <v>0.5</v>
      </c>
      <c r="X6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t="s">
        <v>374</v>
      </c>
      <c r="AA64" s="274" t="s">
        <v>471</v>
      </c>
      <c r="AB64" s="111"/>
      <c r="AC64" s="40"/>
      <c r="AD64" s="40"/>
      <c r="AE64" s="40"/>
      <c r="AF64" s="95"/>
      <c r="AG64" s="95"/>
      <c r="AH64" s="95"/>
      <c r="AI64" s="95"/>
      <c r="AJ64" s="104"/>
      <c r="AK6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6" t="e">
        <f>(1 - ((1 - VLOOKUP(Table4[[#This Row],[ConfidentialityP]],'Reference - CVSSv3.0'!$B$15:$C$17,2,FALSE())) * (1 - VLOOKUP(Table4[[#This Row],[IntegrityP]],'Reference - CVSSv3.0'!$B$15:$C$17,2,FALSE())) *  (1 - VLOOKUP(Table4[[#This Row],[AvailabilityP]],'Reference - CVSSv3.0'!$B$15:$C$17,2,FALSE()))))</f>
        <v>#N/A</v>
      </c>
      <c r="AM64" s="96" t="e">
        <f>IF(Table4[[#This Row],[ScopeP]]="Unchanged",6.42*Table4[[#This Row],[ISC BaseP]],IF(Table4[[#This Row],[ScopeP]]="Changed",7.52*(Table4[[#This Row],[ISC BaseP]] - 0.029) - 3.25 * POWER(Table4[[#This Row],[ISC BaseP]] - 0.02,15),NA()))</f>
        <v>#N/A</v>
      </c>
      <c r="AN6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40"/>
    </row>
    <row r="65" spans="1:43" ht="196" hidden="1">
      <c r="A65" s="89">
        <v>61</v>
      </c>
      <c r="B65" s="90" t="s">
        <v>166</v>
      </c>
      <c r="C65" s="100" t="str">
        <f>IF(VLOOKUP(Table4[[#This Row],[T ID]],Table5[#All],5,FALSE())="No","Not in scope",VLOOKUP(Table4[[#This Row],[T ID]],Table5[#All],2,FALSE()))</f>
        <v>Denial of service
(STRI(D)E)</v>
      </c>
      <c r="D65" s="92" t="s">
        <v>92</v>
      </c>
      <c r="E65" s="100" t="str">
        <f>IF(VLOOKUP(Table4[[#This Row],[V ID]],Vulnerabilities[#All],3,FALSE())="No","Not in scope",VLOOKUP(Table4[[#This Row],[V ID]],Vulnerabilities[#All],2,FALSE()))</f>
        <v>Unprotected network port(s) on network devices and connection points</v>
      </c>
      <c r="F65" s="101" t="s">
        <v>14</v>
      </c>
      <c r="G65" s="100" t="str">
        <f>VLOOKUP(Table4[[#This Row],[A ID]],Assets[#All],3,FALSE())</f>
        <v>Tablet OS/network details &amp; Tablet Application</v>
      </c>
      <c r="H65" s="21" t="s">
        <v>259</v>
      </c>
      <c r="I65" s="161"/>
      <c r="J65" s="94" t="s">
        <v>243</v>
      </c>
      <c r="K65" s="94" t="s">
        <v>243</v>
      </c>
      <c r="L65" s="94" t="s">
        <v>248</v>
      </c>
      <c r="M65" s="95" t="s">
        <v>244</v>
      </c>
      <c r="N65" s="95" t="s">
        <v>239</v>
      </c>
      <c r="O65" s="95" t="s">
        <v>239</v>
      </c>
      <c r="P65" s="95" t="s">
        <v>243</v>
      </c>
      <c r="Q65" s="95" t="s">
        <v>242</v>
      </c>
      <c r="R6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6">
        <f>(1 - ((1 - VLOOKUP(Table4[[#This Row],[Confidentiality]],'Reference - CVSSv3.0'!$B$15:$C$17,2,FALSE())) * (1 - VLOOKUP(Table4[[#This Row],[Integrity]],'Reference - CVSSv3.0'!$B$15:$C$17,2,FALSE())) *  (1 - VLOOKUP(Table4[[#This Row],[Availability]],'Reference - CVSSv3.0'!$B$15:$C$17,2,FALSE()))))</f>
        <v>0.56000000000000005</v>
      </c>
      <c r="T65" s="96">
        <f>IF(Table4[[#This Row],[Scope]]="Unchanged",6.42*Table4[[#This Row],[ISC Base]],IF(Table4[[#This Row],[Scope]]="Changed",7.52*(Table4[[#This Row],[ISC Base]] - 0.029) - 3.25 * POWER(Table4[[#This Row],[ISC Base]] - 0.02,15),NA()))</f>
        <v>3.5952000000000002</v>
      </c>
      <c r="U65" s="96">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90" t="s">
        <v>239</v>
      </c>
      <c r="W65" s="96">
        <f>VLOOKUP(Table4[[#This Row],[Threat Event Initiation]],NIST_Scale_LOAI[],2,FALSE())</f>
        <v>0.2</v>
      </c>
      <c r="X6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t="s">
        <v>441</v>
      </c>
      <c r="AA65" s="21" t="s">
        <v>246</v>
      </c>
      <c r="AB65" s="111"/>
      <c r="AC65" s="40"/>
      <c r="AD65" s="40"/>
      <c r="AE65" s="40"/>
      <c r="AF65" s="95"/>
      <c r="AG65" s="95"/>
      <c r="AH65" s="95"/>
      <c r="AI65" s="95"/>
      <c r="AJ65" s="104"/>
      <c r="AK6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6" t="e">
        <f>(1 - ((1 - VLOOKUP(Table4[[#This Row],[ConfidentialityP]],'Reference - CVSSv3.0'!$B$15:$C$17,2,FALSE())) * (1 - VLOOKUP(Table4[[#This Row],[IntegrityP]],'Reference - CVSSv3.0'!$B$15:$C$17,2,FALSE())) *  (1 - VLOOKUP(Table4[[#This Row],[AvailabilityP]],'Reference - CVSSv3.0'!$B$15:$C$17,2,FALSE()))))</f>
        <v>#N/A</v>
      </c>
      <c r="AM65" s="96" t="e">
        <f>IF(Table4[[#This Row],[ScopeP]]="Unchanged",6.42*Table4[[#This Row],[ISC BaseP]],IF(Table4[[#This Row],[ScopeP]]="Changed",7.52*(Table4[[#This Row],[ISC BaseP]] - 0.029) - 3.25 * POWER(Table4[[#This Row],[ISC BaseP]] - 0.02,15),NA()))</f>
        <v>#N/A</v>
      </c>
      <c r="AN6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40"/>
    </row>
    <row r="66" spans="1:43" ht="409.5" hidden="1">
      <c r="A66" s="89">
        <v>62</v>
      </c>
      <c r="B66" s="90" t="s">
        <v>169</v>
      </c>
      <c r="C66" s="100" t="str">
        <f>IF(VLOOKUP(Table4[[#This Row],[T ID]],Table5[#All],5,FALSE())="No","Not in scope",VLOOKUP(Table4[[#This Row],[T ID]],Table5[#All],2,FALSE()))</f>
        <v>Information disclosure
(STR(I)DE)</v>
      </c>
      <c r="D66" s="92" t="s">
        <v>101</v>
      </c>
      <c r="E66" s="100" t="str">
        <f>IF(VLOOKUP(Table4[[#This Row],[V ID]],Vulnerabilities[#All],3,FALSE())="No","Not in scope",VLOOKUP(Table4[[#This Row],[V ID]],Vulnerabilities[#All],2,FALSE()))</f>
        <v>Unencrypted data at rest in all possible locations</v>
      </c>
      <c r="F66" s="14" t="s">
        <v>37</v>
      </c>
      <c r="G66" s="100" t="str">
        <f>VLOOKUP(Table4[[#This Row],[A ID]],Assets[#All],3,FALSE())</f>
        <v>Data at Rest</v>
      </c>
      <c r="H66" s="21" t="s">
        <v>260</v>
      </c>
      <c r="I66" s="161"/>
      <c r="J66" s="94" t="s">
        <v>239</v>
      </c>
      <c r="K66" s="94" t="s">
        <v>239</v>
      </c>
      <c r="L66" s="94" t="s">
        <v>239</v>
      </c>
      <c r="M66" s="95" t="s">
        <v>247</v>
      </c>
      <c r="N66" s="95" t="s">
        <v>248</v>
      </c>
      <c r="O66" s="95" t="s">
        <v>248</v>
      </c>
      <c r="P66" s="95" t="s">
        <v>243</v>
      </c>
      <c r="Q66" s="95" t="s">
        <v>242</v>
      </c>
      <c r="R6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6">
        <f>(1 - ((1 - VLOOKUP(Table4[[#This Row],[Confidentiality]],'Reference - CVSSv3.0'!$B$15:$C$17,2,FALSE())) * (1 - VLOOKUP(Table4[[#This Row],[Integrity]],'Reference - CVSSv3.0'!$B$15:$C$17,2,FALSE())) *  (1 - VLOOKUP(Table4[[#This Row],[Availability]],'Reference - CVSSv3.0'!$B$15:$C$17,2,FALSE()))))</f>
        <v>0.52544799999999992</v>
      </c>
      <c r="T66" s="96">
        <f>IF(Table4[[#This Row],[Scope]]="Unchanged",6.42*Table4[[#This Row],[ISC Base]],IF(Table4[[#This Row],[Scope]]="Changed",7.52*(Table4[[#This Row],[ISC Base]] - 0.029) - 3.25 * POWER(Table4[[#This Row],[ISC Base]] - 0.02,15),NA()))</f>
        <v>3.3733761599999994</v>
      </c>
      <c r="U66"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90" t="s">
        <v>249</v>
      </c>
      <c r="W66" s="96">
        <f>VLOOKUP(Table4[[#This Row],[Threat Event Initiation]],NIST_Scale_LOAI[],2,FALSE())</f>
        <v>0.5</v>
      </c>
      <c r="X6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57" t="s">
        <v>391</v>
      </c>
      <c r="AA66" s="250" t="s">
        <v>392</v>
      </c>
      <c r="AB66" s="111"/>
      <c r="AC66" s="40"/>
      <c r="AD66" s="40"/>
      <c r="AE66" s="40"/>
      <c r="AF66" s="95"/>
      <c r="AG66" s="95"/>
      <c r="AH66" s="95"/>
      <c r="AI66" s="95"/>
      <c r="AJ66" s="104"/>
      <c r="AK6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6" t="e">
        <f>(1 - ((1 - VLOOKUP(Table4[[#This Row],[ConfidentialityP]],'Reference - CVSSv3.0'!$B$15:$C$17,2,FALSE())) * (1 - VLOOKUP(Table4[[#This Row],[IntegrityP]],'Reference - CVSSv3.0'!$B$15:$C$17,2,FALSE())) *  (1 - VLOOKUP(Table4[[#This Row],[AvailabilityP]],'Reference - CVSSv3.0'!$B$15:$C$17,2,FALSE()))))</f>
        <v>#N/A</v>
      </c>
      <c r="AM66" s="96" t="e">
        <f>IF(Table4[[#This Row],[ScopeP]]="Unchanged",6.42*Table4[[#This Row],[ISC BaseP]],IF(Table4[[#This Row],[ScopeP]]="Changed",7.52*(Table4[[#This Row],[ISC BaseP]] - 0.029) - 3.25 * POWER(Table4[[#This Row],[ISC BaseP]] - 0.02,15),NA()))</f>
        <v>#N/A</v>
      </c>
      <c r="AN6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40"/>
    </row>
    <row r="67" spans="1:43" ht="409.5" hidden="1">
      <c r="A67" s="89">
        <v>63</v>
      </c>
      <c r="B67" s="90" t="s">
        <v>169</v>
      </c>
      <c r="C67" s="100" t="str">
        <f>IF(VLOOKUP(Table4[[#This Row],[T ID]],Table5[#All],5,FALSE())="No","Not in scope",VLOOKUP(Table4[[#This Row],[T ID]],Table5[#All],2,FALSE()))</f>
        <v>Information disclosure
(STR(I)DE)</v>
      </c>
      <c r="D67" s="92" t="s">
        <v>103</v>
      </c>
      <c r="E67" s="100" t="str">
        <f>IF(VLOOKUP(Table4[[#This Row],[V ID]],Vulnerabilities[#All],3,FALSE())="No","Not in scope",VLOOKUP(Table4[[#This Row],[V ID]],Vulnerabilities[#All],2,FALSE()))</f>
        <v>Unencrypted data in transit in all flowchannels</v>
      </c>
      <c r="F67" s="14" t="s">
        <v>40</v>
      </c>
      <c r="G67" s="100" t="str">
        <f>VLOOKUP(Table4[[#This Row],[A ID]],Assets[#All],3,FALSE())</f>
        <v>Data in Transit</v>
      </c>
      <c r="H67" s="21" t="s">
        <v>260</v>
      </c>
      <c r="I67" s="161"/>
      <c r="J67" s="94" t="s">
        <v>239</v>
      </c>
      <c r="K67" s="94" t="s">
        <v>243</v>
      </c>
      <c r="L67" s="94" t="s">
        <v>239</v>
      </c>
      <c r="M67" s="95" t="s">
        <v>244</v>
      </c>
      <c r="N67" s="95" t="s">
        <v>248</v>
      </c>
      <c r="O67" s="95" t="s">
        <v>239</v>
      </c>
      <c r="P67" s="95" t="s">
        <v>243</v>
      </c>
      <c r="Q67" s="95" t="s">
        <v>242</v>
      </c>
      <c r="R6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6">
        <f>(1 - ((1 - VLOOKUP(Table4[[#This Row],[Confidentiality]],'Reference - CVSSv3.0'!$B$15:$C$17,2,FALSE())) * (1 - VLOOKUP(Table4[[#This Row],[Integrity]],'Reference - CVSSv3.0'!$B$15:$C$17,2,FALSE())) *  (1 - VLOOKUP(Table4[[#This Row],[Availability]],'Reference - CVSSv3.0'!$B$15:$C$17,2,FALSE()))))</f>
        <v>0.39159999999999995</v>
      </c>
      <c r="T67" s="96">
        <f>IF(Table4[[#This Row],[Scope]]="Unchanged",6.42*Table4[[#This Row],[ISC Base]],IF(Table4[[#This Row],[Scope]]="Changed",7.52*(Table4[[#This Row],[ISC Base]] - 0.029) - 3.25 * POWER(Table4[[#This Row],[ISC Base]] - 0.02,15),NA()))</f>
        <v>2.5140719999999996</v>
      </c>
      <c r="U67"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90" t="s">
        <v>249</v>
      </c>
      <c r="W67" s="96">
        <f>VLOOKUP(Table4[[#This Row],[Threat Event Initiation]],NIST_Scale_LOAI[],2,FALSE())</f>
        <v>0.5</v>
      </c>
      <c r="X6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t="s">
        <v>372</v>
      </c>
      <c r="AA67" s="251" t="s">
        <v>366</v>
      </c>
      <c r="AB67" s="111"/>
      <c r="AC67" s="40"/>
      <c r="AD67" s="40"/>
      <c r="AE67" s="40"/>
      <c r="AF67" s="95"/>
      <c r="AG67" s="95"/>
      <c r="AH67" s="95"/>
      <c r="AI67" s="95"/>
      <c r="AJ67" s="104"/>
      <c r="AK6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6" t="e">
        <f>(1 - ((1 - VLOOKUP(Table4[[#This Row],[ConfidentialityP]],'Reference - CVSSv3.0'!$B$15:$C$17,2,FALSE())) * (1 - VLOOKUP(Table4[[#This Row],[IntegrityP]],'Reference - CVSSv3.0'!$B$15:$C$17,2,FALSE())) *  (1 - VLOOKUP(Table4[[#This Row],[AvailabilityP]],'Reference - CVSSv3.0'!$B$15:$C$17,2,FALSE()))))</f>
        <v>#N/A</v>
      </c>
      <c r="AM67" s="96" t="e">
        <f>IF(Table4[[#This Row],[ScopeP]]="Unchanged",6.42*Table4[[#This Row],[ISC BaseP]],IF(Table4[[#This Row],[ScopeP]]="Changed",7.52*(Table4[[#This Row],[ISC BaseP]] - 0.029) - 3.25 * POWER(Table4[[#This Row],[ISC BaseP]] - 0.02,15),NA()))</f>
        <v>#N/A</v>
      </c>
      <c r="AN6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40"/>
    </row>
    <row r="68" spans="1:43" ht="406" hidden="1">
      <c r="A68" s="89">
        <v>64</v>
      </c>
      <c r="B68" s="90" t="s">
        <v>169</v>
      </c>
      <c r="C68" s="100" t="str">
        <f>IF(VLOOKUP(Table4[[#This Row],[T ID]],Table5[#All],5,FALSE())="No","Not in scope",VLOOKUP(Table4[[#This Row],[T ID]],Table5[#All],2,FALSE()))</f>
        <v>Information disclosure
(STR(I)DE)</v>
      </c>
      <c r="D68" s="92" t="s">
        <v>105</v>
      </c>
      <c r="E68" s="100" t="str">
        <f>IF(VLOOKUP(Table4[[#This Row],[V ID]],Vulnerabilities[#All],3,FALSE())="No","Not in scope",VLOOKUP(Table4[[#This Row],[V ID]],Vulnerabilities[#All],2,FALSE()))</f>
        <v>Weak Encryption Implementaion in data at rest and in transit tactical and design wise</v>
      </c>
      <c r="F68" s="14" t="s">
        <v>37</v>
      </c>
      <c r="G68" s="100" t="str">
        <f>VLOOKUP(Table4[[#This Row],[A ID]],Assets[#All],3,FALSE())</f>
        <v>Data at Rest</v>
      </c>
      <c r="H68" s="21" t="s">
        <v>260</v>
      </c>
      <c r="I68" s="161"/>
      <c r="J68" s="94" t="s">
        <v>239</v>
      </c>
      <c r="K68" s="94" t="s">
        <v>239</v>
      </c>
      <c r="L68" s="94" t="s">
        <v>239</v>
      </c>
      <c r="M68" s="95" t="s">
        <v>247</v>
      </c>
      <c r="N68" s="95" t="s">
        <v>248</v>
      </c>
      <c r="O68" s="95" t="s">
        <v>248</v>
      </c>
      <c r="P68" s="95" t="s">
        <v>243</v>
      </c>
      <c r="Q68" s="95" t="s">
        <v>242</v>
      </c>
      <c r="R6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6">
        <f>(1 - ((1 - VLOOKUP(Table4[[#This Row],[Confidentiality]],'Reference - CVSSv3.0'!$B$15:$C$17,2,FALSE())) * (1 - VLOOKUP(Table4[[#This Row],[Integrity]],'Reference - CVSSv3.0'!$B$15:$C$17,2,FALSE())) *  (1 - VLOOKUP(Table4[[#This Row],[Availability]],'Reference - CVSSv3.0'!$B$15:$C$17,2,FALSE()))))</f>
        <v>0.52544799999999992</v>
      </c>
      <c r="T68" s="96">
        <f>IF(Table4[[#This Row],[Scope]]="Unchanged",6.42*Table4[[#This Row],[ISC Base]],IF(Table4[[#This Row],[Scope]]="Changed",7.52*(Table4[[#This Row],[ISC Base]] - 0.029) - 3.25 * POWER(Table4[[#This Row],[ISC Base]] - 0.02,15),NA()))</f>
        <v>3.3733761599999994</v>
      </c>
      <c r="U68"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90" t="s">
        <v>249</v>
      </c>
      <c r="W68" s="96">
        <f>VLOOKUP(Table4[[#This Row],[Threat Event Initiation]],NIST_Scale_LOAI[],2,FALSE())</f>
        <v>0.5</v>
      </c>
      <c r="X6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56" t="s">
        <v>385</v>
      </c>
      <c r="AA68" s="114" t="s">
        <v>435</v>
      </c>
      <c r="AB68" s="111"/>
      <c r="AC68" s="40"/>
      <c r="AD68" s="40"/>
      <c r="AE68" s="40"/>
      <c r="AF68" s="95"/>
      <c r="AG68" s="95"/>
      <c r="AH68" s="95"/>
      <c r="AI68" s="95"/>
      <c r="AJ68" s="104"/>
      <c r="AK6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6" t="e">
        <f>(1 - ((1 - VLOOKUP(Table4[[#This Row],[ConfidentialityP]],'Reference - CVSSv3.0'!$B$15:$C$17,2,FALSE())) * (1 - VLOOKUP(Table4[[#This Row],[IntegrityP]],'Reference - CVSSv3.0'!$B$15:$C$17,2,FALSE())) *  (1 - VLOOKUP(Table4[[#This Row],[AvailabilityP]],'Reference - CVSSv3.0'!$B$15:$C$17,2,FALSE()))))</f>
        <v>#N/A</v>
      </c>
      <c r="AM68" s="96" t="e">
        <f>IF(Table4[[#This Row],[ScopeP]]="Unchanged",6.42*Table4[[#This Row],[ISC BaseP]],IF(Table4[[#This Row],[ScopeP]]="Changed",7.52*(Table4[[#This Row],[ISC BaseP]] - 0.029) - 3.25 * POWER(Table4[[#This Row],[ISC BaseP]] - 0.02,15),NA()))</f>
        <v>#N/A</v>
      </c>
      <c r="AN6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40"/>
    </row>
    <row r="69" spans="1:43" ht="182" hidden="1">
      <c r="A69" s="89">
        <v>65</v>
      </c>
      <c r="B69" s="90" t="s">
        <v>169</v>
      </c>
      <c r="C69" s="100" t="str">
        <f>IF(VLOOKUP(Table4[[#This Row],[T ID]],Table5[#All],5,FALSE())="No","Not in scope",VLOOKUP(Table4[[#This Row],[T ID]],Table5[#All],2,FALSE()))</f>
        <v>Information disclosure
(STR(I)DE)</v>
      </c>
      <c r="D69" s="92" t="s">
        <v>105</v>
      </c>
      <c r="E69" s="100" t="str">
        <f>IF(VLOOKUP(Table4[[#This Row],[V ID]],Vulnerabilities[#All],3,FALSE())="No","Not in scope",VLOOKUP(Table4[[#This Row],[V ID]],Vulnerabilities[#All],2,FALSE()))</f>
        <v>Weak Encryption Implementaion in data at rest and in transit tactical and design wise</v>
      </c>
      <c r="F69" s="14" t="s">
        <v>40</v>
      </c>
      <c r="G69" s="100" t="str">
        <f>VLOOKUP(Table4[[#This Row],[A ID]],Assets[#All],3,FALSE())</f>
        <v>Data in Transit</v>
      </c>
      <c r="H69" s="21" t="s">
        <v>260</v>
      </c>
      <c r="I69" s="161"/>
      <c r="J69" s="94" t="s">
        <v>239</v>
      </c>
      <c r="K69" s="94" t="s">
        <v>243</v>
      </c>
      <c r="L69" s="94" t="s">
        <v>239</v>
      </c>
      <c r="M69" s="95" t="s">
        <v>244</v>
      </c>
      <c r="N69" s="95" t="s">
        <v>248</v>
      </c>
      <c r="O69" s="95" t="s">
        <v>239</v>
      </c>
      <c r="P69" s="95" t="s">
        <v>243</v>
      </c>
      <c r="Q69" s="95" t="s">
        <v>242</v>
      </c>
      <c r="R6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6">
        <f>(1 - ((1 - VLOOKUP(Table4[[#This Row],[Confidentiality]],'Reference - CVSSv3.0'!$B$15:$C$17,2,FALSE())) * (1 - VLOOKUP(Table4[[#This Row],[Integrity]],'Reference - CVSSv3.0'!$B$15:$C$17,2,FALSE())) *  (1 - VLOOKUP(Table4[[#This Row],[Availability]],'Reference - CVSSv3.0'!$B$15:$C$17,2,FALSE()))))</f>
        <v>0.39159999999999995</v>
      </c>
      <c r="T69" s="96">
        <f>IF(Table4[[#This Row],[Scope]]="Unchanged",6.42*Table4[[#This Row],[ISC Base]],IF(Table4[[#This Row],[Scope]]="Changed",7.52*(Table4[[#This Row],[ISC Base]] - 0.029) - 3.25 * POWER(Table4[[#This Row],[ISC Base]] - 0.02,15),NA()))</f>
        <v>2.5140719999999996</v>
      </c>
      <c r="U69"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90" t="s">
        <v>249</v>
      </c>
      <c r="W69" s="96">
        <f>VLOOKUP(Table4[[#This Row],[Threat Event Initiation]],NIST_Scale_LOAI[],2,FALSE())</f>
        <v>0.5</v>
      </c>
      <c r="X6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14" t="s">
        <v>261</v>
      </c>
      <c r="AA69" s="21" t="s">
        <v>262</v>
      </c>
      <c r="AB69" s="111"/>
      <c r="AC69" s="40"/>
      <c r="AD69" s="40"/>
      <c r="AE69" s="40"/>
      <c r="AF69" s="95"/>
      <c r="AG69" s="95"/>
      <c r="AH69" s="95"/>
      <c r="AI69" s="95"/>
      <c r="AJ69" s="104"/>
      <c r="AK6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6" t="e">
        <f>(1 - ((1 - VLOOKUP(Table4[[#This Row],[ConfidentialityP]],'Reference - CVSSv3.0'!$B$15:$C$17,2,FALSE())) * (1 - VLOOKUP(Table4[[#This Row],[IntegrityP]],'Reference - CVSSv3.0'!$B$15:$C$17,2,FALSE())) *  (1 - VLOOKUP(Table4[[#This Row],[AvailabilityP]],'Reference - CVSSv3.0'!$B$15:$C$17,2,FALSE()))))</f>
        <v>#N/A</v>
      </c>
      <c r="AM69" s="96" t="e">
        <f>IF(Table4[[#This Row],[ScopeP]]="Unchanged",6.42*Table4[[#This Row],[ISC BaseP]],IF(Table4[[#This Row],[ScopeP]]="Changed",7.52*(Table4[[#This Row],[ISC BaseP]] - 0.029) - 3.25 * POWER(Table4[[#This Row],[ISC BaseP]] - 0.02,15),NA()))</f>
        <v>#N/A</v>
      </c>
      <c r="AN6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40"/>
    </row>
    <row r="70" spans="1:43" ht="140" hidden="1">
      <c r="A70" s="89">
        <v>66</v>
      </c>
      <c r="B70" s="90" t="s">
        <v>169</v>
      </c>
      <c r="C70" s="100" t="str">
        <f>IF(VLOOKUP(Table4[[#This Row],[T ID]],Table5[#All],5,FALSE())="No","Not in scope",VLOOKUP(Table4[[#This Row],[T ID]],Table5[#All],2,FALSE()))</f>
        <v>Information disclosure
(STR(I)DE)</v>
      </c>
      <c r="D70" s="92" t="s">
        <v>107</v>
      </c>
      <c r="E70" s="100" t="str">
        <f>IF(VLOOKUP(Table4[[#This Row],[V ID]],Vulnerabilities[#All],3,FALSE())="No","Not in scope",VLOOKUP(Table4[[#This Row],[V ID]],Vulnerabilities[#All],2,FALSE()))</f>
        <v>Weak Algorthim implementation with respect cipher key size</v>
      </c>
      <c r="F70" s="14" t="s">
        <v>37</v>
      </c>
      <c r="G70" s="100" t="str">
        <f>VLOOKUP(Table4[[#This Row],[A ID]],Assets[#All],3,FALSE())</f>
        <v>Data at Rest</v>
      </c>
      <c r="H70" s="21" t="s">
        <v>260</v>
      </c>
      <c r="I70" s="161"/>
      <c r="J70" s="94" t="s">
        <v>239</v>
      </c>
      <c r="K70" s="94" t="s">
        <v>239</v>
      </c>
      <c r="L70" s="94" t="s">
        <v>239</v>
      </c>
      <c r="M70" s="95" t="s">
        <v>247</v>
      </c>
      <c r="N70" s="95" t="s">
        <v>248</v>
      </c>
      <c r="O70" s="95" t="s">
        <v>248</v>
      </c>
      <c r="P70" s="95" t="s">
        <v>243</v>
      </c>
      <c r="Q70" s="95" t="s">
        <v>242</v>
      </c>
      <c r="R7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96">
        <f>(1 - ((1 - VLOOKUP(Table4[[#This Row],[Confidentiality]],'Reference - CVSSv3.0'!$B$15:$C$17,2,FALSE())) * (1 - VLOOKUP(Table4[[#This Row],[Integrity]],'Reference - CVSSv3.0'!$B$15:$C$17,2,FALSE())) *  (1 - VLOOKUP(Table4[[#This Row],[Availability]],'Reference - CVSSv3.0'!$B$15:$C$17,2,FALSE()))))</f>
        <v>0.52544799999999992</v>
      </c>
      <c r="T70" s="96">
        <f>IF(Table4[[#This Row],[Scope]]="Unchanged",6.42*Table4[[#This Row],[ISC Base]],IF(Table4[[#This Row],[Scope]]="Changed",7.52*(Table4[[#This Row],[ISC Base]] - 0.029) - 3.25 * POWER(Table4[[#This Row],[ISC Base]] - 0.02,15),NA()))</f>
        <v>3.3733761599999994</v>
      </c>
      <c r="U70"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90" t="s">
        <v>249</v>
      </c>
      <c r="W70" s="96">
        <f>VLOOKUP(Table4[[#This Row],[Threat Event Initiation]],NIST_Scale_LOAI[],2,FALSE())</f>
        <v>0.5</v>
      </c>
      <c r="X7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1" t="s">
        <v>263</v>
      </c>
      <c r="AA70" s="251" t="s">
        <v>367</v>
      </c>
      <c r="AB70" s="111"/>
      <c r="AC70" s="40"/>
      <c r="AD70" s="40"/>
      <c r="AE70" s="40"/>
      <c r="AF70" s="95"/>
      <c r="AG70" s="95"/>
      <c r="AH70" s="95"/>
      <c r="AI70" s="95"/>
      <c r="AJ70" s="104"/>
      <c r="AK7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96" t="e">
        <f>(1 - ((1 - VLOOKUP(Table4[[#This Row],[ConfidentialityP]],'Reference - CVSSv3.0'!$B$15:$C$17,2,FALSE())) * (1 - VLOOKUP(Table4[[#This Row],[IntegrityP]],'Reference - CVSSv3.0'!$B$15:$C$17,2,FALSE())) *  (1 - VLOOKUP(Table4[[#This Row],[AvailabilityP]],'Reference - CVSSv3.0'!$B$15:$C$17,2,FALSE()))))</f>
        <v>#N/A</v>
      </c>
      <c r="AM70" s="96" t="e">
        <f>IF(Table4[[#This Row],[ScopeP]]="Unchanged",6.42*Table4[[#This Row],[ISC BaseP]],IF(Table4[[#This Row],[ScopeP]]="Changed",7.52*(Table4[[#This Row],[ISC BaseP]] - 0.029) - 3.25 * POWER(Table4[[#This Row],[ISC BaseP]] - 0.02,15),NA()))</f>
        <v>#N/A</v>
      </c>
      <c r="AN7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40"/>
    </row>
    <row r="71" spans="1:43" ht="140" hidden="1">
      <c r="A71" s="89">
        <v>67</v>
      </c>
      <c r="B71" s="90" t="s">
        <v>169</v>
      </c>
      <c r="C71" s="100" t="str">
        <f>IF(VLOOKUP(Table4[[#This Row],[T ID]],Table5[#All],5,FALSE())="No","Not in scope",VLOOKUP(Table4[[#This Row],[T ID]],Table5[#All],2,FALSE()))</f>
        <v>Information disclosure
(STR(I)DE)</v>
      </c>
      <c r="D71" s="92" t="s">
        <v>107</v>
      </c>
      <c r="E71" s="100" t="str">
        <f>IF(VLOOKUP(Table4[[#This Row],[V ID]],Vulnerabilities[#All],3,FALSE())="No","Not in scope",VLOOKUP(Table4[[#This Row],[V ID]],Vulnerabilities[#All],2,FALSE()))</f>
        <v>Weak Algorthim implementation with respect cipher key size</v>
      </c>
      <c r="F71" s="14" t="s">
        <v>40</v>
      </c>
      <c r="G71" s="100" t="str">
        <f>VLOOKUP(Table4[[#This Row],[A ID]],Assets[#All],3,FALSE())</f>
        <v>Data in Transit</v>
      </c>
      <c r="H71" s="21" t="s">
        <v>260</v>
      </c>
      <c r="I71" s="161"/>
      <c r="J71" s="94" t="s">
        <v>239</v>
      </c>
      <c r="K71" s="94" t="s">
        <v>243</v>
      </c>
      <c r="L71" s="94" t="s">
        <v>239</v>
      </c>
      <c r="M71" s="95" t="s">
        <v>244</v>
      </c>
      <c r="N71" s="95" t="s">
        <v>248</v>
      </c>
      <c r="O71" s="95" t="s">
        <v>239</v>
      </c>
      <c r="P71" s="95" t="s">
        <v>243</v>
      </c>
      <c r="Q71" s="95" t="s">
        <v>242</v>
      </c>
      <c r="R7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96">
        <f>(1 - ((1 - VLOOKUP(Table4[[#This Row],[Confidentiality]],'Reference - CVSSv3.0'!$B$15:$C$17,2,FALSE())) * (1 - VLOOKUP(Table4[[#This Row],[Integrity]],'Reference - CVSSv3.0'!$B$15:$C$17,2,FALSE())) *  (1 - VLOOKUP(Table4[[#This Row],[Availability]],'Reference - CVSSv3.0'!$B$15:$C$17,2,FALSE()))))</f>
        <v>0.39159999999999995</v>
      </c>
      <c r="T71" s="96">
        <f>IF(Table4[[#This Row],[Scope]]="Unchanged",6.42*Table4[[#This Row],[ISC Base]],IF(Table4[[#This Row],[Scope]]="Changed",7.52*(Table4[[#This Row],[ISC Base]] - 0.029) - 3.25 * POWER(Table4[[#This Row],[ISC Base]] - 0.02,15),NA()))</f>
        <v>2.5140719999999996</v>
      </c>
      <c r="U71"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90" t="s">
        <v>249</v>
      </c>
      <c r="W71" s="96">
        <f>VLOOKUP(Table4[[#This Row],[Threat Event Initiation]],NIST_Scale_LOAI[],2,FALSE())</f>
        <v>0.5</v>
      </c>
      <c r="X7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1" t="s">
        <v>263</v>
      </c>
      <c r="AA71" s="251" t="s">
        <v>367</v>
      </c>
      <c r="AB71" s="111"/>
      <c r="AC71" s="40"/>
      <c r="AD71" s="40"/>
      <c r="AE71" s="40"/>
      <c r="AF71" s="95"/>
      <c r="AG71" s="95"/>
      <c r="AH71" s="95"/>
      <c r="AI71" s="95"/>
      <c r="AJ71" s="104"/>
      <c r="AK7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96" t="e">
        <f>(1 - ((1 - VLOOKUP(Table4[[#This Row],[ConfidentialityP]],'Reference - CVSSv3.0'!$B$15:$C$17,2,FALSE())) * (1 - VLOOKUP(Table4[[#This Row],[IntegrityP]],'Reference - CVSSv3.0'!$B$15:$C$17,2,FALSE())) *  (1 - VLOOKUP(Table4[[#This Row],[AvailabilityP]],'Reference - CVSSv3.0'!$B$15:$C$17,2,FALSE()))))</f>
        <v>#N/A</v>
      </c>
      <c r="AM71" s="96" t="e">
        <f>IF(Table4[[#This Row],[ScopeP]]="Unchanged",6.42*Table4[[#This Row],[ISC BaseP]],IF(Table4[[#This Row],[ScopeP]]="Changed",7.52*(Table4[[#This Row],[ISC BaseP]] - 0.029) - 3.25 * POWER(Table4[[#This Row],[ISC BaseP]] - 0.02,15),NA()))</f>
        <v>#N/A</v>
      </c>
      <c r="AN7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40"/>
    </row>
    <row r="72" spans="1:43" ht="182" hidden="1">
      <c r="A72" s="89">
        <v>68</v>
      </c>
      <c r="B72" s="90" t="s">
        <v>169</v>
      </c>
      <c r="C72" s="100" t="str">
        <f>IF(VLOOKUP(Table4[[#This Row],[T ID]],Table5[#All],5,FALSE())="No","Not in scope",VLOOKUP(Table4[[#This Row],[T ID]],Table5[#All],2,FALSE()))</f>
        <v>Information disclosure
(STR(I)DE)</v>
      </c>
      <c r="D72" s="92" t="s">
        <v>112</v>
      </c>
      <c r="E72" s="100" t="str">
        <f>IF(VLOOKUP(Table4[[#This Row],[V ID]],Vulnerabilities[#All],3,FALSE())="No","Not in scope",VLOOKUP(Table4[[#This Row],[V ID]],Vulnerabilities[#All],2,FALSE()))</f>
        <v>InSecure Configuration for Software/OS on Mobile Devices, Laptops, Workstations, and Servers</v>
      </c>
      <c r="F72" s="101" t="s">
        <v>10</v>
      </c>
      <c r="G72" s="100" t="str">
        <f>VLOOKUP(Table4[[#This Row],[A ID]],Assets[#All],3,FALSE())</f>
        <v>Tablet Resources - web cam, microphone, OTG devices, Removable USB, Tablet Application, Network interfaces (Bluetooth, Wifi)</v>
      </c>
      <c r="H72" s="21" t="s">
        <v>260</v>
      </c>
      <c r="I72" s="161"/>
      <c r="J72" s="94" t="s">
        <v>239</v>
      </c>
      <c r="K72" s="94" t="s">
        <v>239</v>
      </c>
      <c r="L72" s="94" t="s">
        <v>239</v>
      </c>
      <c r="M72" s="95" t="s">
        <v>244</v>
      </c>
      <c r="N72" s="95" t="s">
        <v>248</v>
      </c>
      <c r="O72" s="95" t="s">
        <v>248</v>
      </c>
      <c r="P72" s="95" t="s">
        <v>243</v>
      </c>
      <c r="Q72" s="95" t="s">
        <v>242</v>
      </c>
      <c r="R7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6">
        <f>(1 - ((1 - VLOOKUP(Table4[[#This Row],[Confidentiality]],'Reference - CVSSv3.0'!$B$15:$C$17,2,FALSE())) * (1 - VLOOKUP(Table4[[#This Row],[Integrity]],'Reference - CVSSv3.0'!$B$15:$C$17,2,FALSE())) *  (1 - VLOOKUP(Table4[[#This Row],[Availability]],'Reference - CVSSv3.0'!$B$15:$C$17,2,FALSE()))))</f>
        <v>0.52544799999999992</v>
      </c>
      <c r="T72" s="96">
        <f>IF(Table4[[#This Row],[Scope]]="Unchanged",6.42*Table4[[#This Row],[ISC Base]],IF(Table4[[#This Row],[Scope]]="Changed",7.52*(Table4[[#This Row],[ISC Base]] - 0.029) - 3.25 * POWER(Table4[[#This Row],[ISC Base]] - 0.02,15),NA()))</f>
        <v>3.3733761599999994</v>
      </c>
      <c r="U7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90" t="s">
        <v>249</v>
      </c>
      <c r="W72" s="96">
        <f>VLOOKUP(Table4[[#This Row],[Threat Event Initiation]],NIST_Scale_LOAI[],2,FALSE())</f>
        <v>0.5</v>
      </c>
      <c r="X7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t="s">
        <v>450</v>
      </c>
      <c r="AA72" s="21" t="s">
        <v>380</v>
      </c>
      <c r="AB72" s="111"/>
      <c r="AC72" s="40"/>
      <c r="AD72" s="40"/>
      <c r="AE72" s="40"/>
      <c r="AF72" s="95"/>
      <c r="AG72" s="95"/>
      <c r="AH72" s="95"/>
      <c r="AI72" s="95"/>
      <c r="AJ72" s="104"/>
      <c r="AK7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6" t="e">
        <f>(1 - ((1 - VLOOKUP(Table4[[#This Row],[ConfidentialityP]],'Reference - CVSSv3.0'!$B$15:$C$17,2,FALSE())) * (1 - VLOOKUP(Table4[[#This Row],[IntegrityP]],'Reference - CVSSv3.0'!$B$15:$C$17,2,FALSE())) *  (1 - VLOOKUP(Table4[[#This Row],[AvailabilityP]],'Reference - CVSSv3.0'!$B$15:$C$17,2,FALSE()))))</f>
        <v>#N/A</v>
      </c>
      <c r="AM72" s="96" t="e">
        <f>IF(Table4[[#This Row],[ScopeP]]="Unchanged",6.42*Table4[[#This Row],[ISC BaseP]],IF(Table4[[#This Row],[ScopeP]]="Changed",7.52*(Table4[[#This Row],[ISC BaseP]] - 0.029) - 3.25 * POWER(Table4[[#This Row],[ISC BaseP]] - 0.02,15),NA()))</f>
        <v>#N/A</v>
      </c>
      <c r="AN7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40"/>
    </row>
    <row r="73" spans="1:43" ht="350" hidden="1">
      <c r="A73" s="89">
        <v>69</v>
      </c>
      <c r="B73" s="90" t="s">
        <v>169</v>
      </c>
      <c r="C73" s="100" t="str">
        <f>IF(VLOOKUP(Table4[[#This Row],[T ID]],Table5[#All],5,FALSE())="No","Not in scope",VLOOKUP(Table4[[#This Row],[T ID]],Table5[#All],2,FALSE()))</f>
        <v>Information disclosure
(STR(I)DE)</v>
      </c>
      <c r="D73" s="92" t="s">
        <v>96</v>
      </c>
      <c r="E73" s="100" t="str">
        <f>IF(VLOOKUP(Table4[[#This Row],[V ID]],Vulnerabilities[#All],3,FALSE())="No","Not in scope",VLOOKUP(Table4[[#This Row],[V ID]],Vulnerabilities[#All],2,FALSE()))</f>
        <v>Unencrypted Network segment through out the information flow</v>
      </c>
      <c r="F73" s="101" t="s">
        <v>40</v>
      </c>
      <c r="G73" s="100" t="str">
        <f>VLOOKUP(Table4[[#This Row],[A ID]],Assets[#All],3,FALSE())</f>
        <v>Data in Transit</v>
      </c>
      <c r="H73" s="21" t="s">
        <v>260</v>
      </c>
      <c r="I73" s="161"/>
      <c r="J73" s="94" t="s">
        <v>239</v>
      </c>
      <c r="K73" s="94" t="s">
        <v>243</v>
      </c>
      <c r="L73" s="94" t="s">
        <v>239</v>
      </c>
      <c r="M73" s="95" t="s">
        <v>244</v>
      </c>
      <c r="N73" s="95" t="s">
        <v>248</v>
      </c>
      <c r="O73" s="95" t="s">
        <v>239</v>
      </c>
      <c r="P73" s="95" t="s">
        <v>243</v>
      </c>
      <c r="Q73" s="95" t="s">
        <v>242</v>
      </c>
      <c r="R7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6">
        <f>(1 - ((1 - VLOOKUP(Table4[[#This Row],[Confidentiality]],'Reference - CVSSv3.0'!$B$15:$C$17,2,FALSE())) * (1 - VLOOKUP(Table4[[#This Row],[Integrity]],'Reference - CVSSv3.0'!$B$15:$C$17,2,FALSE())) *  (1 - VLOOKUP(Table4[[#This Row],[Availability]],'Reference - CVSSv3.0'!$B$15:$C$17,2,FALSE()))))</f>
        <v>0.39159999999999995</v>
      </c>
      <c r="T73" s="96">
        <f>IF(Table4[[#This Row],[Scope]]="Unchanged",6.42*Table4[[#This Row],[ISC Base]],IF(Table4[[#This Row],[Scope]]="Changed",7.52*(Table4[[#This Row],[ISC Base]] - 0.029) - 3.25 * POWER(Table4[[#This Row],[ISC Base]] - 0.02,15),NA()))</f>
        <v>2.5140719999999996</v>
      </c>
      <c r="U73"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90" t="s">
        <v>249</v>
      </c>
      <c r="W73" s="96">
        <f>VLOOKUP(Table4[[#This Row],[Threat Event Initiation]],NIST_Scale_LOAI[],2,FALSE())</f>
        <v>0.5</v>
      </c>
      <c r="X7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t="s">
        <v>451</v>
      </c>
      <c r="AA73" s="21" t="s">
        <v>381</v>
      </c>
      <c r="AB73" s="111"/>
      <c r="AC73" s="40"/>
      <c r="AD73" s="40"/>
      <c r="AE73" s="40"/>
      <c r="AF73" s="95"/>
      <c r="AG73" s="95"/>
      <c r="AH73" s="95"/>
      <c r="AI73" s="95"/>
      <c r="AJ73" s="104"/>
      <c r="AK7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6" t="e">
        <f>(1 - ((1 - VLOOKUP(Table4[[#This Row],[ConfidentialityP]],'Reference - CVSSv3.0'!$B$15:$C$17,2,FALSE())) * (1 - VLOOKUP(Table4[[#This Row],[IntegrityP]],'Reference - CVSSv3.0'!$B$15:$C$17,2,FALSE())) *  (1 - VLOOKUP(Table4[[#This Row],[AvailabilityP]],'Reference - CVSSv3.0'!$B$15:$C$17,2,FALSE()))))</f>
        <v>#N/A</v>
      </c>
      <c r="AM73" s="96" t="e">
        <f>IF(Table4[[#This Row],[ScopeP]]="Unchanged",6.42*Table4[[#This Row],[ISC BaseP]],IF(Table4[[#This Row],[ScopeP]]="Changed",7.52*(Table4[[#This Row],[ISC BaseP]] - 0.029) - 3.25 * POWER(Table4[[#This Row],[ISC BaseP]] - 0.02,15),NA()))</f>
        <v>#N/A</v>
      </c>
      <c r="AN7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40"/>
    </row>
    <row r="74" spans="1:43" ht="378" hidden="1">
      <c r="A74" s="89">
        <v>70</v>
      </c>
      <c r="B74" s="90" t="s">
        <v>169</v>
      </c>
      <c r="C74" s="100" t="str">
        <f>IF(VLOOKUP(Table4[[#This Row],[T ID]],Table5[#All],5,FALSE())="No","Not in scope",VLOOKUP(Table4[[#This Row],[T ID]],Table5[#All],2,FALSE()))</f>
        <v>Information disclosure
(STR(I)DE)</v>
      </c>
      <c r="D74" s="92" t="s">
        <v>76</v>
      </c>
      <c r="E74" s="100" t="str">
        <f>IF(VLOOKUP(Table4[[#This Row],[V ID]],Vulnerabilities[#All],3,FALSE())="No","Not in scope",VLOOKUP(Table4[[#This Row],[V ID]],Vulnerabilities[#All],2,FALSE()))</f>
        <v>Insecure communications in networks (hospital)</v>
      </c>
      <c r="F74" s="101" t="s">
        <v>40</v>
      </c>
      <c r="G74" s="100" t="str">
        <f>VLOOKUP(Table4[[#This Row],[A ID]],Assets[#All],3,FALSE())</f>
        <v>Data in Transit</v>
      </c>
      <c r="H74" s="21" t="s">
        <v>260</v>
      </c>
      <c r="I74" s="161"/>
      <c r="J74" s="94" t="s">
        <v>239</v>
      </c>
      <c r="K74" s="94" t="s">
        <v>243</v>
      </c>
      <c r="L74" s="94" t="s">
        <v>239</v>
      </c>
      <c r="M74" s="95" t="s">
        <v>244</v>
      </c>
      <c r="N74" s="95" t="s">
        <v>248</v>
      </c>
      <c r="O74" s="95" t="s">
        <v>239</v>
      </c>
      <c r="P74" s="95" t="s">
        <v>243</v>
      </c>
      <c r="Q74" s="95" t="s">
        <v>242</v>
      </c>
      <c r="R7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6">
        <f>(1 - ((1 - VLOOKUP(Table4[[#This Row],[Confidentiality]],'Reference - CVSSv3.0'!$B$15:$C$17,2,FALSE())) * (1 - VLOOKUP(Table4[[#This Row],[Integrity]],'Reference - CVSSv3.0'!$B$15:$C$17,2,FALSE())) *  (1 - VLOOKUP(Table4[[#This Row],[Availability]],'Reference - CVSSv3.0'!$B$15:$C$17,2,FALSE()))))</f>
        <v>0.39159999999999995</v>
      </c>
      <c r="T74" s="96">
        <f>IF(Table4[[#This Row],[Scope]]="Unchanged",6.42*Table4[[#This Row],[ISC Base]],IF(Table4[[#This Row],[Scope]]="Changed",7.52*(Table4[[#This Row],[ISC Base]] - 0.029) - 3.25 * POWER(Table4[[#This Row],[ISC Base]] - 0.02,15),NA()))</f>
        <v>2.5140719999999996</v>
      </c>
      <c r="U74"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90" t="s">
        <v>249</v>
      </c>
      <c r="W74" s="96">
        <f>VLOOKUP(Table4[[#This Row],[Threat Event Initiation]],NIST_Scale_LOAI[],2,FALSE())</f>
        <v>0.5</v>
      </c>
      <c r="X7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t="s">
        <v>264</v>
      </c>
      <c r="AA74" s="21" t="s">
        <v>388</v>
      </c>
      <c r="AB74" s="111"/>
      <c r="AC74" s="40"/>
      <c r="AD74" s="40"/>
      <c r="AE74" s="40"/>
      <c r="AF74" s="95"/>
      <c r="AG74" s="95"/>
      <c r="AH74" s="95"/>
      <c r="AI74" s="95"/>
      <c r="AJ74" s="104"/>
      <c r="AK7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6" t="e">
        <f>(1 - ((1 - VLOOKUP(Table4[[#This Row],[ConfidentialityP]],'Reference - CVSSv3.0'!$B$15:$C$17,2,FALSE())) * (1 - VLOOKUP(Table4[[#This Row],[IntegrityP]],'Reference - CVSSv3.0'!$B$15:$C$17,2,FALSE())) *  (1 - VLOOKUP(Table4[[#This Row],[AvailabilityP]],'Reference - CVSSv3.0'!$B$15:$C$17,2,FALSE()))))</f>
        <v>#N/A</v>
      </c>
      <c r="AM74" s="96" t="e">
        <f>IF(Table4[[#This Row],[ScopeP]]="Unchanged",6.42*Table4[[#This Row],[ISC BaseP]],IF(Table4[[#This Row],[ScopeP]]="Changed",7.52*(Table4[[#This Row],[ISC BaseP]] - 0.029) - 3.25 * POWER(Table4[[#This Row],[ISC BaseP]] - 0.02,15),NA()))</f>
        <v>#N/A</v>
      </c>
      <c r="AN7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40"/>
    </row>
    <row r="75" spans="1:43" ht="182" hidden="1">
      <c r="A75" s="89">
        <v>71</v>
      </c>
      <c r="B75" s="90" t="s">
        <v>172</v>
      </c>
      <c r="C75" s="100" t="str">
        <f>IF(VLOOKUP(Table4[[#This Row],[T ID]],Table5[#All],5,FALSE())="No","Not in scope",VLOOKUP(Table4[[#This Row],[T ID]],Table5[#All],2,FALSE()))</f>
        <v>Data Access
(STR[I]DE)</v>
      </c>
      <c r="D75" s="61" t="s">
        <v>92</v>
      </c>
      <c r="E75" s="100" t="str">
        <f>IF(VLOOKUP(Table4[[#This Row],[V ID]],Vulnerabilities[#All],3,FALSE())="No","Not in scope",VLOOKUP(Table4[[#This Row],[V ID]],Vulnerabilities[#All],2,FALSE()))</f>
        <v>Unprotected network port(s) on network devices and connection points</v>
      </c>
      <c r="F75" s="101" t="s">
        <v>10</v>
      </c>
      <c r="G75" s="100" t="str">
        <f>VLOOKUP(Table4[[#This Row],[A ID]],Assets[#All],3,FALSE())</f>
        <v>Tablet Resources - web cam, microphone, OTG devices, Removable USB, Tablet Application, Network interfaces (Bluetooth, Wifi)</v>
      </c>
      <c r="H75" s="21" t="s">
        <v>265</v>
      </c>
      <c r="I75" s="161"/>
      <c r="J75" s="94" t="s">
        <v>243</v>
      </c>
      <c r="K75" s="94" t="s">
        <v>243</v>
      </c>
      <c r="L75" s="94" t="s">
        <v>248</v>
      </c>
      <c r="M75" s="95" t="s">
        <v>244</v>
      </c>
      <c r="N75" s="95" t="s">
        <v>248</v>
      </c>
      <c r="O75" s="95" t="s">
        <v>248</v>
      </c>
      <c r="P75" s="95" t="s">
        <v>243</v>
      </c>
      <c r="Q75" s="95" t="s">
        <v>242</v>
      </c>
      <c r="R7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6">
        <f>(1 - ((1 - VLOOKUP(Table4[[#This Row],[Confidentiality]],'Reference - CVSSv3.0'!$B$15:$C$17,2,FALSE())) * (1 - VLOOKUP(Table4[[#This Row],[Integrity]],'Reference - CVSSv3.0'!$B$15:$C$17,2,FALSE())) *  (1 - VLOOKUP(Table4[[#This Row],[Availability]],'Reference - CVSSv3.0'!$B$15:$C$17,2,FALSE()))))</f>
        <v>0.56000000000000005</v>
      </c>
      <c r="T75" s="96">
        <f>IF(Table4[[#This Row],[Scope]]="Unchanged",6.42*Table4[[#This Row],[ISC Base]],IF(Table4[[#This Row],[Scope]]="Changed",7.52*(Table4[[#This Row],[ISC Base]] - 0.029) - 3.25 * POWER(Table4[[#This Row],[ISC Base]] - 0.02,15),NA()))</f>
        <v>3.5952000000000002</v>
      </c>
      <c r="U75"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90" t="s">
        <v>239</v>
      </c>
      <c r="W75" s="96">
        <f>VLOOKUP(Table4[[#This Row],[Threat Event Initiation]],NIST_Scale_LOAI[],2,FALSE())</f>
        <v>0.2</v>
      </c>
      <c r="X7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t="s">
        <v>446</v>
      </c>
      <c r="AA75" s="21" t="s">
        <v>386</v>
      </c>
      <c r="AB75" s="111"/>
      <c r="AC75" s="40"/>
      <c r="AD75" s="40"/>
      <c r="AE75" s="40"/>
      <c r="AF75" s="95"/>
      <c r="AG75" s="95"/>
      <c r="AH75" s="95"/>
      <c r="AI75" s="95"/>
      <c r="AJ75" s="104"/>
      <c r="AK7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6" t="e">
        <f>(1 - ((1 - VLOOKUP(Table4[[#This Row],[ConfidentialityP]],'Reference - CVSSv3.0'!$B$15:$C$17,2,FALSE())) * (1 - VLOOKUP(Table4[[#This Row],[IntegrityP]],'Reference - CVSSv3.0'!$B$15:$C$17,2,FALSE())) *  (1 - VLOOKUP(Table4[[#This Row],[AvailabilityP]],'Reference - CVSSv3.0'!$B$15:$C$17,2,FALSE()))))</f>
        <v>#N/A</v>
      </c>
      <c r="AM75" s="96" t="e">
        <f>IF(Table4[[#This Row],[ScopeP]]="Unchanged",6.42*Table4[[#This Row],[ISC BaseP]],IF(Table4[[#This Row],[ScopeP]]="Changed",7.52*(Table4[[#This Row],[ISC BaseP]] - 0.029) - 3.25 * POWER(Table4[[#This Row],[ISC BaseP]] - 0.02,15),NA()))</f>
        <v>#N/A</v>
      </c>
      <c r="AN7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40"/>
    </row>
    <row r="76" spans="1:43" ht="182" hidden="1">
      <c r="A76" s="89">
        <v>72</v>
      </c>
      <c r="B76" s="90" t="s">
        <v>172</v>
      </c>
      <c r="C76" s="100" t="str">
        <f>IF(VLOOKUP(Table4[[#This Row],[T ID]],Table5[#All],5,FALSE())="No","Not in scope",VLOOKUP(Table4[[#This Row],[T ID]],Table5[#All],2,FALSE()))</f>
        <v>Data Access
(STR[I]DE)</v>
      </c>
      <c r="D76" s="61" t="s">
        <v>92</v>
      </c>
      <c r="E76" s="100" t="str">
        <f>IF(VLOOKUP(Table4[[#This Row],[V ID]],Vulnerabilities[#All],3,FALSE())="No","Not in scope",VLOOKUP(Table4[[#This Row],[V ID]],Vulnerabilities[#All],2,FALSE()))</f>
        <v>Unprotected network port(s) on network devices and connection points</v>
      </c>
      <c r="F76" s="101" t="s">
        <v>14</v>
      </c>
      <c r="G76" s="100" t="str">
        <f>VLOOKUP(Table4[[#This Row],[A ID]],Assets[#All],3,FALSE())</f>
        <v>Tablet OS/network details &amp; Tablet Application</v>
      </c>
      <c r="H76" s="21" t="s">
        <v>265</v>
      </c>
      <c r="I76" s="161"/>
      <c r="J76" s="94" t="s">
        <v>243</v>
      </c>
      <c r="K76" s="94" t="s">
        <v>239</v>
      </c>
      <c r="L76" s="94" t="s">
        <v>239</v>
      </c>
      <c r="M76" s="95" t="s">
        <v>244</v>
      </c>
      <c r="N76" s="95" t="s">
        <v>248</v>
      </c>
      <c r="O76" s="95" t="s">
        <v>248</v>
      </c>
      <c r="P76" s="95" t="s">
        <v>243</v>
      </c>
      <c r="Q76" s="95" t="s">
        <v>242</v>
      </c>
      <c r="R7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6">
        <f>(1 - ((1 - VLOOKUP(Table4[[#This Row],[Confidentiality]],'Reference - CVSSv3.0'!$B$15:$C$17,2,FALSE())) * (1 - VLOOKUP(Table4[[#This Row],[Integrity]],'Reference - CVSSv3.0'!$B$15:$C$17,2,FALSE())) *  (1 - VLOOKUP(Table4[[#This Row],[Availability]],'Reference - CVSSv3.0'!$B$15:$C$17,2,FALSE()))))</f>
        <v>0.39159999999999995</v>
      </c>
      <c r="T76" s="96">
        <f>IF(Table4[[#This Row],[Scope]]="Unchanged",6.42*Table4[[#This Row],[ISC Base]],IF(Table4[[#This Row],[Scope]]="Changed",7.52*(Table4[[#This Row],[ISC Base]] - 0.029) - 3.25 * POWER(Table4[[#This Row],[ISC Base]] - 0.02,15),NA()))</f>
        <v>2.5140719999999996</v>
      </c>
      <c r="U76"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90" t="s">
        <v>239</v>
      </c>
      <c r="W76" s="96">
        <f>VLOOKUP(Table4[[#This Row],[Threat Event Initiation]],NIST_Scale_LOAI[],2,FALSE())</f>
        <v>0.2</v>
      </c>
      <c r="X7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t="s">
        <v>446</v>
      </c>
      <c r="AA76" s="21" t="s">
        <v>386</v>
      </c>
      <c r="AB76" s="111"/>
      <c r="AC76" s="40"/>
      <c r="AD76" s="40"/>
      <c r="AE76" s="40"/>
      <c r="AF76" s="95"/>
      <c r="AG76" s="95"/>
      <c r="AH76" s="95"/>
      <c r="AI76" s="95"/>
      <c r="AJ76" s="104"/>
      <c r="AK7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6" t="e">
        <f>(1 - ((1 - VLOOKUP(Table4[[#This Row],[ConfidentialityP]],'Reference - CVSSv3.0'!$B$15:$C$17,2,FALSE())) * (1 - VLOOKUP(Table4[[#This Row],[IntegrityP]],'Reference - CVSSv3.0'!$B$15:$C$17,2,FALSE())) *  (1 - VLOOKUP(Table4[[#This Row],[AvailabilityP]],'Reference - CVSSv3.0'!$B$15:$C$17,2,FALSE()))))</f>
        <v>#N/A</v>
      </c>
      <c r="AM76" s="96" t="e">
        <f>IF(Table4[[#This Row],[ScopeP]]="Unchanged",6.42*Table4[[#This Row],[ISC BaseP]],IF(Table4[[#This Row],[ScopeP]]="Changed",7.52*(Table4[[#This Row],[ISC BaseP]] - 0.029) - 3.25 * POWER(Table4[[#This Row],[ISC BaseP]] - 0.02,15),NA()))</f>
        <v>#N/A</v>
      </c>
      <c r="AN7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40"/>
    </row>
    <row r="77" spans="1:43" ht="409.5" hidden="1" customHeight="1">
      <c r="A77" s="89">
        <v>73</v>
      </c>
      <c r="B77" s="90" t="s">
        <v>172</v>
      </c>
      <c r="C77" s="100" t="str">
        <f>IF(VLOOKUP(Table4[[#This Row],[T ID]],Table5[#All],5,FALSE())="No","Not in scope",VLOOKUP(Table4[[#This Row],[T ID]],Table5[#All],2,FALSE()))</f>
        <v>Data Access
(STR[I]DE)</v>
      </c>
      <c r="D77" s="61" t="s">
        <v>66</v>
      </c>
      <c r="E77" s="100" t="str">
        <f>IF(VLOOKUP(Table4[[#This Row],[V ID]],Vulnerabilities[#All],3,FALSE())="No","Not in scope",VLOOKUP(Table4[[#This Row],[V ID]],Vulnerabilities[#All],2,FALSE()))</f>
        <v>Devices with default passwords needs to be checked for bruteforce attacks</v>
      </c>
      <c r="F77" s="14" t="s">
        <v>37</v>
      </c>
      <c r="G77" s="100" t="str">
        <f>VLOOKUP(Table4[[#This Row],[A ID]],Assets[#All],3,FALSE())</f>
        <v>Data at Rest</v>
      </c>
      <c r="H77" s="21" t="s">
        <v>265</v>
      </c>
      <c r="I77" s="161"/>
      <c r="J77" s="94" t="s">
        <v>239</v>
      </c>
      <c r="K77" s="94" t="s">
        <v>239</v>
      </c>
      <c r="L77" s="94" t="s">
        <v>239</v>
      </c>
      <c r="M77" s="95" t="s">
        <v>244</v>
      </c>
      <c r="N77" s="95" t="s">
        <v>248</v>
      </c>
      <c r="O77" s="95" t="s">
        <v>248</v>
      </c>
      <c r="P77" s="95" t="s">
        <v>243</v>
      </c>
      <c r="Q77" s="95" t="s">
        <v>242</v>
      </c>
      <c r="R7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6">
        <f>(1 - ((1 - VLOOKUP(Table4[[#This Row],[Confidentiality]],'Reference - CVSSv3.0'!$B$15:$C$17,2,FALSE())) * (1 - VLOOKUP(Table4[[#This Row],[Integrity]],'Reference - CVSSv3.0'!$B$15:$C$17,2,FALSE())) *  (1 - VLOOKUP(Table4[[#This Row],[Availability]],'Reference - CVSSv3.0'!$B$15:$C$17,2,FALSE()))))</f>
        <v>0.52544799999999992</v>
      </c>
      <c r="T77" s="96">
        <f>IF(Table4[[#This Row],[Scope]]="Unchanged",6.42*Table4[[#This Row],[ISC Base]],IF(Table4[[#This Row],[Scope]]="Changed",7.52*(Table4[[#This Row],[ISC Base]] - 0.029) - 3.25 * POWER(Table4[[#This Row],[ISC Base]] - 0.02,15),NA()))</f>
        <v>3.3733761599999994</v>
      </c>
      <c r="U77"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90" t="s">
        <v>239</v>
      </c>
      <c r="W77" s="96">
        <f>VLOOKUP(Table4[[#This Row],[Threat Event Initiation]],NIST_Scale_LOAI[],2,FALSE())</f>
        <v>0.2</v>
      </c>
      <c r="X7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14" t="s">
        <v>266</v>
      </c>
      <c r="AA77" s="21" t="s">
        <v>442</v>
      </c>
      <c r="AB77" s="111"/>
      <c r="AC77" s="40"/>
      <c r="AD77" s="40"/>
      <c r="AE77" s="40"/>
      <c r="AF77" s="95"/>
      <c r="AG77" s="95"/>
      <c r="AH77" s="95"/>
      <c r="AI77" s="95"/>
      <c r="AJ77" s="104"/>
      <c r="AK7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6" t="e">
        <f>(1 - ((1 - VLOOKUP(Table4[[#This Row],[ConfidentialityP]],'Reference - CVSSv3.0'!$B$15:$C$17,2,FALSE())) * (1 - VLOOKUP(Table4[[#This Row],[IntegrityP]],'Reference - CVSSv3.0'!$B$15:$C$17,2,FALSE())) *  (1 - VLOOKUP(Table4[[#This Row],[AvailabilityP]],'Reference - CVSSv3.0'!$B$15:$C$17,2,FALSE()))))</f>
        <v>#N/A</v>
      </c>
      <c r="AM77" s="96" t="e">
        <f>IF(Table4[[#This Row],[ScopeP]]="Unchanged",6.42*Table4[[#This Row],[ISC BaseP]],IF(Table4[[#This Row],[ScopeP]]="Changed",7.52*(Table4[[#This Row],[ISC BaseP]] - 0.029) - 3.25 * POWER(Table4[[#This Row],[ISC BaseP]] - 0.02,15),NA()))</f>
        <v>#N/A</v>
      </c>
      <c r="AN7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40"/>
    </row>
    <row r="78" spans="1:43" ht="409.5" hidden="1">
      <c r="A78" s="89">
        <v>74</v>
      </c>
      <c r="B78" s="90" t="s">
        <v>172</v>
      </c>
      <c r="C78" s="100" t="str">
        <f>IF(VLOOKUP(Table4[[#This Row],[T ID]],Table5[#All],5,FALSE())="No","Not in scope",VLOOKUP(Table4[[#This Row],[T ID]],Table5[#All],2,FALSE()))</f>
        <v>Data Access
(STR[I]DE)</v>
      </c>
      <c r="D78" s="61" t="s">
        <v>66</v>
      </c>
      <c r="E78" s="100" t="str">
        <f>IF(VLOOKUP(Table4[[#This Row],[V ID]],Vulnerabilities[#All],3,FALSE())="No","Not in scope",VLOOKUP(Table4[[#This Row],[V ID]],Vulnerabilities[#All],2,FALSE()))</f>
        <v>Devices with default passwords needs to be checked for bruteforce attacks</v>
      </c>
      <c r="F78" s="109" t="s">
        <v>22</v>
      </c>
      <c r="G78" s="100" t="str">
        <f>VLOOKUP(Table4[[#This Row],[A ID]],Assets[#All],3,FALSE())</f>
        <v>Authentication/Authorisation method of all device(s)/app</v>
      </c>
      <c r="H78" s="21" t="s">
        <v>267</v>
      </c>
      <c r="I78" s="161"/>
      <c r="J78" s="94" t="s">
        <v>248</v>
      </c>
      <c r="K78" s="94" t="s">
        <v>243</v>
      </c>
      <c r="L78" s="94" t="s">
        <v>243</v>
      </c>
      <c r="M78" s="95" t="s">
        <v>244</v>
      </c>
      <c r="N78" s="95" t="s">
        <v>248</v>
      </c>
      <c r="O78" s="95" t="s">
        <v>248</v>
      </c>
      <c r="P78" s="95" t="s">
        <v>243</v>
      </c>
      <c r="Q78" s="95" t="s">
        <v>242</v>
      </c>
      <c r="R7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6">
        <f>(1 - ((1 - VLOOKUP(Table4[[#This Row],[Confidentiality]],'Reference - CVSSv3.0'!$B$15:$C$17,2,FALSE())) * (1 - VLOOKUP(Table4[[#This Row],[Integrity]],'Reference - CVSSv3.0'!$B$15:$C$17,2,FALSE())) *  (1 - VLOOKUP(Table4[[#This Row],[Availability]],'Reference - CVSSv3.0'!$B$15:$C$17,2,FALSE()))))</f>
        <v>0.56000000000000005</v>
      </c>
      <c r="T78" s="96">
        <f>IF(Table4[[#This Row],[Scope]]="Unchanged",6.42*Table4[[#This Row],[ISC Base]],IF(Table4[[#This Row],[Scope]]="Changed",7.52*(Table4[[#This Row],[ISC Base]] - 0.029) - 3.25 * POWER(Table4[[#This Row],[ISC Base]] - 0.02,15),NA()))</f>
        <v>3.5952000000000002</v>
      </c>
      <c r="U78"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90" t="s">
        <v>249</v>
      </c>
      <c r="W78" s="96">
        <f>VLOOKUP(Table4[[#This Row],[Threat Event Initiation]],NIST_Scale_LOAI[],2,FALSE())</f>
        <v>0.5</v>
      </c>
      <c r="X7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14" t="s">
        <v>266</v>
      </c>
      <c r="AA78" s="251" t="s">
        <v>464</v>
      </c>
      <c r="AB78" s="111"/>
      <c r="AC78" s="40"/>
      <c r="AD78" s="40"/>
      <c r="AE78" s="40"/>
      <c r="AF78" s="95"/>
      <c r="AG78" s="95"/>
      <c r="AH78" s="95"/>
      <c r="AI78" s="95"/>
      <c r="AJ78" s="104"/>
      <c r="AK7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6" t="e">
        <f>(1 - ((1 - VLOOKUP(Table4[[#This Row],[ConfidentialityP]],'Reference - CVSSv3.0'!$B$15:$C$17,2,FALSE())) * (1 - VLOOKUP(Table4[[#This Row],[IntegrityP]],'Reference - CVSSv3.0'!$B$15:$C$17,2,FALSE())) *  (1 - VLOOKUP(Table4[[#This Row],[AvailabilityP]],'Reference - CVSSv3.0'!$B$15:$C$17,2,FALSE()))))</f>
        <v>#N/A</v>
      </c>
      <c r="AM78" s="96" t="e">
        <f>IF(Table4[[#This Row],[ScopeP]]="Unchanged",6.42*Table4[[#This Row],[ISC BaseP]],IF(Table4[[#This Row],[ScopeP]]="Changed",7.52*(Table4[[#This Row],[ISC BaseP]] - 0.029) - 3.25 * POWER(Table4[[#This Row],[ISC BaseP]] - 0.02,15),NA()))</f>
        <v>#N/A</v>
      </c>
      <c r="AN7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40"/>
    </row>
    <row r="79" spans="1:43" ht="409.5" hidden="1">
      <c r="A79" s="106">
        <v>75</v>
      </c>
      <c r="B79" s="90" t="s">
        <v>172</v>
      </c>
      <c r="C79" s="100" t="str">
        <f>IF(VLOOKUP(Table4[[#This Row],[T ID]],Table5[#All],5,FALSE())="No","Not in scope",VLOOKUP(Table4[[#This Row],[T ID]],Table5[#All],2,FALSE()))</f>
        <v>Data Access
(STR[I]DE)</v>
      </c>
      <c r="D79" s="61" t="s">
        <v>66</v>
      </c>
      <c r="E79" s="100" t="str">
        <f>IF(VLOOKUP(Table4[[#This Row],[V ID]],Vulnerabilities[#All],3,FALSE())="No","Not in scope",VLOOKUP(Table4[[#This Row],[V ID]],Vulnerabilities[#All],2,FALSE()))</f>
        <v>Devices with default passwords needs to be checked for bruteforce attacks</v>
      </c>
      <c r="F79" s="14" t="s">
        <v>40</v>
      </c>
      <c r="G79" s="100" t="str">
        <f>VLOOKUP(Table4[[#This Row],[A ID]],Assets[#All],3,FALSE())</f>
        <v>Data in Transit</v>
      </c>
      <c r="H79" s="21" t="s">
        <v>267</v>
      </c>
      <c r="I79" s="161"/>
      <c r="J79" s="94" t="s">
        <v>248</v>
      </c>
      <c r="K79" s="94" t="s">
        <v>243</v>
      </c>
      <c r="L79" s="94" t="s">
        <v>243</v>
      </c>
      <c r="M79" s="95" t="s">
        <v>244</v>
      </c>
      <c r="N79" s="95" t="s">
        <v>248</v>
      </c>
      <c r="O79" s="95" t="s">
        <v>248</v>
      </c>
      <c r="P79" s="95" t="s">
        <v>243</v>
      </c>
      <c r="Q79" s="95" t="s">
        <v>242</v>
      </c>
      <c r="R7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6">
        <f>(1 - ((1 - VLOOKUP(Table4[[#This Row],[Confidentiality]],'Reference - CVSSv3.0'!$B$15:$C$17,2,FALSE())) * (1 - VLOOKUP(Table4[[#This Row],[Integrity]],'Reference - CVSSv3.0'!$B$15:$C$17,2,FALSE())) *  (1 - VLOOKUP(Table4[[#This Row],[Availability]],'Reference - CVSSv3.0'!$B$15:$C$17,2,FALSE()))))</f>
        <v>0.56000000000000005</v>
      </c>
      <c r="T79" s="96">
        <f>IF(Table4[[#This Row],[Scope]]="Unchanged",6.42*Table4[[#This Row],[ISC Base]],IF(Table4[[#This Row],[Scope]]="Changed",7.52*(Table4[[#This Row],[ISC Base]] - 0.029) - 3.25 * POWER(Table4[[#This Row],[ISC Base]] - 0.02,15),NA()))</f>
        <v>3.5952000000000002</v>
      </c>
      <c r="U79"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90" t="s">
        <v>239</v>
      </c>
      <c r="W79" s="96">
        <f>VLOOKUP(Table4[[#This Row],[Threat Event Initiation]],NIST_Scale_LOAI[],2,FALSE())</f>
        <v>0.2</v>
      </c>
      <c r="X7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14" t="s">
        <v>268</v>
      </c>
      <c r="AA79" s="251" t="s">
        <v>443</v>
      </c>
      <c r="AB79" s="111"/>
      <c r="AC79" s="40"/>
      <c r="AD79" s="40"/>
      <c r="AE79" s="40"/>
      <c r="AF79" s="95"/>
      <c r="AG79" s="95"/>
      <c r="AH79" s="95"/>
      <c r="AI79" s="95"/>
      <c r="AJ79" s="104"/>
      <c r="AK7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6" t="e">
        <f>(1 - ((1 - VLOOKUP(Table4[[#This Row],[ConfidentialityP]],'Reference - CVSSv3.0'!$B$15:$C$17,2,FALSE())) * (1 - VLOOKUP(Table4[[#This Row],[IntegrityP]],'Reference - CVSSv3.0'!$B$15:$C$17,2,FALSE())) *  (1 - VLOOKUP(Table4[[#This Row],[AvailabilityP]],'Reference - CVSSv3.0'!$B$15:$C$17,2,FALSE()))))</f>
        <v>#N/A</v>
      </c>
      <c r="AM79" s="96" t="e">
        <f>IF(Table4[[#This Row],[ScopeP]]="Unchanged",6.42*Table4[[#This Row],[ISC BaseP]],IF(Table4[[#This Row],[ScopeP]]="Changed",7.52*(Table4[[#This Row],[ISC BaseP]] - 0.029) - 3.25 * POWER(Table4[[#This Row],[ISC BaseP]] - 0.02,15),NA()))</f>
        <v>#N/A</v>
      </c>
      <c r="AN7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40"/>
    </row>
    <row r="80" spans="1:43" ht="409.5" hidden="1">
      <c r="A80" s="89">
        <v>76</v>
      </c>
      <c r="B80" s="90" t="s">
        <v>172</v>
      </c>
      <c r="C80" s="100" t="str">
        <f>IF(VLOOKUP(Table4[[#This Row],[T ID]],Table5[#All],5,FALSE())="No","Not in scope",VLOOKUP(Table4[[#This Row],[T ID]],Table5[#All],2,FALSE()))</f>
        <v>Data Access
(STR[I]DE)</v>
      </c>
      <c r="D80" s="61" t="s">
        <v>72</v>
      </c>
      <c r="E80" s="100" t="str">
        <f>IF(VLOOKUP(Table4[[#This Row],[V ID]],Vulnerabilities[#All],3,FALSE())="No","Not in scope",VLOOKUP(Table4[[#This Row],[V ID]],Vulnerabilities[#All],2,FALSE()))</f>
        <v>The password complexity or location vulnerability. Like weak passwords and hardcoded passwords.</v>
      </c>
      <c r="F80" s="14" t="s">
        <v>37</v>
      </c>
      <c r="G80" s="100" t="str">
        <f>VLOOKUP(Table4[[#This Row],[A ID]],Assets[#All],3,FALSE())</f>
        <v>Data at Rest</v>
      </c>
      <c r="H80" s="21" t="s">
        <v>267</v>
      </c>
      <c r="I80" s="161"/>
      <c r="J80" s="94" t="s">
        <v>239</v>
      </c>
      <c r="K80" s="94" t="s">
        <v>239</v>
      </c>
      <c r="L80" s="94" t="s">
        <v>239</v>
      </c>
      <c r="M80" s="95" t="s">
        <v>244</v>
      </c>
      <c r="N80" s="95" t="s">
        <v>248</v>
      </c>
      <c r="O80" s="95" t="s">
        <v>248</v>
      </c>
      <c r="P80" s="95" t="s">
        <v>243</v>
      </c>
      <c r="Q80" s="95" t="s">
        <v>242</v>
      </c>
      <c r="R8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96">
        <f>(1 - ((1 - VLOOKUP(Table4[[#This Row],[Confidentiality]],'Reference - CVSSv3.0'!$B$15:$C$17,2,FALSE())) * (1 - VLOOKUP(Table4[[#This Row],[Integrity]],'Reference - CVSSv3.0'!$B$15:$C$17,2,FALSE())) *  (1 - VLOOKUP(Table4[[#This Row],[Availability]],'Reference - CVSSv3.0'!$B$15:$C$17,2,FALSE()))))</f>
        <v>0.52544799999999992</v>
      </c>
      <c r="T80" s="96">
        <f>IF(Table4[[#This Row],[Scope]]="Unchanged",6.42*Table4[[#This Row],[ISC Base]],IF(Table4[[#This Row],[Scope]]="Changed",7.52*(Table4[[#This Row],[ISC Base]] - 0.029) - 3.25 * POWER(Table4[[#This Row],[ISC Base]] - 0.02,15),NA()))</f>
        <v>3.3733761599999994</v>
      </c>
      <c r="U8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90" t="s">
        <v>239</v>
      </c>
      <c r="W80" s="96">
        <f>VLOOKUP(Table4[[#This Row],[Threat Event Initiation]],NIST_Scale_LOAI[],2,FALSE())</f>
        <v>0.2</v>
      </c>
      <c r="X8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1" t="s">
        <v>452</v>
      </c>
      <c r="AA80" s="114" t="s">
        <v>387</v>
      </c>
      <c r="AB80" s="111"/>
      <c r="AC80" s="40"/>
      <c r="AD80" s="40"/>
      <c r="AE80" s="40"/>
      <c r="AF80" s="95"/>
      <c r="AG80" s="95"/>
      <c r="AH80" s="95"/>
      <c r="AI80" s="95"/>
      <c r="AJ80" s="104"/>
      <c r="AK8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6" t="e">
        <f>(1 - ((1 - VLOOKUP(Table4[[#This Row],[ConfidentialityP]],'Reference - CVSSv3.0'!$B$15:$C$17,2,FALSE())) * (1 - VLOOKUP(Table4[[#This Row],[IntegrityP]],'Reference - CVSSv3.0'!$B$15:$C$17,2,FALSE())) *  (1 - VLOOKUP(Table4[[#This Row],[AvailabilityP]],'Reference - CVSSv3.0'!$B$15:$C$17,2,FALSE()))))</f>
        <v>#N/A</v>
      </c>
      <c r="AM80" s="96" t="e">
        <f>IF(Table4[[#This Row],[ScopeP]]="Unchanged",6.42*Table4[[#This Row],[ISC BaseP]],IF(Table4[[#This Row],[ScopeP]]="Changed",7.52*(Table4[[#This Row],[ISC BaseP]] - 0.029) - 3.25 * POWER(Table4[[#This Row],[ISC BaseP]] - 0.02,15),NA()))</f>
        <v>#N/A</v>
      </c>
      <c r="AN8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40"/>
    </row>
    <row r="81" spans="1:44" ht="182" hidden="1">
      <c r="A81" s="106">
        <v>77</v>
      </c>
      <c r="B81" s="90" t="s">
        <v>172</v>
      </c>
      <c r="C81" s="100" t="str">
        <f>IF(VLOOKUP(Table4[[#This Row],[T ID]],Table5[#All],5,FALSE())="No","Not in scope",VLOOKUP(Table4[[#This Row],[T ID]],Table5[#All],2,FALSE()))</f>
        <v>Data Access
(STR[I]DE)</v>
      </c>
      <c r="D81" s="61" t="s">
        <v>94</v>
      </c>
      <c r="E81" s="100" t="str">
        <f>IF(VLOOKUP(Table4[[#This Row],[V ID]],Vulnerabilities[#All],3,FALSE())="No","Not in scope",VLOOKUP(Table4[[#This Row],[V ID]],Vulnerabilities[#All],2,FALSE()))</f>
        <v>Unprotected external USB Port on the tablet/devices.</v>
      </c>
      <c r="F81" s="101" t="s">
        <v>10</v>
      </c>
      <c r="G81" s="100" t="str">
        <f>VLOOKUP(Table4[[#This Row],[A ID]],Assets[#All],3,FALSE())</f>
        <v>Tablet Resources - web cam, microphone, OTG devices, Removable USB, Tablet Application, Network interfaces (Bluetooth, Wifi)</v>
      </c>
      <c r="H81" s="21" t="s">
        <v>267</v>
      </c>
      <c r="I81" s="161"/>
      <c r="J81" s="94" t="s">
        <v>243</v>
      </c>
      <c r="K81" s="94" t="s">
        <v>239</v>
      </c>
      <c r="L81" s="94" t="s">
        <v>239</v>
      </c>
      <c r="M81" s="95" t="s">
        <v>240</v>
      </c>
      <c r="N81" s="95" t="s">
        <v>248</v>
      </c>
      <c r="O81" s="95" t="s">
        <v>248</v>
      </c>
      <c r="P81" s="95" t="s">
        <v>243</v>
      </c>
      <c r="Q81" s="95" t="s">
        <v>242</v>
      </c>
      <c r="R8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6">
        <f>(1 - ((1 - VLOOKUP(Table4[[#This Row],[Confidentiality]],'Reference - CVSSv3.0'!$B$15:$C$17,2,FALSE())) * (1 - VLOOKUP(Table4[[#This Row],[Integrity]],'Reference - CVSSv3.0'!$B$15:$C$17,2,FALSE())) *  (1 - VLOOKUP(Table4[[#This Row],[Availability]],'Reference - CVSSv3.0'!$B$15:$C$17,2,FALSE()))))</f>
        <v>0.39159999999999995</v>
      </c>
      <c r="T81" s="96">
        <f>IF(Table4[[#This Row],[Scope]]="Unchanged",6.42*Table4[[#This Row],[ISC Base]],IF(Table4[[#This Row],[Scope]]="Changed",7.52*(Table4[[#This Row],[ISC Base]] - 0.029) - 3.25 * POWER(Table4[[#This Row],[ISC Base]] - 0.02,15),NA()))</f>
        <v>2.5140719999999996</v>
      </c>
      <c r="U81" s="96">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90" t="s">
        <v>249</v>
      </c>
      <c r="W81" s="96">
        <f>VLOOKUP(Table4[[#This Row],[Threat Event Initiation]],NIST_Scale_LOAI[],2,FALSE())</f>
        <v>0.5</v>
      </c>
      <c r="X8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t="s">
        <v>446</v>
      </c>
      <c r="AA81" s="21" t="s">
        <v>386</v>
      </c>
      <c r="AB81" s="111"/>
      <c r="AC81" s="40"/>
      <c r="AD81" s="40"/>
      <c r="AE81" s="40"/>
      <c r="AF81" s="95"/>
      <c r="AG81" s="95"/>
      <c r="AH81" s="95"/>
      <c r="AI81" s="95"/>
      <c r="AJ81" s="104"/>
      <c r="AK8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6" t="e">
        <f>(1 - ((1 - VLOOKUP(Table4[[#This Row],[ConfidentialityP]],'Reference - CVSSv3.0'!$B$15:$C$17,2,FALSE())) * (1 - VLOOKUP(Table4[[#This Row],[IntegrityP]],'Reference - CVSSv3.0'!$B$15:$C$17,2,FALSE())) *  (1 - VLOOKUP(Table4[[#This Row],[AvailabilityP]],'Reference - CVSSv3.0'!$B$15:$C$17,2,FALSE()))))</f>
        <v>#N/A</v>
      </c>
      <c r="AM81" s="96" t="e">
        <f>IF(Table4[[#This Row],[ScopeP]]="Unchanged",6.42*Table4[[#This Row],[ISC BaseP]],IF(Table4[[#This Row],[ScopeP]]="Changed",7.52*(Table4[[#This Row],[ISC BaseP]] - 0.029) - 3.25 * POWER(Table4[[#This Row],[ISC BaseP]] - 0.02,15),NA()))</f>
        <v>#N/A</v>
      </c>
      <c r="AN8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40"/>
    </row>
    <row r="82" spans="1:44" ht="182" hidden="1">
      <c r="A82" s="89">
        <v>78</v>
      </c>
      <c r="B82" s="90" t="s">
        <v>175</v>
      </c>
      <c r="C82" s="100" t="str">
        <f>IF(VLOOKUP(Table4[[#This Row],[T ID]],Table5[#All],5,FALSE())="No","Not in scope",VLOOKUP(Table4[[#This Row],[T ID]],Table5[#All],2,FALSE()))</f>
        <v>Open network port exploit
(TTP)</v>
      </c>
      <c r="D82" s="92" t="s">
        <v>92</v>
      </c>
      <c r="E82" s="100" t="str">
        <f>IF(VLOOKUP(Table4[[#This Row],[V ID]],Vulnerabilities[#All],3,FALSE())="No","Not in scope",VLOOKUP(Table4[[#This Row],[V ID]],Vulnerabilities[#All],2,FALSE()))</f>
        <v>Unprotected network port(s) on network devices and connection points</v>
      </c>
      <c r="F82" s="101" t="s">
        <v>14</v>
      </c>
      <c r="G82" s="100" t="str">
        <f>VLOOKUP(Table4[[#This Row],[A ID]],Assets[#All],3,FALSE())</f>
        <v>Tablet OS/network details &amp; Tablet Application</v>
      </c>
      <c r="H82" s="21" t="s">
        <v>269</v>
      </c>
      <c r="I82" s="161"/>
      <c r="J82" s="94" t="s">
        <v>243</v>
      </c>
      <c r="K82" s="94" t="s">
        <v>243</v>
      </c>
      <c r="L82" s="94" t="s">
        <v>239</v>
      </c>
      <c r="M82" s="95" t="s">
        <v>244</v>
      </c>
      <c r="N82" s="95" t="s">
        <v>248</v>
      </c>
      <c r="O82" s="95" t="s">
        <v>239</v>
      </c>
      <c r="P82" s="95" t="s">
        <v>243</v>
      </c>
      <c r="Q82" s="95" t="s">
        <v>242</v>
      </c>
      <c r="R8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6">
        <f>(1 - ((1 - VLOOKUP(Table4[[#This Row],[Confidentiality]],'Reference - CVSSv3.0'!$B$15:$C$17,2,FALSE())) * (1 - VLOOKUP(Table4[[#This Row],[Integrity]],'Reference - CVSSv3.0'!$B$15:$C$17,2,FALSE())) *  (1 - VLOOKUP(Table4[[#This Row],[Availability]],'Reference - CVSSv3.0'!$B$15:$C$17,2,FALSE()))))</f>
        <v>0.21999999999999997</v>
      </c>
      <c r="T82" s="96">
        <f>IF(Table4[[#This Row],[Scope]]="Unchanged",6.42*Table4[[#This Row],[ISC Base]],IF(Table4[[#This Row],[Scope]]="Changed",7.52*(Table4[[#This Row],[ISC Base]] - 0.029) - 3.25 * POWER(Table4[[#This Row],[ISC Base]] - 0.02,15),NA()))</f>
        <v>1.4123999999999999</v>
      </c>
      <c r="U82"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90" t="s">
        <v>249</v>
      </c>
      <c r="W82" s="96">
        <f>VLOOKUP(Table4[[#This Row],[Threat Event Initiation]],NIST_Scale_LOAI[],2,FALSE())</f>
        <v>0.5</v>
      </c>
      <c r="X8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t="s">
        <v>446</v>
      </c>
      <c r="AA82" s="21" t="s">
        <v>386</v>
      </c>
      <c r="AB82" s="111"/>
      <c r="AC82" s="40"/>
      <c r="AD82" s="40"/>
      <c r="AE82" s="40"/>
      <c r="AF82" s="95"/>
      <c r="AG82" s="95"/>
      <c r="AH82" s="95"/>
      <c r="AI82" s="95"/>
      <c r="AJ82" s="104"/>
      <c r="AK8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6" t="e">
        <f>(1 - ((1 - VLOOKUP(Table4[[#This Row],[ConfidentialityP]],'Reference - CVSSv3.0'!$B$15:$C$17,2,FALSE())) * (1 - VLOOKUP(Table4[[#This Row],[IntegrityP]],'Reference - CVSSv3.0'!$B$15:$C$17,2,FALSE())) *  (1 - VLOOKUP(Table4[[#This Row],[AvailabilityP]],'Reference - CVSSv3.0'!$B$15:$C$17,2,FALSE()))))</f>
        <v>#N/A</v>
      </c>
      <c r="AM82" s="96" t="e">
        <f>IF(Table4[[#This Row],[ScopeP]]="Unchanged",6.42*Table4[[#This Row],[ISC BaseP]],IF(Table4[[#This Row],[ScopeP]]="Changed",7.52*(Table4[[#This Row],[ISC BaseP]] - 0.029) - 3.25 * POWER(Table4[[#This Row],[ISC BaseP]] - 0.02,15),NA()))</f>
        <v>#N/A</v>
      </c>
      <c r="AN8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40"/>
    </row>
    <row r="83" spans="1:44" ht="124.5" hidden="1" customHeight="1">
      <c r="A83" s="89">
        <v>79</v>
      </c>
      <c r="B83" s="90" t="s">
        <v>175</v>
      </c>
      <c r="C83" s="100" t="str">
        <f>IF(VLOOKUP(Table4[[#This Row],[T ID]],Table5[#All],5,FALSE())="No","Not in scope",VLOOKUP(Table4[[#This Row],[T ID]],Table5[#All],2,FALSE()))</f>
        <v>Open network port exploit
(TTP)</v>
      </c>
      <c r="D83" s="92" t="s">
        <v>92</v>
      </c>
      <c r="E83" s="100" t="str">
        <f>IF(VLOOKUP(Table4[[#This Row],[V ID]],Vulnerabilities[#All],3,FALSE())="No","Not in scope",VLOOKUP(Table4[[#This Row],[V ID]],Vulnerabilities[#All],2,FALSE()))</f>
        <v>Unprotected network port(s) on network devices and connection points</v>
      </c>
      <c r="F83" s="101" t="s">
        <v>34</v>
      </c>
      <c r="G83" s="100" t="str">
        <f>VLOOKUP(Table4[[#This Row],[A ID]],Assets[#All],3,FALSE())</f>
        <v>Wireless Network device (Scope of HDO)</v>
      </c>
      <c r="H83" s="21" t="s">
        <v>269</v>
      </c>
      <c r="I83" s="161"/>
      <c r="J83" s="94" t="s">
        <v>243</v>
      </c>
      <c r="K83" s="94" t="s">
        <v>243</v>
      </c>
      <c r="L83" s="94" t="s">
        <v>239</v>
      </c>
      <c r="M83" s="95" t="s">
        <v>244</v>
      </c>
      <c r="N83" s="95" t="s">
        <v>248</v>
      </c>
      <c r="O83" s="95" t="s">
        <v>239</v>
      </c>
      <c r="P83" s="95" t="s">
        <v>243</v>
      </c>
      <c r="Q83" s="95" t="s">
        <v>242</v>
      </c>
      <c r="R8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6">
        <f>(1 - ((1 - VLOOKUP(Table4[[#This Row],[Confidentiality]],'Reference - CVSSv3.0'!$B$15:$C$17,2,FALSE())) * (1 - VLOOKUP(Table4[[#This Row],[Integrity]],'Reference - CVSSv3.0'!$B$15:$C$17,2,FALSE())) *  (1 - VLOOKUP(Table4[[#This Row],[Availability]],'Reference - CVSSv3.0'!$B$15:$C$17,2,FALSE()))))</f>
        <v>0.21999999999999997</v>
      </c>
      <c r="T83" s="96">
        <f>IF(Table4[[#This Row],[Scope]]="Unchanged",6.42*Table4[[#This Row],[ISC Base]],IF(Table4[[#This Row],[Scope]]="Changed",7.52*(Table4[[#This Row],[ISC Base]] - 0.029) - 3.25 * POWER(Table4[[#This Row],[ISC Base]] - 0.02,15),NA()))</f>
        <v>1.4123999999999999</v>
      </c>
      <c r="U83"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90" t="s">
        <v>249</v>
      </c>
      <c r="W83" s="96">
        <f>VLOOKUP(Table4[[#This Row],[Threat Event Initiation]],NIST_Scale_LOAI[],2,FALSE())</f>
        <v>0.5</v>
      </c>
      <c r="X8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14" t="s">
        <v>270</v>
      </c>
      <c r="AA83" s="114" t="s">
        <v>271</v>
      </c>
      <c r="AB83" s="111"/>
      <c r="AC83" s="40"/>
      <c r="AD83" s="40"/>
      <c r="AE83" s="40"/>
      <c r="AF83" s="95"/>
      <c r="AG83" s="95"/>
      <c r="AH83" s="95"/>
      <c r="AI83" s="95"/>
      <c r="AJ83" s="104"/>
      <c r="AK8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6" t="e">
        <f>(1 - ((1 - VLOOKUP(Table4[[#This Row],[ConfidentialityP]],'Reference - CVSSv3.0'!$B$15:$C$17,2,FALSE())) * (1 - VLOOKUP(Table4[[#This Row],[IntegrityP]],'Reference - CVSSv3.0'!$B$15:$C$17,2,FALSE())) *  (1 - VLOOKUP(Table4[[#This Row],[AvailabilityP]],'Reference - CVSSv3.0'!$B$15:$C$17,2,FALSE()))))</f>
        <v>#N/A</v>
      </c>
      <c r="AM83" s="96" t="e">
        <f>IF(Table4[[#This Row],[ScopeP]]="Unchanged",6.42*Table4[[#This Row],[ISC BaseP]],IF(Table4[[#This Row],[ScopeP]]="Changed",7.52*(Table4[[#This Row],[ISC BaseP]] - 0.029) - 3.25 * POWER(Table4[[#This Row],[ISC BaseP]] - 0.02,15),NA()))</f>
        <v>#N/A</v>
      </c>
      <c r="AN8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40"/>
    </row>
    <row r="84" spans="1:44" ht="182" hidden="1">
      <c r="A84" s="89">
        <v>80</v>
      </c>
      <c r="B84" s="90" t="s">
        <v>175</v>
      </c>
      <c r="C84" s="100" t="str">
        <f>IF(VLOOKUP(Table4[[#This Row],[T ID]],Table5[#All],5,FALSE())="No","Not in scope",VLOOKUP(Table4[[#This Row],[T ID]],Table5[#All],2,FALSE()))</f>
        <v>Open network port exploit
(TTP)</v>
      </c>
      <c r="D84" s="92" t="s">
        <v>96</v>
      </c>
      <c r="E84" s="100" t="str">
        <f>IF(VLOOKUP(Table4[[#This Row],[V ID]],Vulnerabilities[#All],3,FALSE())="No","Not in scope",VLOOKUP(Table4[[#This Row],[V ID]],Vulnerabilities[#All],2,FALSE()))</f>
        <v>Unencrypted Network segment through out the information flow</v>
      </c>
      <c r="F84" s="101" t="s">
        <v>14</v>
      </c>
      <c r="G84" s="100" t="str">
        <f>VLOOKUP(Table4[[#This Row],[A ID]],Assets[#All],3,FALSE())</f>
        <v>Tablet OS/network details &amp; Tablet Application</v>
      </c>
      <c r="H84" s="21" t="s">
        <v>269</v>
      </c>
      <c r="I84" s="161"/>
      <c r="J84" s="94" t="s">
        <v>243</v>
      </c>
      <c r="K84" s="94" t="s">
        <v>243</v>
      </c>
      <c r="L84" s="94" t="s">
        <v>239</v>
      </c>
      <c r="M84" s="95" t="s">
        <v>244</v>
      </c>
      <c r="N84" s="95" t="s">
        <v>248</v>
      </c>
      <c r="O84" s="95" t="s">
        <v>239</v>
      </c>
      <c r="P84" s="95" t="s">
        <v>243</v>
      </c>
      <c r="Q84" s="95" t="s">
        <v>242</v>
      </c>
      <c r="R8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6">
        <f>(1 - ((1 - VLOOKUP(Table4[[#This Row],[Confidentiality]],'Reference - CVSSv3.0'!$B$15:$C$17,2,FALSE())) * (1 - VLOOKUP(Table4[[#This Row],[Integrity]],'Reference - CVSSv3.0'!$B$15:$C$17,2,FALSE())) *  (1 - VLOOKUP(Table4[[#This Row],[Availability]],'Reference - CVSSv3.0'!$B$15:$C$17,2,FALSE()))))</f>
        <v>0.21999999999999997</v>
      </c>
      <c r="T84" s="96">
        <f>IF(Table4[[#This Row],[Scope]]="Unchanged",6.42*Table4[[#This Row],[ISC Base]],IF(Table4[[#This Row],[Scope]]="Changed",7.52*(Table4[[#This Row],[ISC Base]] - 0.029) - 3.25 * POWER(Table4[[#This Row],[ISC Base]] - 0.02,15),NA()))</f>
        <v>1.4123999999999999</v>
      </c>
      <c r="U84"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90" t="s">
        <v>249</v>
      </c>
      <c r="W84" s="96">
        <f>VLOOKUP(Table4[[#This Row],[Threat Event Initiation]],NIST_Scale_LOAI[],2,FALSE())</f>
        <v>0.5</v>
      </c>
      <c r="X8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t="s">
        <v>446</v>
      </c>
      <c r="AA84" s="21" t="s">
        <v>386</v>
      </c>
      <c r="AB84" s="111"/>
      <c r="AC84" s="40"/>
      <c r="AD84" s="40"/>
      <c r="AE84" s="40"/>
      <c r="AF84" s="95"/>
      <c r="AG84" s="95"/>
      <c r="AH84" s="95"/>
      <c r="AI84" s="95"/>
      <c r="AJ84" s="104"/>
      <c r="AK8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6" t="e">
        <f>(1 - ((1 - VLOOKUP(Table4[[#This Row],[ConfidentialityP]],'Reference - CVSSv3.0'!$B$15:$C$17,2,FALSE())) * (1 - VLOOKUP(Table4[[#This Row],[IntegrityP]],'Reference - CVSSv3.0'!$B$15:$C$17,2,FALSE())) *  (1 - VLOOKUP(Table4[[#This Row],[AvailabilityP]],'Reference - CVSSv3.0'!$B$15:$C$17,2,FALSE()))))</f>
        <v>#N/A</v>
      </c>
      <c r="AM84" s="96" t="e">
        <f>IF(Table4[[#This Row],[ScopeP]]="Unchanged",6.42*Table4[[#This Row],[ISC BaseP]],IF(Table4[[#This Row],[ScopeP]]="Changed",7.52*(Table4[[#This Row],[ISC BaseP]] - 0.029) - 3.25 * POWER(Table4[[#This Row],[ISC BaseP]] - 0.02,15),NA()))</f>
        <v>#N/A</v>
      </c>
      <c r="AN8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40"/>
    </row>
    <row r="85" spans="1:44" ht="409.5" hidden="1">
      <c r="A85" s="89">
        <v>81</v>
      </c>
      <c r="B85" s="90" t="s">
        <v>175</v>
      </c>
      <c r="C85" s="100" t="str">
        <f>IF(VLOOKUP(Table4[[#This Row],[T ID]],Table5[#All],5,FALSE())="No","Not in scope",VLOOKUP(Table4[[#This Row],[T ID]],Table5[#All],2,FALSE()))</f>
        <v>Open network port exploit
(TTP)</v>
      </c>
      <c r="D85" s="92" t="s">
        <v>103</v>
      </c>
      <c r="E85" s="100" t="str">
        <f>IF(VLOOKUP(Table4[[#This Row],[V ID]],Vulnerabilities[#All],3,FALSE())="No","Not in scope",VLOOKUP(Table4[[#This Row],[V ID]],Vulnerabilities[#All],2,FALSE()))</f>
        <v>Unencrypted data in transit in all flowchannels</v>
      </c>
      <c r="F85" s="101" t="s">
        <v>40</v>
      </c>
      <c r="G85" s="100" t="str">
        <f>VLOOKUP(Table4[[#This Row],[A ID]],Assets[#All],3,FALSE())</f>
        <v>Data in Transit</v>
      </c>
      <c r="H85" s="21" t="s">
        <v>272</v>
      </c>
      <c r="I85" s="161"/>
      <c r="J85" s="94" t="s">
        <v>243</v>
      </c>
      <c r="K85" s="94" t="s">
        <v>243</v>
      </c>
      <c r="L85" s="94" t="s">
        <v>239</v>
      </c>
      <c r="M85" s="95" t="s">
        <v>244</v>
      </c>
      <c r="N85" s="95" t="s">
        <v>248</v>
      </c>
      <c r="O85" s="95" t="s">
        <v>239</v>
      </c>
      <c r="P85" s="95" t="s">
        <v>243</v>
      </c>
      <c r="Q85" s="95" t="s">
        <v>242</v>
      </c>
      <c r="R8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6">
        <f>(1 - ((1 - VLOOKUP(Table4[[#This Row],[Confidentiality]],'Reference - CVSSv3.0'!$B$15:$C$17,2,FALSE())) * (1 - VLOOKUP(Table4[[#This Row],[Integrity]],'Reference - CVSSv3.0'!$B$15:$C$17,2,FALSE())) *  (1 - VLOOKUP(Table4[[#This Row],[Availability]],'Reference - CVSSv3.0'!$B$15:$C$17,2,FALSE()))))</f>
        <v>0.21999999999999997</v>
      </c>
      <c r="T85" s="96">
        <f>IF(Table4[[#This Row],[Scope]]="Unchanged",6.42*Table4[[#This Row],[ISC Base]],IF(Table4[[#This Row],[Scope]]="Changed",7.52*(Table4[[#This Row],[ISC Base]] - 0.029) - 3.25 * POWER(Table4[[#This Row],[ISC Base]] - 0.02,15),NA()))</f>
        <v>1.4123999999999999</v>
      </c>
      <c r="U85"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90" t="s">
        <v>249</v>
      </c>
      <c r="W85" s="96">
        <f>VLOOKUP(Table4[[#This Row],[Threat Event Initiation]],NIST_Scale_LOAI[],2,FALSE())</f>
        <v>0.5</v>
      </c>
      <c r="X8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t="s">
        <v>372</v>
      </c>
      <c r="AA85" s="21" t="s">
        <v>273</v>
      </c>
      <c r="AB85" s="111"/>
      <c r="AC85" s="40"/>
      <c r="AD85" s="40"/>
      <c r="AE85" s="40"/>
      <c r="AF85" s="95"/>
      <c r="AG85" s="95"/>
      <c r="AH85" s="95"/>
      <c r="AI85" s="95"/>
      <c r="AJ85" s="104"/>
      <c r="AK8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6" t="e">
        <f>(1 - ((1 - VLOOKUP(Table4[[#This Row],[ConfidentialityP]],'Reference - CVSSv3.0'!$B$15:$C$17,2,FALSE())) * (1 - VLOOKUP(Table4[[#This Row],[IntegrityP]],'Reference - CVSSv3.0'!$B$15:$C$17,2,FALSE())) *  (1 - VLOOKUP(Table4[[#This Row],[AvailabilityP]],'Reference - CVSSv3.0'!$B$15:$C$17,2,FALSE()))))</f>
        <v>#N/A</v>
      </c>
      <c r="AM85" s="96" t="e">
        <f>IF(Table4[[#This Row],[ScopeP]]="Unchanged",6.42*Table4[[#This Row],[ISC BaseP]],IF(Table4[[#This Row],[ScopeP]]="Changed",7.52*(Table4[[#This Row],[ISC BaseP]] - 0.029) - 3.25 * POWER(Table4[[#This Row],[ISC BaseP]] - 0.02,15),NA()))</f>
        <v>#N/A</v>
      </c>
      <c r="AN8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40"/>
    </row>
    <row r="86" spans="1:44" ht="182" hidden="1">
      <c r="A86" s="106">
        <v>82</v>
      </c>
      <c r="B86" s="90" t="s">
        <v>175</v>
      </c>
      <c r="C86" s="100" t="str">
        <f>IF(VLOOKUP(Table4[[#This Row],[T ID]],Table5[#All],5,FALSE())="No","Not in scope",VLOOKUP(Table4[[#This Row],[T ID]],Table5[#All],2,FALSE()))</f>
        <v>Open network port exploit
(TTP)</v>
      </c>
      <c r="D86" s="115" t="s">
        <v>76</v>
      </c>
      <c r="E86" s="100" t="str">
        <f>IF(VLOOKUP(Table4[[#This Row],[V ID]],Vulnerabilities[#All],3,FALSE())="No","Not in scope",VLOOKUP(Table4[[#This Row],[V ID]],Vulnerabilities[#All],2,FALSE()))</f>
        <v>Insecure communications in networks (hospital)</v>
      </c>
      <c r="F86" s="101" t="s">
        <v>14</v>
      </c>
      <c r="G86" s="100" t="str">
        <f>VLOOKUP(Table4[[#This Row],[A ID]],Assets[#All],3,FALSE())</f>
        <v>Tablet OS/network details &amp; Tablet Application</v>
      </c>
      <c r="H86" s="21" t="s">
        <v>269</v>
      </c>
      <c r="I86" s="161"/>
      <c r="J86" s="94" t="s">
        <v>243</v>
      </c>
      <c r="K86" s="94" t="s">
        <v>239</v>
      </c>
      <c r="L86" s="94" t="s">
        <v>239</v>
      </c>
      <c r="M86" s="95" t="s">
        <v>244</v>
      </c>
      <c r="N86" s="95" t="s">
        <v>248</v>
      </c>
      <c r="O86" s="95" t="s">
        <v>239</v>
      </c>
      <c r="P86" s="95" t="s">
        <v>243</v>
      </c>
      <c r="Q86" s="95" t="s">
        <v>242</v>
      </c>
      <c r="R8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6">
        <f>(1 - ((1 - VLOOKUP(Table4[[#This Row],[Confidentiality]],'Reference - CVSSv3.0'!$B$15:$C$17,2,FALSE())) * (1 - VLOOKUP(Table4[[#This Row],[Integrity]],'Reference - CVSSv3.0'!$B$15:$C$17,2,FALSE())) *  (1 - VLOOKUP(Table4[[#This Row],[Availability]],'Reference - CVSSv3.0'!$B$15:$C$17,2,FALSE()))))</f>
        <v>0.39159999999999995</v>
      </c>
      <c r="T86" s="96">
        <f>IF(Table4[[#This Row],[Scope]]="Unchanged",6.42*Table4[[#This Row],[ISC Base]],IF(Table4[[#This Row],[Scope]]="Changed",7.52*(Table4[[#This Row],[ISC Base]] - 0.029) - 3.25 * POWER(Table4[[#This Row],[ISC Base]] - 0.02,15),NA()))</f>
        <v>2.5140719999999996</v>
      </c>
      <c r="U86"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90" t="s">
        <v>249</v>
      </c>
      <c r="W86" s="96">
        <f>VLOOKUP(Table4[[#This Row],[Threat Event Initiation]],NIST_Scale_LOAI[],2,FALSE())</f>
        <v>0.5</v>
      </c>
      <c r="X8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t="s">
        <v>446</v>
      </c>
      <c r="AA86" s="21" t="s">
        <v>386</v>
      </c>
      <c r="AB86" s="111"/>
      <c r="AC86" s="40"/>
      <c r="AD86" s="40"/>
      <c r="AE86" s="40"/>
      <c r="AF86" s="95"/>
      <c r="AG86" s="95"/>
      <c r="AH86" s="95"/>
      <c r="AI86" s="95"/>
      <c r="AJ86" s="104"/>
      <c r="AK8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6" t="e">
        <f>(1 - ((1 - VLOOKUP(Table4[[#This Row],[ConfidentialityP]],'Reference - CVSSv3.0'!$B$15:$C$17,2,FALSE())) * (1 - VLOOKUP(Table4[[#This Row],[IntegrityP]],'Reference - CVSSv3.0'!$B$15:$C$17,2,FALSE())) *  (1 - VLOOKUP(Table4[[#This Row],[AvailabilityP]],'Reference - CVSSv3.0'!$B$15:$C$17,2,FALSE()))))</f>
        <v>#N/A</v>
      </c>
      <c r="AM86" s="96" t="e">
        <f>IF(Table4[[#This Row],[ScopeP]]="Unchanged",6.42*Table4[[#This Row],[ISC BaseP]],IF(Table4[[#This Row],[ScopeP]]="Changed",7.52*(Table4[[#This Row],[ISC BaseP]] - 0.029) - 3.25 * POWER(Table4[[#This Row],[ISC BaseP]] - 0.02,15),NA()))</f>
        <v>#N/A</v>
      </c>
      <c r="AN8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40"/>
    </row>
    <row r="87" spans="1:44" ht="252" hidden="1">
      <c r="A87" s="89">
        <v>83</v>
      </c>
      <c r="B87" s="90" t="s">
        <v>178</v>
      </c>
      <c r="C87" s="100" t="str">
        <f>IF(VLOOKUP(Table4[[#This Row],[T ID]],Table5[#All],5,FALSE())="No","Not in scope",VLOOKUP(Table4[[#This Row],[T ID]],Table5[#All],2,FALSE()))</f>
        <v>Brute-force Attack
(CAPEC-112)</v>
      </c>
      <c r="D87" s="61" t="s">
        <v>66</v>
      </c>
      <c r="E87" s="100" t="str">
        <f>IF(VLOOKUP(Table4[[#This Row],[V ID]],Vulnerabilities[#All],3,FALSE())="No","Not in scope",VLOOKUP(Table4[[#This Row],[V ID]],Vulnerabilities[#All],2,FALSE()))</f>
        <v>Devices with default passwords needs to be checked for bruteforce attacks</v>
      </c>
      <c r="F87" s="101" t="s">
        <v>43</v>
      </c>
      <c r="G87" s="100" t="str">
        <f>VLOOKUP(Table4[[#This Row],[A ID]],Assets[#All],3,FALSE())</f>
        <v>Smart medic app (Stryker Admin Web Application)</v>
      </c>
      <c r="H87" s="21" t="s">
        <v>274</v>
      </c>
      <c r="I87" s="161"/>
      <c r="J87" s="94" t="s">
        <v>239</v>
      </c>
      <c r="K87" s="94" t="s">
        <v>243</v>
      </c>
      <c r="L87" s="94" t="s">
        <v>239</v>
      </c>
      <c r="M87" s="95" t="s">
        <v>244</v>
      </c>
      <c r="N87" s="95" t="s">
        <v>248</v>
      </c>
      <c r="O87" s="95" t="s">
        <v>248</v>
      </c>
      <c r="P87" s="95" t="s">
        <v>243</v>
      </c>
      <c r="Q87" s="95" t="s">
        <v>242</v>
      </c>
      <c r="R8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6">
        <f>(1 - ((1 - VLOOKUP(Table4[[#This Row],[Confidentiality]],'Reference - CVSSv3.0'!$B$15:$C$17,2,FALSE())) * (1 - VLOOKUP(Table4[[#This Row],[Integrity]],'Reference - CVSSv3.0'!$B$15:$C$17,2,FALSE())) *  (1 - VLOOKUP(Table4[[#This Row],[Availability]],'Reference - CVSSv3.0'!$B$15:$C$17,2,FALSE()))))</f>
        <v>0.39159999999999995</v>
      </c>
      <c r="T87" s="96">
        <f>IF(Table4[[#This Row],[Scope]]="Unchanged",6.42*Table4[[#This Row],[ISC Base]],IF(Table4[[#This Row],[Scope]]="Changed",7.52*(Table4[[#This Row],[ISC Base]] - 0.029) - 3.25 * POWER(Table4[[#This Row],[ISC Base]] - 0.02,15),NA()))</f>
        <v>2.5140719999999996</v>
      </c>
      <c r="U87"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90" t="s">
        <v>249</v>
      </c>
      <c r="W87" s="96">
        <f>VLOOKUP(Table4[[#This Row],[Threat Event Initiation]],NIST_Scale_LOAI[],2,FALSE())</f>
        <v>0.5</v>
      </c>
      <c r="X8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t="s">
        <v>453</v>
      </c>
      <c r="AA87" s="21" t="s">
        <v>463</v>
      </c>
      <c r="AB87" s="111"/>
      <c r="AC87" s="40"/>
      <c r="AD87" s="40"/>
      <c r="AE87" s="40"/>
      <c r="AF87" s="95"/>
      <c r="AG87" s="95"/>
      <c r="AH87" s="95"/>
      <c r="AI87" s="95"/>
      <c r="AJ87" s="104"/>
      <c r="AK8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6" t="e">
        <f>(1 - ((1 - VLOOKUP(Table4[[#This Row],[ConfidentialityP]],'Reference - CVSSv3.0'!$B$15:$C$17,2,FALSE())) * (1 - VLOOKUP(Table4[[#This Row],[IntegrityP]],'Reference - CVSSv3.0'!$B$15:$C$17,2,FALSE())) *  (1 - VLOOKUP(Table4[[#This Row],[AvailabilityP]],'Reference - CVSSv3.0'!$B$15:$C$17,2,FALSE()))))</f>
        <v>#N/A</v>
      </c>
      <c r="AM87" s="96" t="e">
        <f>IF(Table4[[#This Row],[ScopeP]]="Unchanged",6.42*Table4[[#This Row],[ISC BaseP]],IF(Table4[[#This Row],[ScopeP]]="Changed",7.52*(Table4[[#This Row],[ISC BaseP]] - 0.029) - 3.25 * POWER(Table4[[#This Row],[ISC BaseP]] - 0.02,15),NA()))</f>
        <v>#N/A</v>
      </c>
      <c r="AN8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40"/>
    </row>
    <row r="88" spans="1:44" ht="196" hidden="1">
      <c r="A88" s="89">
        <v>84</v>
      </c>
      <c r="B88" s="90" t="s">
        <v>178</v>
      </c>
      <c r="C88" s="100" t="str">
        <f>IF(VLOOKUP(Table4[[#This Row],[T ID]],Table5[#All],5,FALSE())="No","Not in scope",VLOOKUP(Table4[[#This Row],[T ID]],Table5[#All],2,FALSE()))</f>
        <v>Brute-force Attack
(CAPEC-112)</v>
      </c>
      <c r="D88" s="61" t="s">
        <v>66</v>
      </c>
      <c r="E88" s="100" t="str">
        <f>IF(VLOOKUP(Table4[[#This Row],[V ID]],Vulnerabilities[#All],3,FALSE())="No","Not in scope",VLOOKUP(Table4[[#This Row],[V ID]],Vulnerabilities[#All],2,FALSE()))</f>
        <v>Devices with default passwords needs to be checked for bruteforce attacks</v>
      </c>
      <c r="F88" s="101" t="s">
        <v>46</v>
      </c>
      <c r="G88" s="100" t="str">
        <f>VLOOKUP(Table4[[#This Row],[A ID]],Assets[#All],3,FALSE())</f>
        <v>Smart medic app (Azure Portal Administrator)</v>
      </c>
      <c r="H88" s="21" t="s">
        <v>274</v>
      </c>
      <c r="I88" s="161"/>
      <c r="J88" s="94" t="s">
        <v>239</v>
      </c>
      <c r="K88" s="94" t="s">
        <v>243</v>
      </c>
      <c r="L88" s="94" t="s">
        <v>239</v>
      </c>
      <c r="M88" s="95" t="s">
        <v>244</v>
      </c>
      <c r="N88" s="95" t="s">
        <v>248</v>
      </c>
      <c r="O88" s="95" t="s">
        <v>248</v>
      </c>
      <c r="P88" s="95" t="s">
        <v>243</v>
      </c>
      <c r="Q88" s="95" t="s">
        <v>242</v>
      </c>
      <c r="R8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6">
        <f>(1 - ((1 - VLOOKUP(Table4[[#This Row],[Confidentiality]],'Reference - CVSSv3.0'!$B$15:$C$17,2,FALSE())) * (1 - VLOOKUP(Table4[[#This Row],[Integrity]],'Reference - CVSSv3.0'!$B$15:$C$17,2,FALSE())) *  (1 - VLOOKUP(Table4[[#This Row],[Availability]],'Reference - CVSSv3.0'!$B$15:$C$17,2,FALSE()))))</f>
        <v>0.39159999999999995</v>
      </c>
      <c r="T88" s="96">
        <f>IF(Table4[[#This Row],[Scope]]="Unchanged",6.42*Table4[[#This Row],[ISC Base]],IF(Table4[[#This Row],[Scope]]="Changed",7.52*(Table4[[#This Row],[ISC Base]] - 0.029) - 3.25 * POWER(Table4[[#This Row],[ISC Base]] - 0.02,15),NA()))</f>
        <v>2.5140719999999996</v>
      </c>
      <c r="U88"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90" t="s">
        <v>249</v>
      </c>
      <c r="W88" s="96">
        <f>VLOOKUP(Table4[[#This Row],[Threat Event Initiation]],NIST_Scale_LOAI[],2,FALSE())</f>
        <v>0.5</v>
      </c>
      <c r="X8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t="s">
        <v>453</v>
      </c>
      <c r="AA88" s="274" t="s">
        <v>471</v>
      </c>
      <c r="AB88" s="111"/>
      <c r="AC88" s="40"/>
      <c r="AD88" s="40"/>
      <c r="AE88" s="40"/>
      <c r="AF88" s="95"/>
      <c r="AG88" s="95"/>
      <c r="AH88" s="95"/>
      <c r="AI88" s="95"/>
      <c r="AJ88" s="104"/>
      <c r="AK8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6" t="e">
        <f>(1 - ((1 - VLOOKUP(Table4[[#This Row],[ConfidentialityP]],'Reference - CVSSv3.0'!$B$15:$C$17,2,FALSE())) * (1 - VLOOKUP(Table4[[#This Row],[IntegrityP]],'Reference - CVSSv3.0'!$B$15:$C$17,2,FALSE())) *  (1 - VLOOKUP(Table4[[#This Row],[AvailabilityP]],'Reference - CVSSv3.0'!$B$15:$C$17,2,FALSE()))))</f>
        <v>#N/A</v>
      </c>
      <c r="AM88" s="96" t="e">
        <f>IF(Table4[[#This Row],[ScopeP]]="Unchanged",6.42*Table4[[#This Row],[ISC BaseP]],IF(Table4[[#This Row],[ScopeP]]="Changed",7.52*(Table4[[#This Row],[ISC BaseP]] - 0.029) - 3.25 * POWER(Table4[[#This Row],[ISC BaseP]] - 0.02,15),NA()))</f>
        <v>#N/A</v>
      </c>
      <c r="AN8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40"/>
    </row>
    <row r="89" spans="1:44" ht="409.5" hidden="1">
      <c r="A89" s="89">
        <v>85</v>
      </c>
      <c r="B89" s="90" t="s">
        <v>178</v>
      </c>
      <c r="C89" s="100" t="str">
        <f>IF(VLOOKUP(Table4[[#This Row],[T ID]],Table5[#All],5,FALSE())="No","Not in scope",VLOOKUP(Table4[[#This Row],[T ID]],Table5[#All],2,FALSE()))</f>
        <v>Brute-force Attack
(CAPEC-112)</v>
      </c>
      <c r="D89" s="61" t="s">
        <v>72</v>
      </c>
      <c r="E89" s="100" t="str">
        <f>IF(VLOOKUP(Table4[[#This Row],[V ID]],Vulnerabilities[#All],3,FALSE())="No","Not in scope",VLOOKUP(Table4[[#This Row],[V ID]],Vulnerabilities[#All],2,FALSE()))</f>
        <v>The password complexity or location vulnerability. Like weak passwords and hardcoded passwords.</v>
      </c>
      <c r="F89" s="101" t="s">
        <v>43</v>
      </c>
      <c r="G89" s="100" t="str">
        <f>VLOOKUP(Table4[[#This Row],[A ID]],Assets[#All],3,FALSE())</f>
        <v>Smart medic app (Stryker Admin Web Application)</v>
      </c>
      <c r="H89" s="21" t="s">
        <v>274</v>
      </c>
      <c r="I89" s="161"/>
      <c r="J89" s="94" t="s">
        <v>239</v>
      </c>
      <c r="K89" s="94" t="s">
        <v>243</v>
      </c>
      <c r="L89" s="94" t="s">
        <v>239</v>
      </c>
      <c r="M89" s="95" t="s">
        <v>244</v>
      </c>
      <c r="N89" s="95" t="s">
        <v>248</v>
      </c>
      <c r="O89" s="95" t="s">
        <v>248</v>
      </c>
      <c r="P89" s="95" t="s">
        <v>243</v>
      </c>
      <c r="Q89" s="95" t="s">
        <v>242</v>
      </c>
      <c r="R8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6">
        <f>(1 - ((1 - VLOOKUP(Table4[[#This Row],[Confidentiality]],'Reference - CVSSv3.0'!$B$15:$C$17,2,FALSE())) * (1 - VLOOKUP(Table4[[#This Row],[Integrity]],'Reference - CVSSv3.0'!$B$15:$C$17,2,FALSE())) *  (1 - VLOOKUP(Table4[[#This Row],[Availability]],'Reference - CVSSv3.0'!$B$15:$C$17,2,FALSE()))))</f>
        <v>0.39159999999999995</v>
      </c>
      <c r="T89" s="96">
        <f>IF(Table4[[#This Row],[Scope]]="Unchanged",6.42*Table4[[#This Row],[ISC Base]],IF(Table4[[#This Row],[Scope]]="Changed",7.52*(Table4[[#This Row],[ISC Base]] - 0.029) - 3.25 * POWER(Table4[[#This Row],[ISC Base]] - 0.02,15),NA()))</f>
        <v>2.5140719999999996</v>
      </c>
      <c r="U89"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90" t="s">
        <v>249</v>
      </c>
      <c r="W89" s="96">
        <f>VLOOKUP(Table4[[#This Row],[Threat Event Initiation]],NIST_Scale_LOAI[],2,FALSE())</f>
        <v>0.5</v>
      </c>
      <c r="X8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t="s">
        <v>452</v>
      </c>
      <c r="AA89" s="114" t="s">
        <v>440</v>
      </c>
      <c r="AB89" s="111"/>
      <c r="AC89" s="40"/>
      <c r="AD89" s="40"/>
      <c r="AE89" s="40"/>
      <c r="AF89" s="95"/>
      <c r="AG89" s="95"/>
      <c r="AH89" s="95"/>
      <c r="AI89" s="95"/>
      <c r="AJ89" s="104"/>
      <c r="AK8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6" t="e">
        <f>(1 - ((1 - VLOOKUP(Table4[[#This Row],[ConfidentialityP]],'Reference - CVSSv3.0'!$B$15:$C$17,2,FALSE())) * (1 - VLOOKUP(Table4[[#This Row],[IntegrityP]],'Reference - CVSSv3.0'!$B$15:$C$17,2,FALSE())) *  (1 - VLOOKUP(Table4[[#This Row],[AvailabilityP]],'Reference - CVSSv3.0'!$B$15:$C$17,2,FALSE()))))</f>
        <v>#N/A</v>
      </c>
      <c r="AM89" s="96" t="e">
        <f>IF(Table4[[#This Row],[ScopeP]]="Unchanged",6.42*Table4[[#This Row],[ISC BaseP]],IF(Table4[[#This Row],[ScopeP]]="Changed",7.52*(Table4[[#This Row],[ISC BaseP]] - 0.029) - 3.25 * POWER(Table4[[#This Row],[ISC BaseP]] - 0.02,15),NA()))</f>
        <v>#N/A</v>
      </c>
      <c r="AN8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40"/>
    </row>
    <row r="90" spans="1:44" ht="196" hidden="1">
      <c r="A90" s="89">
        <v>86</v>
      </c>
      <c r="B90" s="90" t="s">
        <v>178</v>
      </c>
      <c r="C90" s="100" t="str">
        <f>IF(VLOOKUP(Table4[[#This Row],[T ID]],Table5[#All],5,FALSE())="No","Not in scope",VLOOKUP(Table4[[#This Row],[T ID]],Table5[#All],2,FALSE()))</f>
        <v>Brute-force Attack
(CAPEC-112)</v>
      </c>
      <c r="D90" s="61" t="s">
        <v>72</v>
      </c>
      <c r="E90" s="100" t="str">
        <f>IF(VLOOKUP(Table4[[#This Row],[V ID]],Vulnerabilities[#All],3,FALSE())="No","Not in scope",VLOOKUP(Table4[[#This Row],[V ID]],Vulnerabilities[#All],2,FALSE()))</f>
        <v>The password complexity or location vulnerability. Like weak passwords and hardcoded passwords.</v>
      </c>
      <c r="F90" s="101" t="s">
        <v>46</v>
      </c>
      <c r="G90" s="100" t="str">
        <f>VLOOKUP(Table4[[#This Row],[A ID]],Assets[#All],3,FALSE())</f>
        <v>Smart medic app (Azure Portal Administrator)</v>
      </c>
      <c r="H90" s="21" t="s">
        <v>274</v>
      </c>
      <c r="I90" s="161"/>
      <c r="J90" s="94" t="s">
        <v>239</v>
      </c>
      <c r="K90" s="94" t="s">
        <v>243</v>
      </c>
      <c r="L90" s="94" t="s">
        <v>239</v>
      </c>
      <c r="M90" s="95" t="s">
        <v>244</v>
      </c>
      <c r="N90" s="95" t="s">
        <v>248</v>
      </c>
      <c r="O90" s="95" t="s">
        <v>248</v>
      </c>
      <c r="P90" s="95" t="s">
        <v>243</v>
      </c>
      <c r="Q90" s="95" t="s">
        <v>242</v>
      </c>
      <c r="R9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6">
        <f>(1 - ((1 - VLOOKUP(Table4[[#This Row],[Confidentiality]],'Reference - CVSSv3.0'!$B$15:$C$17,2,FALSE())) * (1 - VLOOKUP(Table4[[#This Row],[Integrity]],'Reference - CVSSv3.0'!$B$15:$C$17,2,FALSE())) *  (1 - VLOOKUP(Table4[[#This Row],[Availability]],'Reference - CVSSv3.0'!$B$15:$C$17,2,FALSE()))))</f>
        <v>0.39159999999999995</v>
      </c>
      <c r="T90" s="96">
        <f>IF(Table4[[#This Row],[Scope]]="Unchanged",6.42*Table4[[#This Row],[ISC Base]],IF(Table4[[#This Row],[Scope]]="Changed",7.52*(Table4[[#This Row],[ISC Base]] - 0.029) - 3.25 * POWER(Table4[[#This Row],[ISC Base]] - 0.02,15),NA()))</f>
        <v>2.5140719999999996</v>
      </c>
      <c r="U90"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90" t="s">
        <v>249</v>
      </c>
      <c r="W90" s="96">
        <f>VLOOKUP(Table4[[#This Row],[Threat Event Initiation]],NIST_Scale_LOAI[],2,FALSE())</f>
        <v>0.5</v>
      </c>
      <c r="X9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t="s">
        <v>454</v>
      </c>
      <c r="AA90" s="274" t="s">
        <v>471</v>
      </c>
      <c r="AB90" s="111"/>
      <c r="AC90" s="40"/>
      <c r="AD90" s="40"/>
      <c r="AE90" s="40"/>
      <c r="AF90" s="95"/>
      <c r="AG90" s="95"/>
      <c r="AH90" s="95"/>
      <c r="AI90" s="95"/>
      <c r="AJ90" s="104"/>
      <c r="AK9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6" t="e">
        <f>(1 - ((1 - VLOOKUP(Table4[[#This Row],[ConfidentialityP]],'Reference - CVSSv3.0'!$B$15:$C$17,2,FALSE())) * (1 - VLOOKUP(Table4[[#This Row],[IntegrityP]],'Reference - CVSSv3.0'!$B$15:$C$17,2,FALSE())) *  (1 - VLOOKUP(Table4[[#This Row],[AvailabilityP]],'Reference - CVSSv3.0'!$B$15:$C$17,2,FALSE()))))</f>
        <v>#N/A</v>
      </c>
      <c r="AM90" s="96" t="e">
        <f>IF(Table4[[#This Row],[ScopeP]]="Unchanged",6.42*Table4[[#This Row],[ISC BaseP]],IF(Table4[[#This Row],[ScopeP]]="Changed",7.52*(Table4[[#This Row],[ISC BaseP]] - 0.029) - 3.25 * POWER(Table4[[#This Row],[ISC BaseP]] - 0.02,15),NA()))</f>
        <v>#N/A</v>
      </c>
      <c r="AN9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40"/>
    </row>
    <row r="91" spans="1:44" s="127" customFormat="1" ht="409.5" hidden="1">
      <c r="A91" s="89">
        <v>87</v>
      </c>
      <c r="B91" s="116" t="s">
        <v>178</v>
      </c>
      <c r="C91" s="100" t="str">
        <f>IF(VLOOKUP(Table4[[#This Row],[T ID]],Table5[#All],5,FALSE())="No","Not in scope",VLOOKUP(Table4[[#This Row],[T ID]],Table5[#All],2,FALSE()))</f>
        <v>Brute-force Attack
(CAPEC-112)</v>
      </c>
      <c r="D91" s="117" t="s">
        <v>105</v>
      </c>
      <c r="E91" s="100" t="str">
        <f>IF(VLOOKUP(Table4[[#This Row],[V ID]],Vulnerabilities[#All],3,FALSE())="No","Not in scope",VLOOKUP(Table4[[#This Row],[V ID]],Vulnerabilities[#All],2,FALSE()))</f>
        <v>Weak Encryption Implementaion in data at rest and in transit tactical and design wise</v>
      </c>
      <c r="F91" s="118" t="s">
        <v>37</v>
      </c>
      <c r="G91" s="100" t="str">
        <f>VLOOKUP(Table4[[#This Row],[A ID]],Assets[#All],3,FALSE())</f>
        <v>Data at Rest</v>
      </c>
      <c r="H91" s="114" t="s">
        <v>275</v>
      </c>
      <c r="I91" s="161"/>
      <c r="J91" s="119" t="s">
        <v>239</v>
      </c>
      <c r="K91" s="119" t="s">
        <v>243</v>
      </c>
      <c r="L91" s="119" t="s">
        <v>239</v>
      </c>
      <c r="M91" s="95" t="s">
        <v>247</v>
      </c>
      <c r="N91" s="119" t="s">
        <v>248</v>
      </c>
      <c r="O91" s="95" t="s">
        <v>248</v>
      </c>
      <c r="P91" s="95" t="s">
        <v>243</v>
      </c>
      <c r="Q91" s="119" t="s">
        <v>242</v>
      </c>
      <c r="R9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6">
        <f>(1 - ((1 - VLOOKUP(Table4[[#This Row],[Confidentiality]],'Reference - CVSSv3.0'!$B$15:$C$17,2,FALSE())) * (1 - VLOOKUP(Table4[[#This Row],[Integrity]],'Reference - CVSSv3.0'!$B$15:$C$17,2,FALSE())) *  (1 - VLOOKUP(Table4[[#This Row],[Availability]],'Reference - CVSSv3.0'!$B$15:$C$17,2,FALSE()))))</f>
        <v>0.39159999999999995</v>
      </c>
      <c r="T91" s="96">
        <f>IF(Table4[[#This Row],[Scope]]="Unchanged",6.42*Table4[[#This Row],[ISC Base]],IF(Table4[[#This Row],[Scope]]="Changed",7.52*(Table4[[#This Row],[ISC Base]] - 0.029) - 3.25 * POWER(Table4[[#This Row],[ISC Base]] - 0.02,15),NA()))</f>
        <v>2.5140719999999996</v>
      </c>
      <c r="U91" s="96">
        <f>IF(Table4[[#This Row],[Impact Sub Score]]&lt;=0,0,IF(Table4[[#This Row],[Scope]]="Unchanged",ROUNDUP(MIN((Table4[[#This Row],[Impact Sub Score]]+Table4[[#This Row],[Exploitability Sub Score]]),10),1),IF(Table4[[#This Row],[Scope]]="Changed",ROUNDUP(MIN((1.08*(Table4[[#This Row],[Impact Sub Score]]+Table4[[#This Row],[Exploitability Sub Score]])),10),1),NA())))</f>
        <v>3</v>
      </c>
      <c r="V91" s="90" t="s">
        <v>249</v>
      </c>
      <c r="W91" s="96">
        <f>VLOOKUP(Table4[[#This Row],[Threat Event Initiation]],NIST_Scale_LOAI[],2,FALSE())</f>
        <v>0.5</v>
      </c>
      <c r="X9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14" t="s">
        <v>276</v>
      </c>
      <c r="AA91" s="114" t="s">
        <v>389</v>
      </c>
      <c r="AB91" s="121"/>
      <c r="AC91" s="122"/>
      <c r="AD91" s="122"/>
      <c r="AE91" s="122"/>
      <c r="AF91" s="119"/>
      <c r="AG91" s="119"/>
      <c r="AH91" s="119"/>
      <c r="AI91" s="119"/>
      <c r="AJ91" s="123"/>
      <c r="AK9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6" t="e">
        <f>(1 - ((1 - VLOOKUP(Table4[[#This Row],[ConfidentialityP]],'Reference - CVSSv3.0'!$B$15:$C$17,2,FALSE())) * (1 - VLOOKUP(Table4[[#This Row],[IntegrityP]],'Reference - CVSSv3.0'!$B$15:$C$17,2,FALSE())) *  (1 - VLOOKUP(Table4[[#This Row],[AvailabilityP]],'Reference - CVSSv3.0'!$B$15:$C$17,2,FALSE()))))</f>
        <v>#N/A</v>
      </c>
      <c r="AM91" s="96" t="e">
        <f>IF(Table4[[#This Row],[ScopeP]]="Unchanged",6.42*Table4[[#This Row],[ISC BaseP]],IF(Table4[[#This Row],[ScopeP]]="Changed",7.52*(Table4[[#This Row],[ISC BaseP]] - 0.029) - 3.25 * POWER(Table4[[#This Row],[ISC BaseP]] - 0.02,15),NA()))</f>
        <v>#N/A</v>
      </c>
      <c r="AN91" s="1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22"/>
      <c r="AR91" s="126"/>
    </row>
    <row r="92" spans="1:44" s="127" customFormat="1" ht="182" hidden="1">
      <c r="A92" s="89">
        <v>88</v>
      </c>
      <c r="B92" s="116" t="s">
        <v>178</v>
      </c>
      <c r="C92" s="100" t="str">
        <f>IF(VLOOKUP(Table4[[#This Row],[T ID]],Table5[#All],5,FALSE())="No","Not in scope",VLOOKUP(Table4[[#This Row],[T ID]],Table5[#All],2,FALSE()))</f>
        <v>Brute-force Attack
(CAPEC-112)</v>
      </c>
      <c r="D92" s="117" t="s">
        <v>105</v>
      </c>
      <c r="E92" s="100" t="str">
        <f>IF(VLOOKUP(Table4[[#This Row],[V ID]],Vulnerabilities[#All],3,FALSE())="No","Not in scope",VLOOKUP(Table4[[#This Row],[V ID]],Vulnerabilities[#All],2,FALSE()))</f>
        <v>Weak Encryption Implementaion in data at rest and in transit tactical and design wise</v>
      </c>
      <c r="F92" s="118" t="s">
        <v>40</v>
      </c>
      <c r="G92" s="100" t="str">
        <f>VLOOKUP(Table4[[#This Row],[A ID]],Assets[#All],3,FALSE())</f>
        <v>Data in Transit</v>
      </c>
      <c r="H92" s="114" t="s">
        <v>275</v>
      </c>
      <c r="I92" s="161"/>
      <c r="J92" s="119" t="s">
        <v>239</v>
      </c>
      <c r="K92" s="119" t="s">
        <v>243</v>
      </c>
      <c r="L92" s="119" t="s">
        <v>239</v>
      </c>
      <c r="M92" s="95" t="s">
        <v>244</v>
      </c>
      <c r="N92" s="119" t="s">
        <v>248</v>
      </c>
      <c r="O92" s="95" t="s">
        <v>248</v>
      </c>
      <c r="P92" s="95" t="s">
        <v>243</v>
      </c>
      <c r="Q92" s="119" t="s">
        <v>242</v>
      </c>
      <c r="R9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6">
        <f>(1 - ((1 - VLOOKUP(Table4[[#This Row],[Confidentiality]],'Reference - CVSSv3.0'!$B$15:$C$17,2,FALSE())) * (1 - VLOOKUP(Table4[[#This Row],[Integrity]],'Reference - CVSSv3.0'!$B$15:$C$17,2,FALSE())) *  (1 - VLOOKUP(Table4[[#This Row],[Availability]],'Reference - CVSSv3.0'!$B$15:$C$17,2,FALSE()))))</f>
        <v>0.39159999999999995</v>
      </c>
      <c r="T92" s="96">
        <f>IF(Table4[[#This Row],[Scope]]="Unchanged",6.42*Table4[[#This Row],[ISC Base]],IF(Table4[[#This Row],[Scope]]="Changed",7.52*(Table4[[#This Row],[ISC Base]] - 0.029) - 3.25 * POWER(Table4[[#This Row],[ISC Base]] - 0.02,15),NA()))</f>
        <v>2.5140719999999996</v>
      </c>
      <c r="U92"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90" t="s">
        <v>249</v>
      </c>
      <c r="W92" s="96">
        <f>VLOOKUP(Table4[[#This Row],[Threat Event Initiation]],NIST_Scale_LOAI[],2,FALSE())</f>
        <v>0.5</v>
      </c>
      <c r="X9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14" t="s">
        <v>261</v>
      </c>
      <c r="AA92" s="21" t="s">
        <v>390</v>
      </c>
      <c r="AB92" s="121"/>
      <c r="AC92" s="122"/>
      <c r="AD92" s="122"/>
      <c r="AE92" s="122"/>
      <c r="AF92" s="119"/>
      <c r="AG92" s="119"/>
      <c r="AH92" s="119"/>
      <c r="AI92" s="119"/>
      <c r="AJ92" s="123"/>
      <c r="AK9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6" t="e">
        <f>(1 - ((1 - VLOOKUP(Table4[[#This Row],[ConfidentialityP]],'Reference - CVSSv3.0'!$B$15:$C$17,2,FALSE())) * (1 - VLOOKUP(Table4[[#This Row],[IntegrityP]],'Reference - CVSSv3.0'!$B$15:$C$17,2,FALSE())) *  (1 - VLOOKUP(Table4[[#This Row],[AvailabilityP]],'Reference - CVSSv3.0'!$B$15:$C$17,2,FALSE()))))</f>
        <v>#N/A</v>
      </c>
      <c r="AM92" s="96" t="e">
        <f>IF(Table4[[#This Row],[ScopeP]]="Unchanged",6.42*Table4[[#This Row],[ISC BaseP]],IF(Table4[[#This Row],[ScopeP]]="Changed",7.52*(Table4[[#This Row],[ISC BaseP]] - 0.029) - 3.25 * POWER(Table4[[#This Row],[ISC BaseP]] - 0.02,15),NA()))</f>
        <v>#N/A</v>
      </c>
      <c r="AN92" s="1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22"/>
      <c r="AR92" s="126"/>
    </row>
    <row r="93" spans="1:44" ht="97.5" hidden="1" customHeight="1">
      <c r="A93" s="89">
        <v>89</v>
      </c>
      <c r="B93" s="90" t="s">
        <v>181</v>
      </c>
      <c r="C93" s="100" t="str">
        <f>IF(VLOOKUP(Table4[[#This Row],[T ID]],Table5[#All],5,FALSE())="No","Not in scope",VLOOKUP(Table4[[#This Row],[T ID]],Table5[#All],2,FALSE()))</f>
        <v>Social Engineering
(TTP)</v>
      </c>
      <c r="D93" s="92" t="s">
        <v>114</v>
      </c>
      <c r="E93" s="100" t="str">
        <f>IF(VLOOKUP(Table4[[#This Row],[V ID]],Vulnerabilities[#All],3,FALSE())="No","Not in scope",VLOOKUP(Table4[[#This Row],[V ID]],Vulnerabilities[#All],2,FALSE()))</f>
        <v>Legacy system identification if any</v>
      </c>
      <c r="F93" s="101" t="s">
        <v>43</v>
      </c>
      <c r="G93" s="100" t="str">
        <f>VLOOKUP(Table4[[#This Row],[A ID]],Assets[#All],3,FALSE())</f>
        <v>Smart medic app (Stryker Admin Web Application)</v>
      </c>
      <c r="H93" s="21" t="s">
        <v>277</v>
      </c>
      <c r="I93" s="161"/>
      <c r="J93" s="94" t="s">
        <v>243</v>
      </c>
      <c r="K93" s="94" t="s">
        <v>239</v>
      </c>
      <c r="L93" s="94" t="s">
        <v>248</v>
      </c>
      <c r="M93" s="95" t="s">
        <v>278</v>
      </c>
      <c r="N93" s="95" t="s">
        <v>248</v>
      </c>
      <c r="O93" s="95" t="s">
        <v>248</v>
      </c>
      <c r="P93" s="95" t="s">
        <v>241</v>
      </c>
      <c r="Q93" s="95" t="s">
        <v>242</v>
      </c>
      <c r="R9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6">
        <f>(1 - ((1 - VLOOKUP(Table4[[#This Row],[Confidentiality]],'Reference - CVSSv3.0'!$B$15:$C$17,2,FALSE())) * (1 - VLOOKUP(Table4[[#This Row],[Integrity]],'Reference - CVSSv3.0'!$B$15:$C$17,2,FALSE())) *  (1 - VLOOKUP(Table4[[#This Row],[Availability]],'Reference - CVSSv3.0'!$B$15:$C$17,2,FALSE()))))</f>
        <v>0.65680000000000005</v>
      </c>
      <c r="T93" s="96">
        <f>IF(Table4[[#This Row],[Scope]]="Unchanged",6.42*Table4[[#This Row],[ISC Base]],IF(Table4[[#This Row],[Scope]]="Changed",7.52*(Table4[[#This Row],[ISC Base]] - 0.029) - 3.25 * POWER(Table4[[#This Row],[ISC Base]] - 0.02,15),NA()))</f>
        <v>4.2166560000000004</v>
      </c>
      <c r="U93" s="9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90" t="s">
        <v>249</v>
      </c>
      <c r="W93" s="96">
        <f>VLOOKUP(Table4[[#This Row],[Threat Event Initiation]],NIST_Scale_LOAI[],2,FALSE())</f>
        <v>0.5</v>
      </c>
      <c r="X9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14" t="s">
        <v>444</v>
      </c>
      <c r="AA93" s="274" t="s">
        <v>445</v>
      </c>
      <c r="AB93" s="111"/>
      <c r="AC93" s="40"/>
      <c r="AD93" s="40"/>
      <c r="AE93" s="40"/>
      <c r="AF93" s="95"/>
      <c r="AG93" s="95"/>
      <c r="AH93" s="95"/>
      <c r="AI93" s="95"/>
      <c r="AJ93" s="104"/>
      <c r="AK9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6" t="e">
        <f>(1 - ((1 - VLOOKUP(Table4[[#This Row],[ConfidentialityP]],'Reference - CVSSv3.0'!$B$15:$C$17,2,FALSE())) * (1 - VLOOKUP(Table4[[#This Row],[IntegrityP]],'Reference - CVSSv3.0'!$B$15:$C$17,2,FALSE())) *  (1 - VLOOKUP(Table4[[#This Row],[AvailabilityP]],'Reference - CVSSv3.0'!$B$15:$C$17,2,FALSE()))))</f>
        <v>#N/A</v>
      </c>
      <c r="AM93" s="96" t="e">
        <f>IF(Table4[[#This Row],[ScopeP]]="Unchanged",6.42*Table4[[#This Row],[ISC BaseP]],IF(Table4[[#This Row],[ScopeP]]="Changed",7.52*(Table4[[#This Row],[ISC BaseP]] - 0.029) - 3.25 * POWER(Table4[[#This Row],[ISC BaseP]] - 0.02,15),NA()))</f>
        <v>#N/A</v>
      </c>
      <c r="AN9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40"/>
    </row>
    <row r="94" spans="1:44" ht="140" hidden="1">
      <c r="A94" s="128">
        <v>90</v>
      </c>
      <c r="B94" s="90" t="s">
        <v>181</v>
      </c>
      <c r="C94" s="100" t="str">
        <f>IF(VLOOKUP(Table4[[#This Row],[T ID]],Table5[#All],5,FALSE())="No","Not in scope",VLOOKUP(Table4[[#This Row],[T ID]],Table5[#All],2,FALSE()))</f>
        <v>Social Engineering
(TTP)</v>
      </c>
      <c r="D94" s="92" t="s">
        <v>74</v>
      </c>
      <c r="E94" s="100" t="str">
        <f>IF(VLOOKUP(Table4[[#This Row],[V ID]],Vulnerabilities[#All],3,FALSE())="No","Not in scope",VLOOKUP(Table4[[#This Row],[V ID]],Vulnerabilities[#All],2,FALSE()))</f>
        <v>Checking authentication modes for possible hacks and bypasses</v>
      </c>
      <c r="F94" s="14" t="s">
        <v>31</v>
      </c>
      <c r="G94" s="100" t="str">
        <f>VLOOKUP(Table4[[#This Row],[A ID]],Assets[#All],3,FALSE())</f>
        <v>Interface/API Communication</v>
      </c>
      <c r="H94" s="21" t="s">
        <v>279</v>
      </c>
      <c r="I94" s="161"/>
      <c r="J94" s="94" t="s">
        <v>243</v>
      </c>
      <c r="K94" s="94" t="s">
        <v>239</v>
      </c>
      <c r="L94" s="94" t="s">
        <v>248</v>
      </c>
      <c r="M94" s="95" t="s">
        <v>278</v>
      </c>
      <c r="N94" s="95" t="s">
        <v>248</v>
      </c>
      <c r="O94" s="95" t="s">
        <v>248</v>
      </c>
      <c r="P94" s="95" t="s">
        <v>241</v>
      </c>
      <c r="Q94" s="95" t="s">
        <v>242</v>
      </c>
      <c r="R9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6">
        <f>(1 - ((1 - VLOOKUP(Table4[[#This Row],[Confidentiality]],'Reference - CVSSv3.0'!$B$15:$C$17,2,FALSE())) * (1 - VLOOKUP(Table4[[#This Row],[Integrity]],'Reference - CVSSv3.0'!$B$15:$C$17,2,FALSE())) *  (1 - VLOOKUP(Table4[[#This Row],[Availability]],'Reference - CVSSv3.0'!$B$15:$C$17,2,FALSE()))))</f>
        <v>0.65680000000000005</v>
      </c>
      <c r="T94" s="96">
        <f>IF(Table4[[#This Row],[Scope]]="Unchanged",6.42*Table4[[#This Row],[ISC Base]],IF(Table4[[#This Row],[Scope]]="Changed",7.52*(Table4[[#This Row],[ISC Base]] - 0.029) - 3.25 * POWER(Table4[[#This Row],[ISC Base]] - 0.02,15),NA()))</f>
        <v>4.2166560000000004</v>
      </c>
      <c r="U94" s="9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90" t="s">
        <v>249</v>
      </c>
      <c r="W94" s="96">
        <f>VLOOKUP(Table4[[#This Row],[Threat Event Initiation]],NIST_Scale_LOAI[],2,FALSE())</f>
        <v>0.5</v>
      </c>
      <c r="X9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14" t="s">
        <v>280</v>
      </c>
      <c r="AA94" s="274" t="s">
        <v>445</v>
      </c>
      <c r="AB94" s="111"/>
      <c r="AC94" s="40"/>
      <c r="AD94" s="40"/>
      <c r="AE94" s="40"/>
      <c r="AF94" s="95"/>
      <c r="AG94" s="95"/>
      <c r="AH94" s="95"/>
      <c r="AI94" s="95"/>
      <c r="AJ94" s="104"/>
      <c r="AK9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6" t="e">
        <f>(1 - ((1 - VLOOKUP(Table4[[#This Row],[ConfidentialityP]],'Reference - CVSSv3.0'!$B$15:$C$17,2,FALSE())) * (1 - VLOOKUP(Table4[[#This Row],[IntegrityP]],'Reference - CVSSv3.0'!$B$15:$C$17,2,FALSE())) *  (1 - VLOOKUP(Table4[[#This Row],[AvailabilityP]],'Reference - CVSSv3.0'!$B$15:$C$17,2,FALSE()))))</f>
        <v>#N/A</v>
      </c>
      <c r="AM94" s="96" t="e">
        <f>IF(Table4[[#This Row],[ScopeP]]="Unchanged",6.42*Table4[[#This Row],[ISC BaseP]],IF(Table4[[#This Row],[ScopeP]]="Changed",7.52*(Table4[[#This Row],[ISC BaseP]] - 0.029) - 3.25 * POWER(Table4[[#This Row],[ISC BaseP]] - 0.02,15),NA()))</f>
        <v>#N/A</v>
      </c>
      <c r="AN9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40"/>
    </row>
    <row r="95" spans="1:44" ht="158.5" hidden="1" customHeight="1">
      <c r="A95" s="129">
        <v>91</v>
      </c>
      <c r="B95" s="115" t="s">
        <v>184</v>
      </c>
      <c r="C95" s="130" t="str">
        <f>IF(VLOOKUP(Table4[[#This Row],[T ID]],Table5[#All],5,FALSE())="No","Not in scope",VLOOKUP(Table4[[#This Row],[T ID]],Table5[#All],2,FALSE()))</f>
        <v>Lack of evidence to conclude any malicious attempt/attack
(ST[R]IDE)</v>
      </c>
      <c r="D95" s="115" t="s">
        <v>132</v>
      </c>
      <c r="E95" s="130" t="str">
        <f>IF(VLOOKUP(Table4[[#This Row],[V ID]],Vulnerabilities[#All],3,FALSE())="No","Not in scope",VLOOKUP(Table4[[#This Row],[V ID]],Vulnerabilities[#All],2,FALSE()))</f>
        <v xml:space="preserve">Insufficient Logging information </v>
      </c>
      <c r="F95" s="131" t="s">
        <v>46</v>
      </c>
      <c r="G95" s="130" t="str">
        <f>VLOOKUP(Table4[[#This Row],[A ID]],Assets[#All],3,FALSE())</f>
        <v>Smart medic app (Azure Portal Administrator)</v>
      </c>
      <c r="H95" s="23" t="s">
        <v>281</v>
      </c>
      <c r="I95" s="42"/>
      <c r="J95" s="115" t="s">
        <v>239</v>
      </c>
      <c r="K95" s="115" t="s">
        <v>239</v>
      </c>
      <c r="L95" s="115" t="s">
        <v>239</v>
      </c>
      <c r="M95" s="132" t="s">
        <v>247</v>
      </c>
      <c r="N95" s="132" t="s">
        <v>239</v>
      </c>
      <c r="O95" s="132" t="s">
        <v>239</v>
      </c>
      <c r="P95" s="132" t="s">
        <v>243</v>
      </c>
      <c r="Q95" s="132" t="s">
        <v>242</v>
      </c>
      <c r="R95"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134">
        <f>(1 - ((1 - VLOOKUP(Table4[[#This Row],[Confidentiality]],'Reference - CVSSv3.0'!$B$15:$C$17,2,FALSE())) * (1 - VLOOKUP(Table4[[#This Row],[Integrity]],'Reference - CVSSv3.0'!$B$15:$C$17,2,FALSE())) *  (1 - VLOOKUP(Table4[[#This Row],[Availability]],'Reference - CVSSv3.0'!$B$15:$C$17,2,FALSE()))))</f>
        <v>0.52544799999999992</v>
      </c>
      <c r="T95" s="134">
        <f>IF(Table4[[#This Row],[Scope]]="Unchanged",6.42*Table4[[#This Row],[ISC Base]],IF(Table4[[#This Row],[Scope]]="Changed",7.52*(Table4[[#This Row],[ISC Base]] - 0.029) - 3.25 * POWER(Table4[[#This Row],[ISC Base]] - 0.02,15),NA()))</f>
        <v>3.3733761599999994</v>
      </c>
      <c r="U95" s="134">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135" t="s">
        <v>239</v>
      </c>
      <c r="W95" s="134">
        <f>VLOOKUP(Table4[[#This Row],[Threat Event Initiation]],NIST_Scale_LOAI[],2,FALSE())</f>
        <v>0.2</v>
      </c>
      <c r="X95"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3" t="s">
        <v>455</v>
      </c>
      <c r="AA95" s="252" t="s">
        <v>472</v>
      </c>
      <c r="AB95" s="137"/>
      <c r="AC95" s="42"/>
      <c r="AD95" s="42"/>
      <c r="AE95" s="42"/>
      <c r="AF95" s="132"/>
      <c r="AG95" s="132"/>
      <c r="AH95" s="132"/>
      <c r="AI95" s="132"/>
      <c r="AJ95" s="138"/>
      <c r="AK95"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134" t="e">
        <f>(1 - ((1 - VLOOKUP(Table4[[#This Row],[ConfidentialityP]],'Reference - CVSSv3.0'!$B$15:$C$17,2,FALSE())) * (1 - VLOOKUP(Table4[[#This Row],[IntegrityP]],'Reference - CVSSv3.0'!$B$15:$C$17,2,FALSE())) *  (1 - VLOOKUP(Table4[[#This Row],[AvailabilityP]],'Reference - CVSSv3.0'!$B$15:$C$17,2,FALSE()))))</f>
        <v>#N/A</v>
      </c>
      <c r="AM95" s="134" t="e">
        <f>IF(Table4[[#This Row],[ScopeP]]="Unchanged",6.42*Table4[[#This Row],[ISC BaseP]],IF(Table4[[#This Row],[ScopeP]]="Changed",7.52*(Table4[[#This Row],[ISC BaseP]] - 0.029) - 3.25 * POWER(Table4[[#This Row],[ISC BaseP]] - 0.02,15),NA()))</f>
        <v>#N/A</v>
      </c>
      <c r="AN95"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42"/>
    </row>
    <row r="96" spans="1:44" ht="162" hidden="1" customHeight="1">
      <c r="A96" s="140">
        <v>92</v>
      </c>
      <c r="B96" s="92" t="s">
        <v>184</v>
      </c>
      <c r="C96" s="100" t="str">
        <f>IF(VLOOKUP(Table4[[#This Row],[T ID]],Table5[#All],5,FALSE())="No","Not in scope",VLOOKUP(Table4[[#This Row],[T ID]],Table5[#All],2,FALSE()))</f>
        <v>Lack of evidence to conclude any malicious attempt/attack
(ST[R]IDE)</v>
      </c>
      <c r="D96" s="92" t="s">
        <v>134</v>
      </c>
      <c r="E96" s="100" t="str">
        <f>IF(VLOOKUP(Table4[[#This Row],[V ID]],Vulnerabilities[#All],3,FALSE())="No","Not in scope",VLOOKUP(Table4[[#This Row],[V ID]],Vulnerabilities[#All],2,FALSE()))</f>
        <v>Insufficient Access permissions for accessing and modifying Log files</v>
      </c>
      <c r="F96" s="101" t="s">
        <v>46</v>
      </c>
      <c r="G96" s="100" t="str">
        <f>VLOOKUP(Table4[[#This Row],[A ID]],Assets[#All],3,FALSE())</f>
        <v>Smart medic app (Azure Portal Administrator)</v>
      </c>
      <c r="H96" s="23" t="s">
        <v>281</v>
      </c>
      <c r="I96" s="159"/>
      <c r="J96" s="92" t="s">
        <v>239</v>
      </c>
      <c r="K96" s="92" t="s">
        <v>239</v>
      </c>
      <c r="L96" s="92" t="s">
        <v>239</v>
      </c>
      <c r="M96" s="95" t="s">
        <v>247</v>
      </c>
      <c r="N96" s="92" t="s">
        <v>239</v>
      </c>
      <c r="O96" s="92" t="s">
        <v>239</v>
      </c>
      <c r="P96" s="95" t="s">
        <v>243</v>
      </c>
      <c r="Q96" s="95" t="s">
        <v>242</v>
      </c>
      <c r="R9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96">
        <f>(1 - ((1 - VLOOKUP(Table4[[#This Row],[Confidentiality]],'Reference - CVSSv3.0'!$B$15:$C$17,2,FALSE())) * (1 - VLOOKUP(Table4[[#This Row],[Integrity]],'Reference - CVSSv3.0'!$B$15:$C$17,2,FALSE())) *  (1 - VLOOKUP(Table4[[#This Row],[Availability]],'Reference - CVSSv3.0'!$B$15:$C$17,2,FALSE()))))</f>
        <v>0.52544799999999992</v>
      </c>
      <c r="T96" s="96">
        <f>IF(Table4[[#This Row],[Scope]]="Unchanged",6.42*Table4[[#This Row],[ISC Base]],IF(Table4[[#This Row],[Scope]]="Changed",7.52*(Table4[[#This Row],[ISC Base]] - 0.029) - 3.25 * POWER(Table4[[#This Row],[ISC Base]] - 0.02,15),NA()))</f>
        <v>3.3733761599999994</v>
      </c>
      <c r="U96"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141" t="s">
        <v>239</v>
      </c>
      <c r="W96" s="96">
        <f>VLOOKUP(Table4[[#This Row],[Threat Event Initiation]],NIST_Scale_LOAI[],2,FALSE())</f>
        <v>0.2</v>
      </c>
      <c r="X9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3" t="s">
        <v>456</v>
      </c>
      <c r="AA96" s="250" t="s">
        <v>472</v>
      </c>
      <c r="AB96" s="111"/>
      <c r="AC96" s="40"/>
      <c r="AD96" s="40"/>
      <c r="AE96" s="40"/>
      <c r="AF96" s="95"/>
      <c r="AG96" s="95"/>
      <c r="AH96" s="95"/>
      <c r="AI96" s="95"/>
      <c r="AJ96" s="104"/>
      <c r="AK9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96" t="e">
        <f>(1 - ((1 - VLOOKUP(Table4[[#This Row],[ConfidentialityP]],'Reference - CVSSv3.0'!$B$15:$C$17,2,FALSE())) * (1 - VLOOKUP(Table4[[#This Row],[IntegrityP]],'Reference - CVSSv3.0'!$B$15:$C$17,2,FALSE())) *  (1 - VLOOKUP(Table4[[#This Row],[AvailabilityP]],'Reference - CVSSv3.0'!$B$15:$C$17,2,FALSE()))))</f>
        <v>#N/A</v>
      </c>
      <c r="AM96" s="96" t="e">
        <f>IF(Table4[[#This Row],[ScopeP]]="Unchanged",6.42*Table4[[#This Row],[ISC BaseP]],IF(Table4[[#This Row],[ScopeP]]="Changed",7.52*(Table4[[#This Row],[ISC BaseP]] - 0.029) - 3.25 * POWER(Table4[[#This Row],[ISC BaseP]] - 0.02,15),NA()))</f>
        <v>#N/A</v>
      </c>
      <c r="AN9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40"/>
    </row>
    <row r="97" spans="1:43" ht="112" hidden="1">
      <c r="A97" s="129">
        <v>93</v>
      </c>
      <c r="B97" s="115" t="s">
        <v>154</v>
      </c>
      <c r="C97" s="130" t="str">
        <f>IF(VLOOKUP(Table4[[#This Row],[T ID]],Table5[#All],5,FALSE())="No","Not in scope",VLOOKUP(Table4[[#This Row],[T ID]],Table5[#All],2,FALSE()))</f>
        <v>Gaining Access
([S]TRID[E])</v>
      </c>
      <c r="D97" s="115" t="s">
        <v>123</v>
      </c>
      <c r="E97" s="130" t="str">
        <f>IF(VLOOKUP(Table4[[#This Row],[V ID]],Vulnerabilities[#All],3,FALSE())="No","Not in scope",VLOOKUP(Table4[[#This Row],[V ID]],Vulnerabilities[#All],2,FALSE()))</f>
        <v>Error Info containing sensitive data for Failed Authentication attempts</v>
      </c>
      <c r="F97" s="131" t="s">
        <v>46</v>
      </c>
      <c r="G97" s="130" t="str">
        <f>VLOOKUP(Table4[[#This Row],[A ID]],Assets[#All],3,FALSE())</f>
        <v>Smart medic app (Azure Portal Administrator)</v>
      </c>
      <c r="H97" s="21" t="s">
        <v>274</v>
      </c>
      <c r="I97" s="42"/>
      <c r="J97" s="115" t="s">
        <v>239</v>
      </c>
      <c r="K97" s="115" t="s">
        <v>239</v>
      </c>
      <c r="L97" s="115" t="s">
        <v>248</v>
      </c>
      <c r="M97" s="132" t="s">
        <v>244</v>
      </c>
      <c r="N97" s="132" t="s">
        <v>248</v>
      </c>
      <c r="O97" s="132" t="s">
        <v>239</v>
      </c>
      <c r="P97" s="132" t="s">
        <v>243</v>
      </c>
      <c r="Q97" s="132" t="s">
        <v>242</v>
      </c>
      <c r="R97"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134">
        <f>(1 - ((1 - VLOOKUP(Table4[[#This Row],[Confidentiality]],'Reference - CVSSv3.0'!$B$15:$C$17,2,FALSE())) * (1 - VLOOKUP(Table4[[#This Row],[Integrity]],'Reference - CVSSv3.0'!$B$15:$C$17,2,FALSE())) *  (1 - VLOOKUP(Table4[[#This Row],[Availability]],'Reference - CVSSv3.0'!$B$15:$C$17,2,FALSE()))))</f>
        <v>0.73230400000000007</v>
      </c>
      <c r="T97" s="134">
        <f>IF(Table4[[#This Row],[Scope]]="Unchanged",6.42*Table4[[#This Row],[ISC Base]],IF(Table4[[#This Row],[Scope]]="Changed",7.52*(Table4[[#This Row],[ISC Base]] - 0.029) - 3.25 * POWER(Table4[[#This Row],[ISC Base]] - 0.02,15),NA()))</f>
        <v>4.7013916800000004</v>
      </c>
      <c r="U97"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135" t="s">
        <v>249</v>
      </c>
      <c r="W97" s="134">
        <f>VLOOKUP(Table4[[#This Row],[Threat Event Initiation]],NIST_Scale_LOAI[],2,FALSE())</f>
        <v>0.5</v>
      </c>
      <c r="X97"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3" t="s">
        <v>282</v>
      </c>
      <c r="AA97" s="253" t="s">
        <v>472</v>
      </c>
      <c r="AB97" s="137"/>
      <c r="AC97" s="42"/>
      <c r="AD97" s="42"/>
      <c r="AE97" s="42"/>
      <c r="AF97" s="132"/>
      <c r="AG97" s="132"/>
      <c r="AH97" s="132"/>
      <c r="AI97" s="132"/>
      <c r="AJ97" s="138"/>
      <c r="AK97"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134" t="e">
        <f>(1 - ((1 - VLOOKUP(Table4[[#This Row],[ConfidentialityP]],'Reference - CVSSv3.0'!$B$15:$C$17,2,FALSE())) * (1 - VLOOKUP(Table4[[#This Row],[IntegrityP]],'Reference - CVSSv3.0'!$B$15:$C$17,2,FALSE())) *  (1 - VLOOKUP(Table4[[#This Row],[AvailabilityP]],'Reference - CVSSv3.0'!$B$15:$C$17,2,FALSE()))))</f>
        <v>#N/A</v>
      </c>
      <c r="AM97" s="134" t="e">
        <f>IF(Table4[[#This Row],[ScopeP]]="Unchanged",6.42*Table4[[#This Row],[ISC BaseP]],IF(Table4[[#This Row],[ScopeP]]="Changed",7.52*(Table4[[#This Row],[ISC BaseP]] - 0.029) - 3.25 * POWER(Table4[[#This Row],[ISC BaseP]] - 0.02,15),NA()))</f>
        <v>#N/A</v>
      </c>
      <c r="AN97"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42"/>
    </row>
    <row r="98" spans="1:43" ht="112" hidden="1">
      <c r="A98" s="129">
        <v>94</v>
      </c>
      <c r="B98" s="115" t="s">
        <v>154</v>
      </c>
      <c r="C98" s="130" t="str">
        <f>IF(VLOOKUP(Table4[[#This Row],[T ID]],Table5[#All],5,FALSE())="No","Not in scope",VLOOKUP(Table4[[#This Row],[T ID]],Table5[#All],2,FALSE()))</f>
        <v>Gaining Access
([S]TRID[E])</v>
      </c>
      <c r="D98" s="115" t="s">
        <v>137</v>
      </c>
      <c r="E98" s="130" t="str">
        <f>IF(VLOOKUP(Table4[[#This Row],[V ID]],Vulnerabilities[#All],3,FALSE())="No","Not in scope",VLOOKUP(Table4[[#This Row],[V ID]],Vulnerabilities[#All],2,FALSE()))</f>
        <v>Improper security (for ex.,Storage &amp; Access) for Key tokens and Certificates</v>
      </c>
      <c r="F98" s="131" t="s">
        <v>49</v>
      </c>
      <c r="G98" s="130" t="str">
        <f>VLOOKUP(Table4[[#This Row],[A ID]],Assets[#All],3,FALSE())</f>
        <v>Azure Cloud DataBase</v>
      </c>
      <c r="H98" s="21" t="s">
        <v>274</v>
      </c>
      <c r="I98" s="42"/>
      <c r="J98" s="115" t="s">
        <v>239</v>
      </c>
      <c r="K98" s="115" t="s">
        <v>239</v>
      </c>
      <c r="L98" s="115" t="s">
        <v>248</v>
      </c>
      <c r="M98" s="132" t="s">
        <v>244</v>
      </c>
      <c r="N98" s="132" t="s">
        <v>248</v>
      </c>
      <c r="O98" s="132" t="s">
        <v>239</v>
      </c>
      <c r="P98" s="132" t="s">
        <v>243</v>
      </c>
      <c r="Q98" s="132" t="s">
        <v>242</v>
      </c>
      <c r="R98"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34">
        <f>(1 - ((1 - VLOOKUP(Table4[[#This Row],[Confidentiality]],'Reference - CVSSv3.0'!$B$15:$C$17,2,FALSE())) * (1 - VLOOKUP(Table4[[#This Row],[Integrity]],'Reference - CVSSv3.0'!$B$15:$C$17,2,FALSE())) *  (1 - VLOOKUP(Table4[[#This Row],[Availability]],'Reference - CVSSv3.0'!$B$15:$C$17,2,FALSE()))))</f>
        <v>0.73230400000000007</v>
      </c>
      <c r="T98" s="134">
        <f>IF(Table4[[#This Row],[Scope]]="Unchanged",6.42*Table4[[#This Row],[ISC Base]],IF(Table4[[#This Row],[Scope]]="Changed",7.52*(Table4[[#This Row],[ISC Base]] - 0.029) - 3.25 * POWER(Table4[[#This Row],[ISC Base]] - 0.02,15),NA()))</f>
        <v>4.7013916800000004</v>
      </c>
      <c r="U98"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35" t="s">
        <v>249</v>
      </c>
      <c r="W98" s="134">
        <f>VLOOKUP(Table4[[#This Row],[Threat Event Initiation]],NIST_Scale_LOAI[],2,FALSE())</f>
        <v>0.5</v>
      </c>
      <c r="X98"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59" t="s">
        <v>283</v>
      </c>
      <c r="AA98" s="23" t="s">
        <v>460</v>
      </c>
      <c r="AB98" s="137"/>
      <c r="AC98" s="42"/>
      <c r="AD98" s="42"/>
      <c r="AE98" s="42"/>
      <c r="AF98" s="132"/>
      <c r="AG98" s="132"/>
      <c r="AH98" s="132"/>
      <c r="AI98" s="132"/>
      <c r="AJ98" s="138"/>
      <c r="AK98"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34" t="e">
        <f>(1 - ((1 - VLOOKUP(Table4[[#This Row],[ConfidentialityP]],'Reference - CVSSv3.0'!$B$15:$C$17,2,FALSE())) * (1 - VLOOKUP(Table4[[#This Row],[IntegrityP]],'Reference - CVSSv3.0'!$B$15:$C$17,2,FALSE())) *  (1 - VLOOKUP(Table4[[#This Row],[AvailabilityP]],'Reference - CVSSv3.0'!$B$15:$C$17,2,FALSE()))))</f>
        <v>#N/A</v>
      </c>
      <c r="AM98" s="134" t="e">
        <f>IF(Table4[[#This Row],[ScopeP]]="Unchanged",6.42*Table4[[#This Row],[ISC BaseP]],IF(Table4[[#This Row],[ScopeP]]="Changed",7.52*(Table4[[#This Row],[ISC BaseP]] - 0.029) - 3.25 * POWER(Table4[[#This Row],[ISC BaseP]] - 0.02,15),NA()))</f>
        <v>#N/A</v>
      </c>
      <c r="AN98"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2"/>
    </row>
    <row r="99" spans="1:43" ht="168" hidden="1">
      <c r="A99" s="129">
        <v>95</v>
      </c>
      <c r="B99" s="115" t="s">
        <v>154</v>
      </c>
      <c r="C99" s="130" t="str">
        <f>IF(VLOOKUP(Table4[[#This Row],[T ID]],Table5[#All],5,FALSE())="No","Not in scope",VLOOKUP(Table4[[#This Row],[T ID]],Table5[#All],2,FALSE()))</f>
        <v>Gaining Access
([S]TRID[E])</v>
      </c>
      <c r="D99" s="115" t="s">
        <v>125</v>
      </c>
      <c r="E99" s="130" t="str">
        <f>IF(VLOOKUP(Table4[[#This Row],[V ID]],Vulnerabilities[#All],3,FALSE())="No","Not in scope",VLOOKUP(Table4[[#This Row],[V ID]],Vulnerabilities[#All],2,FALSE()))</f>
        <v>Absence of additional security factor along with user identification</v>
      </c>
      <c r="F99" s="131" t="s">
        <v>46</v>
      </c>
      <c r="G99" s="130" t="str">
        <f>VLOOKUP(Table4[[#This Row],[A ID]],Assets[#All],3,FALSE())</f>
        <v>Smart medic app (Azure Portal Administrator)</v>
      </c>
      <c r="H99" s="21" t="s">
        <v>274</v>
      </c>
      <c r="I99" s="42"/>
      <c r="J99" s="115" t="s">
        <v>239</v>
      </c>
      <c r="K99" s="115" t="s">
        <v>239</v>
      </c>
      <c r="L99" s="115" t="s">
        <v>248</v>
      </c>
      <c r="M99" s="132" t="s">
        <v>244</v>
      </c>
      <c r="N99" s="132" t="s">
        <v>248</v>
      </c>
      <c r="O99" s="132" t="s">
        <v>239</v>
      </c>
      <c r="P99" s="132" t="s">
        <v>243</v>
      </c>
      <c r="Q99" s="132" t="s">
        <v>242</v>
      </c>
      <c r="R99"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34">
        <f>(1 - ((1 - VLOOKUP(Table4[[#This Row],[Confidentiality]],'Reference - CVSSv3.0'!$B$15:$C$17,2,FALSE())) * (1 - VLOOKUP(Table4[[#This Row],[Integrity]],'Reference - CVSSv3.0'!$B$15:$C$17,2,FALSE())) *  (1 - VLOOKUP(Table4[[#This Row],[Availability]],'Reference - CVSSv3.0'!$B$15:$C$17,2,FALSE()))))</f>
        <v>0.73230400000000007</v>
      </c>
      <c r="T99" s="134">
        <f>IF(Table4[[#This Row],[Scope]]="Unchanged",6.42*Table4[[#This Row],[ISC Base]],IF(Table4[[#This Row],[Scope]]="Changed",7.52*(Table4[[#This Row],[ISC Base]] - 0.029) - 3.25 * POWER(Table4[[#This Row],[ISC Base]] - 0.02,15),NA()))</f>
        <v>4.7013916800000004</v>
      </c>
      <c r="U99"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35" t="s">
        <v>249</v>
      </c>
      <c r="W99" s="134">
        <f>VLOOKUP(Table4[[#This Row],[Threat Event Initiation]],NIST_Scale_LOAI[],2,FALSE())</f>
        <v>0.5</v>
      </c>
      <c r="X99"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59" t="s">
        <v>284</v>
      </c>
      <c r="AA99" s="253" t="s">
        <v>459</v>
      </c>
      <c r="AB99" s="137"/>
      <c r="AC99" s="42"/>
      <c r="AD99" s="42"/>
      <c r="AE99" s="42"/>
      <c r="AF99" s="132"/>
      <c r="AG99" s="132"/>
      <c r="AH99" s="132"/>
      <c r="AI99" s="132"/>
      <c r="AJ99" s="138"/>
      <c r="AK99"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34" t="e">
        <f>(1 - ((1 - VLOOKUP(Table4[[#This Row],[ConfidentialityP]],'Reference - CVSSv3.0'!$B$15:$C$17,2,FALSE())) * (1 - VLOOKUP(Table4[[#This Row],[IntegrityP]],'Reference - CVSSv3.0'!$B$15:$C$17,2,FALSE())) *  (1 - VLOOKUP(Table4[[#This Row],[AvailabilityP]],'Reference - CVSSv3.0'!$B$15:$C$17,2,FALSE()))))</f>
        <v>#N/A</v>
      </c>
      <c r="AM99" s="134" t="e">
        <f>IF(Table4[[#This Row],[ScopeP]]="Unchanged",6.42*Table4[[#This Row],[ISC BaseP]],IF(Table4[[#This Row],[ScopeP]]="Changed",7.52*(Table4[[#This Row],[ISC BaseP]] - 0.029) - 3.25 * POWER(Table4[[#This Row],[ISC BaseP]] - 0.02,15),NA()))</f>
        <v>#N/A</v>
      </c>
      <c r="AN99"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2"/>
    </row>
    <row r="100" spans="1:43" ht="132.5" hidden="1" customHeight="1">
      <c r="A100" s="129">
        <v>96</v>
      </c>
      <c r="B100" s="115" t="s">
        <v>154</v>
      </c>
      <c r="C100" s="130" t="str">
        <f>IF(VLOOKUP(Table4[[#This Row],[T ID]],Table5[#All],5,FALSE())="No","Not in scope",VLOOKUP(Table4[[#This Row],[T ID]],Table5[#All],2,FALSE()))</f>
        <v>Gaining Access
([S]TRID[E])</v>
      </c>
      <c r="D100" s="115" t="s">
        <v>125</v>
      </c>
      <c r="E100" s="130" t="str">
        <f>IF(VLOOKUP(Table4[[#This Row],[V ID]],Vulnerabilities[#All],3,FALSE())="No","Not in scope",VLOOKUP(Table4[[#This Row],[V ID]],Vulnerabilities[#All],2,FALSE()))</f>
        <v>Absence of additional security factor along with user identification</v>
      </c>
      <c r="F100" s="131" t="s">
        <v>49</v>
      </c>
      <c r="G100" s="130" t="str">
        <f>VLOOKUP(Table4[[#This Row],[A ID]],Assets[#All],3,FALSE())</f>
        <v>Azure Cloud DataBase</v>
      </c>
      <c r="H100" s="21" t="s">
        <v>274</v>
      </c>
      <c r="I100" s="42"/>
      <c r="J100" s="115" t="s">
        <v>239</v>
      </c>
      <c r="K100" s="115" t="s">
        <v>239</v>
      </c>
      <c r="L100" s="115" t="s">
        <v>248</v>
      </c>
      <c r="M100" s="132" t="s">
        <v>244</v>
      </c>
      <c r="N100" s="132" t="s">
        <v>248</v>
      </c>
      <c r="O100" s="132" t="s">
        <v>239</v>
      </c>
      <c r="P100" s="132" t="s">
        <v>243</v>
      </c>
      <c r="Q100" s="132" t="s">
        <v>242</v>
      </c>
      <c r="R100"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34">
        <f>(1 - ((1 - VLOOKUP(Table4[[#This Row],[Confidentiality]],'Reference - CVSSv3.0'!$B$15:$C$17,2,FALSE())) * (1 - VLOOKUP(Table4[[#This Row],[Integrity]],'Reference - CVSSv3.0'!$B$15:$C$17,2,FALSE())) *  (1 - VLOOKUP(Table4[[#This Row],[Availability]],'Reference - CVSSv3.0'!$B$15:$C$17,2,FALSE()))))</f>
        <v>0.73230400000000007</v>
      </c>
      <c r="T100" s="134">
        <f>IF(Table4[[#This Row],[Scope]]="Unchanged",6.42*Table4[[#This Row],[ISC Base]],IF(Table4[[#This Row],[Scope]]="Changed",7.52*(Table4[[#This Row],[ISC Base]] - 0.029) - 3.25 * POWER(Table4[[#This Row],[ISC Base]] - 0.02,15),NA()))</f>
        <v>4.7013916800000004</v>
      </c>
      <c r="U100"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35" t="s">
        <v>249</v>
      </c>
      <c r="W100" s="134">
        <f>VLOOKUP(Table4[[#This Row],[Threat Event Initiation]],NIST_Scale_LOAI[],2,FALSE())</f>
        <v>0.5</v>
      </c>
      <c r="X100"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t="s">
        <v>285</v>
      </c>
      <c r="AA100" s="254" t="s">
        <v>458</v>
      </c>
      <c r="AB100" s="137"/>
      <c r="AC100" s="42"/>
      <c r="AD100" s="42"/>
      <c r="AE100" s="42"/>
      <c r="AF100" s="132"/>
      <c r="AG100" s="132"/>
      <c r="AH100" s="132"/>
      <c r="AI100" s="132"/>
      <c r="AJ100" s="138"/>
      <c r="AK100"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34" t="e">
        <f>(1 - ((1 - VLOOKUP(Table4[[#This Row],[ConfidentialityP]],'Reference - CVSSv3.0'!$B$15:$C$17,2,FALSE())) * (1 - VLOOKUP(Table4[[#This Row],[IntegrityP]],'Reference - CVSSv3.0'!$B$15:$C$17,2,FALSE())) *  (1 - VLOOKUP(Table4[[#This Row],[AvailabilityP]],'Reference - CVSSv3.0'!$B$15:$C$17,2,FALSE()))))</f>
        <v>#N/A</v>
      </c>
      <c r="AM100" s="134" t="e">
        <f>IF(Table4[[#This Row],[ScopeP]]="Unchanged",6.42*Table4[[#This Row],[ISC BaseP]],IF(Table4[[#This Row],[ScopeP]]="Changed",7.52*(Table4[[#This Row],[ISC BaseP]] - 0.029) - 3.25 * POWER(Table4[[#This Row],[ISC BaseP]] - 0.02,15),NA()))</f>
        <v>#N/A</v>
      </c>
      <c r="AN100"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2"/>
    </row>
    <row r="101" spans="1:43" ht="112" hidden="1">
      <c r="A101" s="129">
        <v>97</v>
      </c>
      <c r="B101" s="115" t="s">
        <v>178</v>
      </c>
      <c r="C101" s="130" t="str">
        <f>IF(VLOOKUP(Table4[[#This Row],[T ID]],Table5[#All],5,FALSE())="No","Not in scope",VLOOKUP(Table4[[#This Row],[T ID]],Table5[#All],2,FALSE()))</f>
        <v>Brute-force Attack
(CAPEC-112)</v>
      </c>
      <c r="D101" s="115" t="s">
        <v>123</v>
      </c>
      <c r="E101" s="130" t="str">
        <f>IF(VLOOKUP(Table4[[#This Row],[V ID]],Vulnerabilities[#All],3,FALSE())="No","Not in scope",VLOOKUP(Table4[[#This Row],[V ID]],Vulnerabilities[#All],2,FALSE()))</f>
        <v>Error Info containing sensitive data for Failed Authentication attempts</v>
      </c>
      <c r="F101" s="131" t="s">
        <v>49</v>
      </c>
      <c r="G101" s="130" t="str">
        <f>VLOOKUP(Table4[[#This Row],[A ID]],Assets[#All],3,FALSE())</f>
        <v>Azure Cloud DataBase</v>
      </c>
      <c r="H101" s="21" t="s">
        <v>274</v>
      </c>
      <c r="I101" s="42"/>
      <c r="J101" s="115" t="s">
        <v>239</v>
      </c>
      <c r="K101" s="115" t="s">
        <v>239</v>
      </c>
      <c r="L101" s="115" t="s">
        <v>248</v>
      </c>
      <c r="M101" s="132" t="s">
        <v>244</v>
      </c>
      <c r="N101" s="132" t="s">
        <v>248</v>
      </c>
      <c r="O101" s="132" t="s">
        <v>239</v>
      </c>
      <c r="P101" s="132" t="s">
        <v>243</v>
      </c>
      <c r="Q101" s="132" t="s">
        <v>242</v>
      </c>
      <c r="R101"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34">
        <f>(1 - ((1 - VLOOKUP(Table4[[#This Row],[Confidentiality]],'Reference - CVSSv3.0'!$B$15:$C$17,2,FALSE())) * (1 - VLOOKUP(Table4[[#This Row],[Integrity]],'Reference - CVSSv3.0'!$B$15:$C$17,2,FALSE())) *  (1 - VLOOKUP(Table4[[#This Row],[Availability]],'Reference - CVSSv3.0'!$B$15:$C$17,2,FALSE()))))</f>
        <v>0.73230400000000007</v>
      </c>
      <c r="T101" s="134">
        <f>IF(Table4[[#This Row],[Scope]]="Unchanged",6.42*Table4[[#This Row],[ISC Base]],IF(Table4[[#This Row],[Scope]]="Changed",7.52*(Table4[[#This Row],[ISC Base]] - 0.029) - 3.25 * POWER(Table4[[#This Row],[ISC Base]] - 0.02,15),NA()))</f>
        <v>4.7013916800000004</v>
      </c>
      <c r="U101"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35" t="s">
        <v>249</v>
      </c>
      <c r="W101" s="134">
        <f>VLOOKUP(Table4[[#This Row],[Threat Event Initiation]],NIST_Scale_LOAI[],2,FALSE())</f>
        <v>0.5</v>
      </c>
      <c r="X101"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t="s">
        <v>282</v>
      </c>
      <c r="AA101" s="255" t="s">
        <v>457</v>
      </c>
      <c r="AB101" s="137"/>
      <c r="AC101" s="42"/>
      <c r="AD101" s="42"/>
      <c r="AE101" s="42"/>
      <c r="AF101" s="132"/>
      <c r="AG101" s="132"/>
      <c r="AH101" s="132"/>
      <c r="AI101" s="132"/>
      <c r="AJ101" s="138"/>
      <c r="AK101"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34" t="e">
        <f>(1 - ((1 - VLOOKUP(Table4[[#This Row],[ConfidentialityP]],'Reference - CVSSv3.0'!$B$15:$C$17,2,FALSE())) * (1 - VLOOKUP(Table4[[#This Row],[IntegrityP]],'Reference - CVSSv3.0'!$B$15:$C$17,2,FALSE())) *  (1 - VLOOKUP(Table4[[#This Row],[AvailabilityP]],'Reference - CVSSv3.0'!$B$15:$C$17,2,FALSE()))))</f>
        <v>#N/A</v>
      </c>
      <c r="AM101" s="134" t="e">
        <f>IF(Table4[[#This Row],[ScopeP]]="Unchanged",6.42*Table4[[#This Row],[ISC BaseP]],IF(Table4[[#This Row],[ScopeP]]="Changed",7.52*(Table4[[#This Row],[ISC BaseP]] - 0.029) - 3.25 * POWER(Table4[[#This Row],[ISC BaseP]] - 0.02,15),NA()))</f>
        <v>#N/A</v>
      </c>
      <c r="AN101"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2"/>
    </row>
    <row r="102" spans="1:43" ht="155" hidden="1" customHeight="1">
      <c r="A102" s="129">
        <v>98</v>
      </c>
      <c r="B102" s="115" t="s">
        <v>178</v>
      </c>
      <c r="C102" s="130" t="str">
        <f>IF(VLOOKUP(Table4[[#This Row],[T ID]],Table5[#All],5,FALSE())="No","Not in scope",VLOOKUP(Table4[[#This Row],[T ID]],Table5[#All],2,FALSE()))</f>
        <v>Brute-force Attack
(CAPEC-112)</v>
      </c>
      <c r="D102" s="115" t="s">
        <v>127</v>
      </c>
      <c r="E102" s="130" t="str">
        <f>IF(VLOOKUP(Table4[[#This Row],[V ID]],Vulnerabilities[#All],3,FALSE())="No","Not in scope",VLOOKUP(Table4[[#This Row],[V ID]],Vulnerabilities[#All],2,FALSE()))</f>
        <v>Having no limit on the login attempts</v>
      </c>
      <c r="F102" s="131" t="s">
        <v>46</v>
      </c>
      <c r="G102" s="130" t="str">
        <f>VLOOKUP(Table4[[#This Row],[A ID]],Assets[#All],3,FALSE())</f>
        <v>Smart medic app (Azure Portal Administrator)</v>
      </c>
      <c r="H102" s="21" t="s">
        <v>274</v>
      </c>
      <c r="I102" s="42"/>
      <c r="J102" s="115" t="s">
        <v>239</v>
      </c>
      <c r="K102" s="115" t="s">
        <v>239</v>
      </c>
      <c r="L102" s="115" t="s">
        <v>248</v>
      </c>
      <c r="M102" s="132" t="s">
        <v>244</v>
      </c>
      <c r="N102" s="132" t="s">
        <v>248</v>
      </c>
      <c r="O102" s="132" t="s">
        <v>239</v>
      </c>
      <c r="P102" s="132" t="s">
        <v>243</v>
      </c>
      <c r="Q102" s="132" t="s">
        <v>242</v>
      </c>
      <c r="R102"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34">
        <f>(1 - ((1 - VLOOKUP(Table4[[#This Row],[Confidentiality]],'Reference - CVSSv3.0'!$B$15:$C$17,2,FALSE())) * (1 - VLOOKUP(Table4[[#This Row],[Integrity]],'Reference - CVSSv3.0'!$B$15:$C$17,2,FALSE())) *  (1 - VLOOKUP(Table4[[#This Row],[Availability]],'Reference - CVSSv3.0'!$B$15:$C$17,2,FALSE()))))</f>
        <v>0.73230400000000007</v>
      </c>
      <c r="T102" s="134">
        <f>IF(Table4[[#This Row],[Scope]]="Unchanged",6.42*Table4[[#This Row],[ISC Base]],IF(Table4[[#This Row],[Scope]]="Changed",7.52*(Table4[[#This Row],[ISC Base]] - 0.029) - 3.25 * POWER(Table4[[#This Row],[ISC Base]] - 0.02,15),NA()))</f>
        <v>4.7013916800000004</v>
      </c>
      <c r="U102"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35" t="s">
        <v>249</v>
      </c>
      <c r="W102" s="134">
        <f>VLOOKUP(Table4[[#This Row],[Threat Event Initiation]],NIST_Scale_LOAI[],2,FALSE())</f>
        <v>0.5</v>
      </c>
      <c r="X102"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t="s">
        <v>282</v>
      </c>
      <c r="AA102" s="253" t="s">
        <v>469</v>
      </c>
      <c r="AB102" s="137"/>
      <c r="AC102" s="42"/>
      <c r="AD102" s="42"/>
      <c r="AE102" s="42"/>
      <c r="AF102" s="132"/>
      <c r="AG102" s="132"/>
      <c r="AH102" s="132"/>
      <c r="AI102" s="132"/>
      <c r="AJ102" s="138"/>
      <c r="AK102"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34" t="e">
        <f>(1 - ((1 - VLOOKUP(Table4[[#This Row],[ConfidentialityP]],'Reference - CVSSv3.0'!$B$15:$C$17,2,FALSE())) * (1 - VLOOKUP(Table4[[#This Row],[IntegrityP]],'Reference - CVSSv3.0'!$B$15:$C$17,2,FALSE())) *  (1 - VLOOKUP(Table4[[#This Row],[AvailabilityP]],'Reference - CVSSv3.0'!$B$15:$C$17,2,FALSE()))))</f>
        <v>#N/A</v>
      </c>
      <c r="AM102" s="134" t="e">
        <f>IF(Table4[[#This Row],[ScopeP]]="Unchanged",6.42*Table4[[#This Row],[ISC BaseP]],IF(Table4[[#This Row],[ScopeP]]="Changed",7.52*(Table4[[#This Row],[ISC BaseP]] - 0.029) - 3.25 * POWER(Table4[[#This Row],[ISC BaseP]] - 0.02,15),NA()))</f>
        <v>#N/A</v>
      </c>
      <c r="AN102"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2"/>
    </row>
    <row r="103" spans="1:43" ht="168" hidden="1">
      <c r="A103" s="59">
        <v>99</v>
      </c>
      <c r="B103" s="115" t="s">
        <v>187</v>
      </c>
      <c r="C103" s="130" t="str">
        <f>IF(VLOOKUP(Table4[[#This Row],[T ID]],Table5[#All],5,FALSE())="No","Not in scope",VLOOKUP(Table4[[#This Row],[T ID]],Table5[#All],2,FALSE()))</f>
        <v>Unauthorized Alterations
(S[T]RIDE)</v>
      </c>
      <c r="D103" s="115" t="s">
        <v>118</v>
      </c>
      <c r="E103" s="130" t="str">
        <f>IF(VLOOKUP(Table4[[#This Row],[V ID]],Vulnerabilities[#All],3,FALSE())="No","Not in scope",VLOOKUP(Table4[[#This Row],[V ID]],Vulnerabilities[#All],2,FALSE()))</f>
        <v>Improper/insufficient provisioning of IOT hub</v>
      </c>
      <c r="F103" s="131" t="s">
        <v>14</v>
      </c>
      <c r="G103" s="130" t="str">
        <f>VLOOKUP(Table4[[#This Row],[A ID]],Assets[#All],3,FALSE())</f>
        <v>Tablet OS/network details &amp; Tablet Application</v>
      </c>
      <c r="H103" s="23" t="s">
        <v>286</v>
      </c>
      <c r="I103" s="42"/>
      <c r="J103" s="115" t="s">
        <v>243</v>
      </c>
      <c r="K103" s="115" t="s">
        <v>243</v>
      </c>
      <c r="L103" s="115" t="s">
        <v>248</v>
      </c>
      <c r="M103" s="132" t="s">
        <v>244</v>
      </c>
      <c r="N103" s="132" t="s">
        <v>248</v>
      </c>
      <c r="O103" s="132" t="s">
        <v>248</v>
      </c>
      <c r="P103" s="132" t="s">
        <v>243</v>
      </c>
      <c r="Q103" s="132" t="s">
        <v>242</v>
      </c>
      <c r="R103"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34">
        <f>(1 - ((1 - VLOOKUP(Table4[[#This Row],[Confidentiality]],'Reference - CVSSv3.0'!$B$15:$C$17,2,FALSE())) * (1 - VLOOKUP(Table4[[#This Row],[Integrity]],'Reference - CVSSv3.0'!$B$15:$C$17,2,FALSE())) *  (1 - VLOOKUP(Table4[[#This Row],[Availability]],'Reference - CVSSv3.0'!$B$15:$C$17,2,FALSE()))))</f>
        <v>0.56000000000000005</v>
      </c>
      <c r="T103" s="134">
        <f>IF(Table4[[#This Row],[Scope]]="Unchanged",6.42*Table4[[#This Row],[ISC Base]],IF(Table4[[#This Row],[Scope]]="Changed",7.52*(Table4[[#This Row],[ISC Base]] - 0.029) - 3.25 * POWER(Table4[[#This Row],[ISC Base]] - 0.02,15),NA()))</f>
        <v>3.5952000000000002</v>
      </c>
      <c r="U103" s="134">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35" t="s">
        <v>239</v>
      </c>
      <c r="W103" s="134">
        <f>VLOOKUP(Table4[[#This Row],[Threat Event Initiation]],NIST_Scale_LOAI[],2,FALSE())</f>
        <v>0.2</v>
      </c>
      <c r="X103"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t="s">
        <v>287</v>
      </c>
      <c r="AA103" s="255" t="s">
        <v>433</v>
      </c>
      <c r="AB103" s="137"/>
      <c r="AC103" s="42"/>
      <c r="AD103" s="42"/>
      <c r="AE103" s="42"/>
      <c r="AF103" s="132"/>
      <c r="AG103" s="132"/>
      <c r="AH103" s="132"/>
      <c r="AI103" s="132"/>
      <c r="AJ103" s="138"/>
      <c r="AK103"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34" t="e">
        <f>(1 - ((1 - VLOOKUP(Table4[[#This Row],[ConfidentialityP]],'Reference - CVSSv3.0'!$B$15:$C$17,2,FALSE())) * (1 - VLOOKUP(Table4[[#This Row],[IntegrityP]],'Reference - CVSSv3.0'!$B$15:$C$17,2,FALSE())) *  (1 - VLOOKUP(Table4[[#This Row],[AvailabilityP]],'Reference - CVSSv3.0'!$B$15:$C$17,2,FALSE()))))</f>
        <v>#N/A</v>
      </c>
      <c r="AM103" s="134" t="e">
        <f>IF(Table4[[#This Row],[ScopeP]]="Unchanged",6.42*Table4[[#This Row],[ISC BaseP]],IF(Table4[[#This Row],[ScopeP]]="Changed",7.52*(Table4[[#This Row],[ISC BaseP]] - 0.029) - 3.25 * POWER(Table4[[#This Row],[ISC BaseP]] - 0.02,15),NA()))</f>
        <v>#N/A</v>
      </c>
      <c r="AN103"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2"/>
    </row>
    <row r="104" spans="1:43" ht="210" hidden="1">
      <c r="A104" s="158">
        <v>100</v>
      </c>
      <c r="B104" s="118" t="s">
        <v>187</v>
      </c>
      <c r="C104" s="100" t="str">
        <f>IF(VLOOKUP(Table4[[#This Row],[T ID]],Table5[#All],5,FALSE())="No","Not in scope",VLOOKUP(Table4[[#This Row],[T ID]],Table5[#All],2,FALSE()))</f>
        <v>Unauthorized Alterations
(S[T]RIDE)</v>
      </c>
      <c r="D104" s="118" t="s">
        <v>120</v>
      </c>
      <c r="E104" s="100" t="str">
        <f>IF(VLOOKUP(Table4[[#This Row],[V ID]],Vulnerabilities[#All],3,FALSE())="No","Not in scope",VLOOKUP(Table4[[#This Row],[V ID]],Vulnerabilities[#All],2,FALSE()))</f>
        <v>Unsecured communication with unauthenticated 3rd party devices</v>
      </c>
      <c r="F104" s="101" t="s">
        <v>14</v>
      </c>
      <c r="G104" s="100" t="str">
        <f>VLOOKUP(Table4[[#This Row],[A ID]],Assets[#All],3,FALSE())</f>
        <v>Tablet OS/network details &amp; Tablet Application</v>
      </c>
      <c r="H104" s="161" t="s">
        <v>288</v>
      </c>
      <c r="I104" s="159"/>
      <c r="J104" s="118" t="s">
        <v>243</v>
      </c>
      <c r="K104" s="118" t="s">
        <v>243</v>
      </c>
      <c r="L104" s="118" t="s">
        <v>248</v>
      </c>
      <c r="M104" s="104" t="s">
        <v>244</v>
      </c>
      <c r="N104" s="104" t="s">
        <v>248</v>
      </c>
      <c r="O104" s="104" t="s">
        <v>248</v>
      </c>
      <c r="P104" s="104" t="s">
        <v>243</v>
      </c>
      <c r="Q104" s="104" t="s">
        <v>242</v>
      </c>
      <c r="R10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96">
        <f>(1 - ((1 - VLOOKUP(Table4[[#This Row],[Confidentiality]],'Reference - CVSSv3.0'!$B$15:$C$17,2,FALSE())) * (1 - VLOOKUP(Table4[[#This Row],[Integrity]],'Reference - CVSSv3.0'!$B$15:$C$17,2,FALSE())) *  (1 - VLOOKUP(Table4[[#This Row],[Availability]],'Reference - CVSSv3.0'!$B$15:$C$17,2,FALSE()))))</f>
        <v>0.56000000000000005</v>
      </c>
      <c r="T104" s="96">
        <f>IF(Table4[[#This Row],[Scope]]="Unchanged",6.42*Table4[[#This Row],[ISC Base]],IF(Table4[[#This Row],[Scope]]="Changed",7.52*(Table4[[#This Row],[ISC Base]] - 0.029) - 3.25 * POWER(Table4[[#This Row],[ISC Base]] - 0.02,15),NA()))</f>
        <v>3.5952000000000002</v>
      </c>
      <c r="U104"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41" t="s">
        <v>239</v>
      </c>
      <c r="W104" s="96">
        <f>VLOOKUP(Table4[[#This Row],[Threat Event Initiation]],NIST_Scale_LOAI[],2,FALSE())</f>
        <v>0.2</v>
      </c>
      <c r="X10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61" t="s">
        <v>289</v>
      </c>
      <c r="AA104" s="250" t="s">
        <v>434</v>
      </c>
      <c r="AB104" s="121"/>
      <c r="AC104" s="159"/>
      <c r="AD104" s="159"/>
      <c r="AE104" s="159"/>
      <c r="AF104" s="104"/>
      <c r="AG104" s="104"/>
      <c r="AH104" s="104"/>
      <c r="AI104" s="104"/>
      <c r="AJ104" s="104"/>
      <c r="AK10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96" t="e">
        <f>(1 - ((1 - VLOOKUP(Table4[[#This Row],[ConfidentialityP]],'Reference - CVSSv3.0'!$B$15:$C$17,2,FALSE())) * (1 - VLOOKUP(Table4[[#This Row],[IntegrityP]],'Reference - CVSSv3.0'!$B$15:$C$17,2,FALSE())) *  (1 - VLOOKUP(Table4[[#This Row],[AvailabilityP]],'Reference - CVSSv3.0'!$B$15:$C$17,2,FALSE()))))</f>
        <v>#N/A</v>
      </c>
      <c r="AM104" s="96" t="e">
        <f>IF(Table4[[#This Row],[ScopeP]]="Unchanged",6.42*Table4[[#This Row],[ISC BaseP]],IF(Table4[[#This Row],[ScopeP]]="Changed",7.52*(Table4[[#This Row],[ISC BaseP]] - 0.029) - 3.25 * POWER(Table4[[#This Row],[ISC BaseP]] - 0.02,15),NA()))</f>
        <v>#N/A</v>
      </c>
      <c r="AN10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159"/>
    </row>
  </sheetData>
  <mergeCells count="4">
    <mergeCell ref="F3:I3"/>
    <mergeCell ref="J3:Y3"/>
    <mergeCell ref="Z3:AB3"/>
    <mergeCell ref="AC3:AQ3"/>
  </mergeCells>
  <conditionalFormatting sqref="AP5:AP46 Y5:Y104">
    <cfRule type="cellIs" dxfId="10" priority="2" operator="equal">
      <formula>"Critical"</formula>
    </cfRule>
    <cfRule type="cellIs" dxfId="9" priority="3" operator="equal">
      <formula>"HIGH"</formula>
    </cfRule>
    <cfRule type="cellIs" dxfId="8" priority="4" operator="equal">
      <formula>"Medium"</formula>
    </cfRule>
    <cfRule type="cellIs" dxfId="7" priority="5" operator="equal">
      <formula>"None"</formula>
    </cfRule>
    <cfRule type="cellIs" dxfId="6"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1796875" defaultRowHeight="14.5"/>
  <cols>
    <col min="1" max="1" width="9.1796875" style="142"/>
    <col min="2" max="2" width="4.81640625" style="142" customWidth="1"/>
    <col min="3" max="3" width="25.453125" style="143" customWidth="1"/>
    <col min="4" max="4" width="5" style="142" customWidth="1"/>
    <col min="5" max="5" width="22" style="144" customWidth="1"/>
    <col min="6" max="6" width="6.1796875" style="142" customWidth="1"/>
    <col min="7" max="7" width="28.81640625" style="142" customWidth="1"/>
    <col min="8" max="8" width="38" style="142" customWidth="1"/>
    <col min="9" max="9" width="25.453125" style="142" customWidth="1"/>
    <col min="10" max="10" width="15" style="142" customWidth="1"/>
    <col min="11" max="11" width="35.81640625" style="142" customWidth="1"/>
    <col min="12" max="12" width="15" style="142" customWidth="1"/>
    <col min="13" max="13" width="36.81640625" style="142" customWidth="1"/>
    <col min="14" max="1024" width="9.1796875" style="142"/>
  </cols>
  <sheetData>
    <row r="1" spans="1:14" s="30" customFormat="1" ht="14">
      <c r="A1" s="2" t="s">
        <v>290</v>
      </c>
      <c r="B1" s="65"/>
      <c r="C1" s="65"/>
      <c r="D1" s="65"/>
      <c r="E1" s="66"/>
      <c r="F1" s="65"/>
      <c r="G1" s="65"/>
      <c r="H1" s="65"/>
      <c r="I1" s="65"/>
      <c r="J1" s="65"/>
      <c r="K1" s="65"/>
      <c r="L1" s="65"/>
      <c r="M1" s="65"/>
    </row>
    <row r="2" spans="1:14" s="30" customFormat="1" ht="14">
      <c r="A2" s="2"/>
      <c r="B2" s="65"/>
      <c r="C2" s="65"/>
      <c r="D2" s="65"/>
      <c r="E2" s="66"/>
      <c r="F2" s="65"/>
      <c r="G2" s="65"/>
      <c r="H2" s="65"/>
      <c r="I2" s="65"/>
      <c r="J2" s="65"/>
      <c r="K2" s="65"/>
      <c r="L2" s="65"/>
      <c r="M2" s="65"/>
    </row>
    <row r="3" spans="1:14" s="30" customFormat="1" ht="14">
      <c r="A3" s="2"/>
      <c r="B3" s="65"/>
      <c r="C3" s="65"/>
      <c r="D3" s="65"/>
      <c r="E3" s="66"/>
      <c r="F3" s="65"/>
      <c r="G3" s="65"/>
      <c r="H3" s="65"/>
      <c r="I3" s="65"/>
      <c r="J3" s="65"/>
      <c r="K3" s="65"/>
      <c r="L3" s="65"/>
      <c r="M3" s="65"/>
    </row>
    <row r="4" spans="1:14" s="30" customFormat="1" ht="28">
      <c r="A4" s="145" t="s">
        <v>196</v>
      </c>
      <c r="B4" s="146" t="s">
        <v>197</v>
      </c>
      <c r="C4" s="147" t="s">
        <v>198</v>
      </c>
      <c r="D4" s="148" t="s">
        <v>199</v>
      </c>
      <c r="E4" s="149" t="s">
        <v>200</v>
      </c>
      <c r="F4" s="150" t="s">
        <v>201</v>
      </c>
      <c r="G4" s="151" t="s">
        <v>291</v>
      </c>
      <c r="H4" s="151" t="s">
        <v>202</v>
      </c>
      <c r="I4" s="152" t="s">
        <v>203</v>
      </c>
      <c r="J4" s="153" t="s">
        <v>292</v>
      </c>
      <c r="K4" s="154" t="s">
        <v>220</v>
      </c>
      <c r="L4" s="155" t="s">
        <v>293</v>
      </c>
      <c r="M4" s="156" t="s">
        <v>237</v>
      </c>
      <c r="N4" s="63"/>
    </row>
    <row r="5" spans="1:14" s="30" customFormat="1" ht="70">
      <c r="A5" s="53">
        <f>Table4[[#This Row],[
ID '#]]</f>
        <v>1</v>
      </c>
      <c r="B5" s="157" t="str">
        <f>IF(Table4[[#This Row],[T ID]]&gt;0,Table4[[#This Row],[T ID]],"")</f>
        <v>T01</v>
      </c>
      <c r="C5" s="21" t="str">
        <f>Table4[[#This Row],[Threat Event(s)]]</f>
        <v>Deliver undirected malware
(CAPEC-185)</v>
      </c>
      <c r="D5" s="40" t="str">
        <f>IF(Table4[[#This Row],[V ID]]&gt;0,Table4[[#This Row],[V ID]],"")</f>
        <v>V13</v>
      </c>
      <c r="E5" s="21" t="str">
        <f>Table4[[#This Row],[Vulnerabilities]]</f>
        <v>Unprotected external USB Port on the tablet/devices.</v>
      </c>
      <c r="F5" s="40"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40" t="str">
        <f>IF(Table4[[#This Row],[Safety Impact 
(Risk ID'# or N/A)]]&gt;0,Table4[[#This Row],[Safety Impact 
(Risk ID'# or N/A)]],"")</f>
        <v/>
      </c>
      <c r="J5" s="98" t="str">
        <f>Table4[[#This Row],[Security 
Risk 
Level]]</f>
        <v>LOW</v>
      </c>
      <c r="K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 s="98" t="str">
        <f>Table4[[#This Row],[Security Risk LevelP]]</f>
        <v/>
      </c>
      <c r="M5" s="40" t="str">
        <f>IF(Table4[[#This Row],[Residual Security Risk Acceptability Justification]]&gt;0,Table4[[#This Row],[Residual Security Risk Acceptability Justification]],"")</f>
        <v xml:space="preserve"> </v>
      </c>
    </row>
    <row r="6" spans="1:14" s="30" customFormat="1" ht="70">
      <c r="A6" s="158">
        <f>Table4[[#This Row],[
ID '#]]</f>
        <v>2</v>
      </c>
      <c r="B6" s="157" t="str">
        <f>IF(Table4[[#This Row],[T ID]]&gt;0,Table4[[#This Row],[T ID]],"")</f>
        <v>T01</v>
      </c>
      <c r="C6" s="100" t="str">
        <f>Table4[[#This Row],[Threat Event(s)]]</f>
        <v>Deliver undirected malware
(CAPEC-185)</v>
      </c>
      <c r="D6" s="159" t="str">
        <f>IF(Table4[[#This Row],[V ID]]&gt;0,Table4[[#This Row],[V ID]],"")</f>
        <v>V13</v>
      </c>
      <c r="E6" s="100" t="str">
        <f>Table4[[#This Row],[Vulnerabilities]]</f>
        <v>Unprotected external USB Port on the tablet/devices.</v>
      </c>
      <c r="F6" s="160" t="str">
        <f>IF(Table4[[#This Row],[A ID]]&gt;0,Table4[[#This Row],[A ID]],"")</f>
        <v>A03</v>
      </c>
      <c r="G6" s="100" t="str">
        <f>Table4[[#This Row],[Asset]]</f>
        <v>Smart medic (Stryker device) System Component</v>
      </c>
      <c r="H6" s="161" t="str">
        <f>IF(Table4[[#This Row],[Impact Description]]&gt;0,Table4[[#This Row],[Impact Description]],"")</f>
        <v xml:space="preserve">1) Malicious utilization of  computer resources 2) computing power  
3) denial of service attacks, 
4) ransomware attack 
5) Bitcoin mining, etc </v>
      </c>
      <c r="I6" s="159" t="str">
        <f>IF(Table4[[#This Row],[Safety Impact 
(Risk ID'# or N/A)]]&gt;0,Table4[[#This Row],[Safety Impact 
(Risk ID'# or N/A)]],"")</f>
        <v/>
      </c>
      <c r="J6" s="103" t="str">
        <f>Table4[[#This Row],[Security 
Risk 
Level]]</f>
        <v>LOW</v>
      </c>
      <c r="K6"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 s="105" t="str">
        <f>Table4[[#This Row],[Security Risk LevelP]]</f>
        <v/>
      </c>
      <c r="M6" s="159" t="str">
        <f>IF(Table4[[#This Row],[Residual Security Risk Acceptability Justification]]&gt;0,Table4[[#This Row],[Residual Security Risk Acceptability Justification]],"")</f>
        <v/>
      </c>
    </row>
    <row r="7" spans="1:14" s="30" customFormat="1" ht="112">
      <c r="A7" s="53">
        <f>Table4[[#This Row],[
ID '#]]</f>
        <v>3</v>
      </c>
      <c r="B7" s="157" t="str">
        <f>IF(Table4[[#This Row],[T ID]]&gt;0,Table4[[#This Row],[T ID]],"")</f>
        <v>T01</v>
      </c>
      <c r="C7" s="21" t="str">
        <f>Table4[[#This Row],[Threat Event(s)]]</f>
        <v>Deliver undirected malware
(CAPEC-185)</v>
      </c>
      <c r="D7" s="40" t="str">
        <f>IF(Table4[[#This Row],[V ID]]&gt;0,Table4[[#This Row],[V ID]],"")</f>
        <v>V02</v>
      </c>
      <c r="E7" s="21" t="str">
        <f>Table4[[#This Row],[Vulnerabilities]]</f>
        <v>External communications and exposure for communciation channels from and to application and devices like tablet and smartmedic device.</v>
      </c>
      <c r="F7" s="40"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40" t="str">
        <f>IF(Table4[[#This Row],[Safety Impact 
(Risk ID'# or N/A)]]&gt;0,Table4[[#This Row],[Safety Impact 
(Risk ID'# or N/A)]],"")</f>
        <v/>
      </c>
      <c r="J7" s="98" t="str">
        <f>Table4[[#This Row],[Security 
Risk 
Level]]</f>
        <v>LOW</v>
      </c>
      <c r="K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 s="98" t="str">
        <f>Table4[[#This Row],[Security Risk LevelP]]</f>
        <v/>
      </c>
      <c r="M7" s="40" t="str">
        <f>IF(Table4[[#This Row],[Residual Security Risk Acceptability Justification]]&gt;0,Table4[[#This Row],[Residual Security Risk Acceptability Justification]],"")</f>
        <v/>
      </c>
    </row>
    <row r="8" spans="1:14" s="30" customFormat="1" ht="112">
      <c r="A8" s="158">
        <f>Table4[[#This Row],[
ID '#]]</f>
        <v>4</v>
      </c>
      <c r="B8" s="157" t="str">
        <f>IF(Table4[[#This Row],[T ID]]&gt;0,Table4[[#This Row],[T ID]],"")</f>
        <v>T01</v>
      </c>
      <c r="C8" s="100" t="str">
        <f>Table4[[#This Row],[Threat Event(s)]]</f>
        <v>Deliver undirected malware
(CAPEC-185)</v>
      </c>
      <c r="D8" s="159" t="str">
        <f>IF(Table4[[#This Row],[V ID]]&gt;0,Table4[[#This Row],[V ID]],"")</f>
        <v>V02</v>
      </c>
      <c r="E8" s="100" t="str">
        <f>Table4[[#This Row],[Vulnerabilities]]</f>
        <v>External communications and exposure for communciation channels from and to application and devices like tablet and smartmedic device.</v>
      </c>
      <c r="F8" s="160" t="str">
        <f>IF(Table4[[#This Row],[A ID]]&gt;0,Table4[[#This Row],[A ID]],"")</f>
        <v>A01</v>
      </c>
      <c r="G8" s="100" t="str">
        <f>Table4[[#This Row],[Asset]]</f>
        <v>Tablet Resources - web cam, microphone, OTG devices, Removable USB, Tablet Application, Network interfaces (Bluetooth, Wifi)</v>
      </c>
      <c r="H8" s="161" t="str">
        <f>IF(Table4[[#This Row],[Impact Description]]&gt;0,Table4[[#This Row],[Impact Description]],"")</f>
        <v xml:space="preserve">1) Malicious utilization of  computer resources 2) computing power  
3) denial of service attacks, 
4) ransomware attack 
5) Bitcoin mining, etc </v>
      </c>
      <c r="I8" s="159" t="str">
        <f>IF(Table4[[#This Row],[Safety Impact 
(Risk ID'# or N/A)]]&gt;0,Table4[[#This Row],[Safety Impact 
(Risk ID'# or N/A)]],"")</f>
        <v/>
      </c>
      <c r="J8" s="103" t="str">
        <f>Table4[[#This Row],[Security 
Risk 
Level]]</f>
        <v>LOW</v>
      </c>
      <c r="K8"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8" s="105" t="str">
        <f>Table4[[#This Row],[Security Risk LevelP]]</f>
        <v/>
      </c>
      <c r="M8" s="159" t="str">
        <f>IF(Table4[[#This Row],[Residual Security Risk Acceptability Justification]]&gt;0,Table4[[#This Row],[Residual Security Risk Acceptability Justification]],"")</f>
        <v/>
      </c>
    </row>
    <row r="9" spans="1:14" s="30" customFormat="1" ht="70">
      <c r="A9" s="158">
        <f>Table4[[#This Row],[
ID '#]]</f>
        <v>5</v>
      </c>
      <c r="B9" s="157" t="str">
        <f>IF(Table4[[#This Row],[T ID]]&gt;0,Table4[[#This Row],[T ID]],"")</f>
        <v>T01</v>
      </c>
      <c r="C9" s="100" t="str">
        <f>Table4[[#This Row],[Threat Event(s)]]</f>
        <v>Deliver undirected malware
(CAPEC-185)</v>
      </c>
      <c r="D9" s="159" t="str">
        <f>IF(Table4[[#This Row],[V ID]]&gt;0,Table4[[#This Row],[V ID]],"")</f>
        <v>V22</v>
      </c>
      <c r="E9" s="100" t="str">
        <f>Table4[[#This Row],[Vulnerabilities]]</f>
        <v>Legacy system identification if any</v>
      </c>
      <c r="F9" s="160" t="str">
        <f>IF(Table4[[#This Row],[A ID]]&gt;0,Table4[[#This Row],[A ID]],"")</f>
        <v>A03</v>
      </c>
      <c r="G9" s="100" t="str">
        <f>Table4[[#This Row],[Asset]]</f>
        <v>Smart medic (Stryker device) System Component</v>
      </c>
      <c r="H9" s="161" t="str">
        <f>IF(Table4[[#This Row],[Impact Description]]&gt;0,Table4[[#This Row],[Impact Description]],"")</f>
        <v xml:space="preserve">1) Malicious utilization of  computer resources 2) computing power  
3) denial of service attacks, 
4) ransomware attack 
5) Bitcoin mining, etc </v>
      </c>
      <c r="I9" s="159" t="str">
        <f>IF(Table4[[#This Row],[Safety Impact 
(Risk ID'# or N/A)]]&gt;0,Table4[[#This Row],[Safety Impact 
(Risk ID'# or N/A)]],"")</f>
        <v/>
      </c>
      <c r="J9" s="103" t="str">
        <f>Table4[[#This Row],[Security 
Risk 
Level]]</f>
        <v>LOW</v>
      </c>
      <c r="K9"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105" t="str">
        <f>Table4[[#This Row],[Security Risk LevelP]]</f>
        <v/>
      </c>
      <c r="M9" s="159" t="str">
        <f>IF(Table4[[#This Row],[Residual Security Risk Acceptability Justification]]&gt;0,Table4[[#This Row],[Residual Security Risk Acceptability Justification]],"")</f>
        <v/>
      </c>
    </row>
    <row r="10" spans="1:14" s="30" customFormat="1" ht="70">
      <c r="A10" s="158">
        <f>Table4[[#This Row],[
ID '#]]</f>
        <v>6</v>
      </c>
      <c r="B10" s="157" t="str">
        <f>IF(Table4[[#This Row],[T ID]]&gt;0,Table4[[#This Row],[T ID]],"")</f>
        <v>T01</v>
      </c>
      <c r="C10" s="100" t="str">
        <f>Table4[[#This Row],[Threat Event(s)]]</f>
        <v>Deliver undirected malware
(CAPEC-185)</v>
      </c>
      <c r="D10" s="159" t="str">
        <f>IF(Table4[[#This Row],[V ID]]&gt;0,Table4[[#This Row],[V ID]],"")</f>
        <v>V22</v>
      </c>
      <c r="E10" s="100" t="str">
        <f>Table4[[#This Row],[Vulnerabilities]]</f>
        <v>Legacy system identification if any</v>
      </c>
      <c r="F10" s="160" t="str">
        <f>IF(Table4[[#This Row],[A ID]]&gt;0,Table4[[#This Row],[A ID]],"")</f>
        <v>A01</v>
      </c>
      <c r="G10" s="100" t="str">
        <f>Table4[[#This Row],[Asset]]</f>
        <v>Tablet Resources - web cam, microphone, OTG devices, Removable USB, Tablet Application, Network interfaces (Bluetooth, Wifi)</v>
      </c>
      <c r="H10" s="161" t="str">
        <f>IF(Table4[[#This Row],[Impact Description]]&gt;0,Table4[[#This Row],[Impact Description]],"")</f>
        <v xml:space="preserve">1) Malicious utilization of  computer resources 2) computing power  
3) denial of service attacks, 
4) ransomware attack 
5) Bitcoin mining, etc </v>
      </c>
      <c r="I10" s="159" t="str">
        <f>IF(Table4[[#This Row],[Safety Impact 
(Risk ID'# or N/A)]]&gt;0,Table4[[#This Row],[Safety Impact 
(Risk ID'# or N/A)]],"")</f>
        <v/>
      </c>
      <c r="J10" s="103" t="str">
        <f>Table4[[#This Row],[Security 
Risk 
Level]]</f>
        <v>LOW</v>
      </c>
      <c r="K10"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105" t="str">
        <f>Table4[[#This Row],[Security Risk LevelP]]</f>
        <v/>
      </c>
      <c r="M10" s="159" t="str">
        <f>IF(Table4[[#This Row],[Residual Security Risk Acceptability Justification]]&gt;0,Table4[[#This Row],[Residual Security Risk Acceptability Justification]],"")</f>
        <v/>
      </c>
    </row>
    <row r="11" spans="1:14" s="30" customFormat="1" ht="70">
      <c r="A11" s="158">
        <f>Table4[[#This Row],[
ID '#]]</f>
        <v>7</v>
      </c>
      <c r="B11" s="157" t="str">
        <f>IF(Table4[[#This Row],[T ID]]&gt;0,Table4[[#This Row],[T ID]],"")</f>
        <v>T01</v>
      </c>
      <c r="C11" s="100" t="str">
        <f>Table4[[#This Row],[Threat Event(s)]]</f>
        <v>Deliver undirected malware
(CAPEC-185)</v>
      </c>
      <c r="D11" s="159" t="str">
        <f>IF(Table4[[#This Row],[V ID]]&gt;0,Table4[[#This Row],[V ID]],"")</f>
        <v>V08</v>
      </c>
      <c r="E11" s="100" t="str">
        <f>Table4[[#This Row],[Vulnerabilities]]</f>
        <v>Ineffective patch management of firware, OS and applications thoughout the information system plan</v>
      </c>
      <c r="F11" s="160" t="str">
        <f>IF(Table4[[#This Row],[A ID]]&gt;0,Table4[[#This Row],[A ID]],"")</f>
        <v>A05</v>
      </c>
      <c r="G11" s="100" t="str">
        <f>Table4[[#This Row],[Asset]]</f>
        <v>Device Maintainence tool (Hardware/Software)</v>
      </c>
      <c r="H11" s="161" t="str">
        <f>IF(Table4[[#This Row],[Impact Description]]&gt;0,Table4[[#This Row],[Impact Description]],"")</f>
        <v xml:space="preserve">1) Malicious utilization of  computer resources 2) computing power  
3) denial of service attacks, 
4) ransomware attack 
5) Bitcoin mining, etc </v>
      </c>
      <c r="I11" s="159" t="str">
        <f>IF(Table4[[#This Row],[Safety Impact 
(Risk ID'# or N/A)]]&gt;0,Table4[[#This Row],[Safety Impact 
(Risk ID'# or N/A)]],"")</f>
        <v/>
      </c>
      <c r="J11" s="103" t="str">
        <f>Table4[[#This Row],[Security 
Risk 
Level]]</f>
        <v>LOW</v>
      </c>
      <c r="K11"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105" t="str">
        <f>Table4[[#This Row],[Security Risk LevelP]]</f>
        <v/>
      </c>
      <c r="M11" s="159" t="str">
        <f>IF(Table4[[#This Row],[Residual Security Risk Acceptability Justification]]&gt;0,Table4[[#This Row],[Residual Security Risk Acceptability Justification]],"")</f>
        <v/>
      </c>
    </row>
    <row r="12" spans="1:14" s="30" customFormat="1" ht="70">
      <c r="A12" s="158">
        <f>Table4[[#This Row],[
ID '#]]</f>
        <v>8</v>
      </c>
      <c r="B12" s="157" t="str">
        <f>IF(Table4[[#This Row],[T ID]]&gt;0,Table4[[#This Row],[T ID]],"")</f>
        <v>T01</v>
      </c>
      <c r="C12" s="100" t="str">
        <f>Table4[[#This Row],[Threat Event(s)]]</f>
        <v>Deliver undirected malware
(CAPEC-185)</v>
      </c>
      <c r="D12" s="159" t="str">
        <f>IF(Table4[[#This Row],[V ID]]&gt;0,Table4[[#This Row],[V ID]],"")</f>
        <v>V08</v>
      </c>
      <c r="E12" s="100" t="str">
        <f>Table4[[#This Row],[Vulnerabilities]]</f>
        <v>Ineffective patch management of firware, OS and applications thoughout the information system plan</v>
      </c>
      <c r="F12" s="160" t="str">
        <f>IF(Table4[[#This Row],[A ID]]&gt;0,Table4[[#This Row],[A ID]],"")</f>
        <v>A01</v>
      </c>
      <c r="G12" s="100" t="str">
        <f>Table4[[#This Row],[Asset]]</f>
        <v>Tablet Resources - web cam, microphone, OTG devices, Removable USB, Tablet Application, Network interfaces (Bluetooth, Wifi)</v>
      </c>
      <c r="H12" s="161" t="str">
        <f>IF(Table4[[#This Row],[Impact Description]]&gt;0,Table4[[#This Row],[Impact Description]],"")</f>
        <v xml:space="preserve">1) Malicious utilization of  computer resources 2) computing power  
3) denial of service attacks, 
4) ransomware attack 
5) Bitcoin mining, etc </v>
      </c>
      <c r="I12" s="159" t="str">
        <f>IF(Table4[[#This Row],[Safety Impact 
(Risk ID'# or N/A)]]&gt;0,Table4[[#This Row],[Safety Impact 
(Risk ID'# or N/A)]],"")</f>
        <v/>
      </c>
      <c r="J12" s="103" t="str">
        <f>Table4[[#This Row],[Security 
Risk 
Level]]</f>
        <v>LOW</v>
      </c>
      <c r="K12"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105" t="str">
        <f>Table4[[#This Row],[Security Risk LevelP]]</f>
        <v/>
      </c>
      <c r="M12" s="159" t="str">
        <f>IF(Table4[[#This Row],[Residual Security Risk Acceptability Justification]]&gt;0,Table4[[#This Row],[Residual Security Risk Acceptability Justification]],"")</f>
        <v/>
      </c>
    </row>
    <row r="13" spans="1:14" s="30" customFormat="1" ht="70">
      <c r="A13" s="158">
        <f>Table4[[#This Row],[
ID '#]]</f>
        <v>9</v>
      </c>
      <c r="B13" s="157" t="str">
        <f>IF(Table4[[#This Row],[T ID]]&gt;0,Table4[[#This Row],[T ID]],"")</f>
        <v>T01</v>
      </c>
      <c r="C13" s="100" t="str">
        <f>Table4[[#This Row],[Threat Event(s)]]</f>
        <v>Deliver undirected malware
(CAPEC-185)</v>
      </c>
      <c r="D13" s="159" t="str">
        <f>IF(Table4[[#This Row],[V ID]]&gt;0,Table4[[#This Row],[V ID]],"")</f>
        <v>V08</v>
      </c>
      <c r="E13" s="100" t="str">
        <f>Table4[[#This Row],[Vulnerabilities]]</f>
        <v>Ineffective patch management of firware, OS and applications thoughout the information system plan</v>
      </c>
      <c r="F13" s="160" t="str">
        <f>IF(Table4[[#This Row],[A ID]]&gt;0,Table4[[#This Row],[A ID]],"")</f>
        <v>A03</v>
      </c>
      <c r="G13" s="100" t="str">
        <f>Table4[[#This Row],[Asset]]</f>
        <v>Smart medic (Stryker device) System Component</v>
      </c>
      <c r="H13" s="161" t="str">
        <f>IF(Table4[[#This Row],[Impact Description]]&gt;0,Table4[[#This Row],[Impact Description]],"")</f>
        <v xml:space="preserve">1) Malicious utilization of  computer resources 2) computing power  
3) denial of service attacks, 
4) ransomware attack 
5) Bitcoin mining, etc </v>
      </c>
      <c r="I13" s="159" t="str">
        <f>IF(Table4[[#This Row],[Safety Impact 
(Risk ID'# or N/A)]]&gt;0,Table4[[#This Row],[Safety Impact 
(Risk ID'# or N/A)]],"")</f>
        <v/>
      </c>
      <c r="J13" s="103" t="str">
        <f>Table4[[#This Row],[Security 
Risk 
Level]]</f>
        <v>LOW</v>
      </c>
      <c r="K13"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105" t="str">
        <f>Table4[[#This Row],[Security Risk LevelP]]</f>
        <v/>
      </c>
      <c r="M13" s="159" t="str">
        <f>IF(Table4[[#This Row],[Residual Security Risk Acceptability Justification]]&gt;0,Table4[[#This Row],[Residual Security Risk Acceptability Justification]],"")</f>
        <v/>
      </c>
    </row>
    <row r="14" spans="1:14" s="30" customFormat="1" ht="70">
      <c r="A14" s="158">
        <f>Table4[[#This Row],[
ID '#]]</f>
        <v>10</v>
      </c>
      <c r="B14" s="157" t="str">
        <f>IF(Table4[[#This Row],[T ID]]&gt;0,Table4[[#This Row],[T ID]],"")</f>
        <v>T01</v>
      </c>
      <c r="C14" s="100" t="str">
        <f>Table4[[#This Row],[Threat Event(s)]]</f>
        <v>Deliver undirected malware
(CAPEC-185)</v>
      </c>
      <c r="D14" s="159" t="str">
        <f>IF(Table4[[#This Row],[V ID]]&gt;0,Table4[[#This Row],[V ID]],"")</f>
        <v>V09</v>
      </c>
      <c r="E14" s="100" t="str">
        <f>Table4[[#This Row],[Vulnerabilities]]</f>
        <v xml:space="preserve">Lack of plan for periodic Software Vulnerability Management </v>
      </c>
      <c r="F14" s="160" t="str">
        <f>IF(Table4[[#This Row],[A ID]]&gt;0,Table4[[#This Row],[A ID]],"")</f>
        <v>A05</v>
      </c>
      <c r="G14" s="100" t="str">
        <f>Table4[[#This Row],[Asset]]</f>
        <v>Device Maintainence tool (Hardware/Software)</v>
      </c>
      <c r="H14" s="161" t="str">
        <f>IF(Table4[[#This Row],[Impact Description]]&gt;0,Table4[[#This Row],[Impact Description]],"")</f>
        <v xml:space="preserve">1) Malicious utilization of  computer resources 2) computing power  
3) denial of service attacks, 
4) ransomware attack 
5) Bitcoin mining, etc </v>
      </c>
      <c r="I14" s="159" t="str">
        <f>IF(Table4[[#This Row],[Safety Impact 
(Risk ID'# or N/A)]]&gt;0,Table4[[#This Row],[Safety Impact 
(Risk ID'# or N/A)]],"")</f>
        <v/>
      </c>
      <c r="J14" s="103" t="str">
        <f>Table4[[#This Row],[Security 
Risk 
Level]]</f>
        <v>LOW</v>
      </c>
      <c r="K14"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105" t="str">
        <f>Table4[[#This Row],[Security Risk LevelP]]</f>
        <v/>
      </c>
      <c r="M14" s="159" t="str">
        <f>IF(Table4[[#This Row],[Residual Security Risk Acceptability Justification]]&gt;0,Table4[[#This Row],[Residual Security Risk Acceptability Justification]],"")</f>
        <v/>
      </c>
    </row>
    <row r="15" spans="1:14" s="30" customFormat="1" ht="70">
      <c r="A15" s="158">
        <f>Table4[[#This Row],[
ID '#]]</f>
        <v>11</v>
      </c>
      <c r="B15" s="157" t="str">
        <f>IF(Table4[[#This Row],[T ID]]&gt;0,Table4[[#This Row],[T ID]],"")</f>
        <v>T01</v>
      </c>
      <c r="C15" s="100" t="str">
        <f>Table4[[#This Row],[Threat Event(s)]]</f>
        <v>Deliver undirected malware
(CAPEC-185)</v>
      </c>
      <c r="D15" s="159" t="str">
        <f>IF(Table4[[#This Row],[V ID]]&gt;0,Table4[[#This Row],[V ID]],"")</f>
        <v>V09</v>
      </c>
      <c r="E15" s="100" t="str">
        <f>Table4[[#This Row],[Vulnerabilities]]</f>
        <v xml:space="preserve">Lack of plan for periodic Software Vulnerability Management </v>
      </c>
      <c r="F15" s="160" t="str">
        <f>IF(Table4[[#This Row],[A ID]]&gt;0,Table4[[#This Row],[A ID]],"")</f>
        <v>A01</v>
      </c>
      <c r="G15" s="100" t="str">
        <f>Table4[[#This Row],[Asset]]</f>
        <v>Tablet Resources - web cam, microphone, OTG devices, Removable USB, Tablet Application, Network interfaces (Bluetooth, Wifi)</v>
      </c>
      <c r="H15" s="161" t="str">
        <f>IF(Table4[[#This Row],[Impact Description]]&gt;0,Table4[[#This Row],[Impact Description]],"")</f>
        <v xml:space="preserve">1) Malicious utilization of  computer resources 2) computing power  
3) denial of service attacks, 
4) ransomware attack 
5) Bitcoin mining, etc </v>
      </c>
      <c r="I15" s="159" t="str">
        <f>IF(Table4[[#This Row],[Safety Impact 
(Risk ID'# or N/A)]]&gt;0,Table4[[#This Row],[Safety Impact 
(Risk ID'# or N/A)]],"")</f>
        <v/>
      </c>
      <c r="J15" s="103" t="str">
        <f>Table4[[#This Row],[Security 
Risk 
Level]]</f>
        <v>LOW</v>
      </c>
      <c r="K15"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105" t="str">
        <f>Table4[[#This Row],[Security Risk LevelP]]</f>
        <v/>
      </c>
      <c r="M15" s="159" t="str">
        <f>IF(Table4[[#This Row],[Residual Security Risk Acceptability Justification]]&gt;0,Table4[[#This Row],[Residual Security Risk Acceptability Justification]],"")</f>
        <v/>
      </c>
    </row>
    <row r="16" spans="1:14" s="30" customFormat="1" ht="70">
      <c r="A16" s="158">
        <f>Table4[[#This Row],[
ID '#]]</f>
        <v>12</v>
      </c>
      <c r="B16" s="157" t="str">
        <f>IF(Table4[[#This Row],[T ID]]&gt;0,Table4[[#This Row],[T ID]],"")</f>
        <v>T01</v>
      </c>
      <c r="C16" s="100" t="str">
        <f>Table4[[#This Row],[Threat Event(s)]]</f>
        <v>Deliver undirected malware
(CAPEC-185)</v>
      </c>
      <c r="D16" s="159" t="str">
        <f>IF(Table4[[#This Row],[V ID]]&gt;0,Table4[[#This Row],[V ID]],"")</f>
        <v>V09</v>
      </c>
      <c r="E16" s="100" t="str">
        <f>Table4[[#This Row],[Vulnerabilities]]</f>
        <v xml:space="preserve">Lack of plan for periodic Software Vulnerability Management </v>
      </c>
      <c r="F16" s="160" t="str">
        <f>IF(Table4[[#This Row],[A ID]]&gt;0,Table4[[#This Row],[A ID]],"")</f>
        <v>A03</v>
      </c>
      <c r="G16" s="100" t="str">
        <f>Table4[[#This Row],[Asset]]</f>
        <v>Smart medic (Stryker device) System Component</v>
      </c>
      <c r="H16" s="161" t="str">
        <f>IF(Table4[[#This Row],[Impact Description]]&gt;0,Table4[[#This Row],[Impact Description]],"")</f>
        <v xml:space="preserve">1) Malicious utilization of  computer resources 2) computing power  
3) denial of service attacks, 
4) ransomware attack 
5) Bitcoin mining, etc </v>
      </c>
      <c r="I16" s="159" t="str">
        <f>IF(Table4[[#This Row],[Safety Impact 
(Risk ID'# or N/A)]]&gt;0,Table4[[#This Row],[Safety Impact 
(Risk ID'# or N/A)]],"")</f>
        <v/>
      </c>
      <c r="J16" s="103" t="str">
        <f>Table4[[#This Row],[Security 
Risk 
Level]]</f>
        <v>LOW</v>
      </c>
      <c r="K16"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105" t="str">
        <f>Table4[[#This Row],[Security Risk LevelP]]</f>
        <v/>
      </c>
      <c r="M16" s="159" t="str">
        <f>IF(Table4[[#This Row],[Residual Security Risk Acceptability Justification]]&gt;0,Table4[[#This Row],[Residual Security Risk Acceptability Justification]],"")</f>
        <v/>
      </c>
    </row>
    <row r="17" spans="1:13" s="30" customFormat="1" ht="70">
      <c r="A17" s="158">
        <f>Table4[[#This Row],[
ID '#]]</f>
        <v>13</v>
      </c>
      <c r="B17" s="157" t="str">
        <f>IF(Table4[[#This Row],[T ID]]&gt;0,Table4[[#This Row],[T ID]],"")</f>
        <v>T01</v>
      </c>
      <c r="C17" s="100" t="str">
        <f>Table4[[#This Row],[Threat Event(s)]]</f>
        <v>Deliver undirected malware
(CAPEC-185)</v>
      </c>
      <c r="D17" s="159" t="str">
        <f>IF(Table4[[#This Row],[V ID]]&gt;0,Table4[[#This Row],[V ID]],"")</f>
        <v>V12</v>
      </c>
      <c r="E17" s="100" t="str">
        <f>Table4[[#This Row],[Vulnerabilities]]</f>
        <v>Unprotected network port(s) on network devices and connection points</v>
      </c>
      <c r="F17" s="160" t="str">
        <f>IF(Table4[[#This Row],[A ID]]&gt;0,Table4[[#This Row],[A ID]],"")</f>
        <v>A01</v>
      </c>
      <c r="G17" s="100" t="str">
        <f>Table4[[#This Row],[Asset]]</f>
        <v>Tablet Resources - web cam, microphone, OTG devices, Removable USB, Tablet Application, Network interfaces (Bluetooth, Wifi)</v>
      </c>
      <c r="H17" s="161" t="str">
        <f>IF(Table4[[#This Row],[Impact Description]]&gt;0,Table4[[#This Row],[Impact Description]],"")</f>
        <v xml:space="preserve">1) Malicious utilization of  computer resources 2) computing power  
3) denial of service attacks, 
4) ransomware attack 
5) Bitcoin mining, etc </v>
      </c>
      <c r="I17" s="159" t="str">
        <f>IF(Table4[[#This Row],[Safety Impact 
(Risk ID'# or N/A)]]&gt;0,Table4[[#This Row],[Safety Impact 
(Risk ID'# or N/A)]],"")</f>
        <v/>
      </c>
      <c r="J17" s="103" t="str">
        <f>Table4[[#This Row],[Security 
Risk 
Level]]</f>
        <v>LOW</v>
      </c>
      <c r="K17"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105" t="str">
        <f>Table4[[#This Row],[Security Risk LevelP]]</f>
        <v/>
      </c>
      <c r="M17" s="159" t="str">
        <f>IF(Table4[[#This Row],[Residual Security Risk Acceptability Justification]]&gt;0,Table4[[#This Row],[Residual Security Risk Acceptability Justification]],"")</f>
        <v/>
      </c>
    </row>
    <row r="18" spans="1:13" s="30" customFormat="1" ht="70">
      <c r="A18" s="158">
        <f>Table4[[#This Row],[
ID '#]]</f>
        <v>14</v>
      </c>
      <c r="B18" s="157" t="str">
        <f>IF(Table4[[#This Row],[T ID]]&gt;0,Table4[[#This Row],[T ID]],"")</f>
        <v>T01</v>
      </c>
      <c r="C18" s="100" t="str">
        <f>Table4[[#This Row],[Threat Event(s)]]</f>
        <v>Deliver undirected malware
(CAPEC-185)</v>
      </c>
      <c r="D18" s="159" t="str">
        <f>IF(Table4[[#This Row],[V ID]]&gt;0,Table4[[#This Row],[V ID]],"")</f>
        <v>V12</v>
      </c>
      <c r="E18" s="100" t="str">
        <f>Table4[[#This Row],[Vulnerabilities]]</f>
        <v>Unprotected network port(s) on network devices and connection points</v>
      </c>
      <c r="F18" s="160" t="str">
        <f>IF(Table4[[#This Row],[A ID]]&gt;0,Table4[[#This Row],[A ID]],"")</f>
        <v>A03</v>
      </c>
      <c r="G18" s="100" t="str">
        <f>Table4[[#This Row],[Asset]]</f>
        <v>Smart medic (Stryker device) System Component</v>
      </c>
      <c r="H18" s="161" t="str">
        <f>IF(Table4[[#This Row],[Impact Description]]&gt;0,Table4[[#This Row],[Impact Description]],"")</f>
        <v xml:space="preserve">1) Malicious utilization of  computer resources 2) computing power  
3) denial of service attacks, 
4) ransomware attack 
5) Bitcoin mining, etc </v>
      </c>
      <c r="I18" s="159" t="str">
        <f>IF(Table4[[#This Row],[Safety Impact 
(Risk ID'# or N/A)]]&gt;0,Table4[[#This Row],[Safety Impact 
(Risk ID'# or N/A)]],"")</f>
        <v/>
      </c>
      <c r="J18" s="103" t="str">
        <f>Table4[[#This Row],[Security 
Risk 
Level]]</f>
        <v>LOW</v>
      </c>
      <c r="K18"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105" t="str">
        <f>Table4[[#This Row],[Security Risk LevelP]]</f>
        <v/>
      </c>
      <c r="M18" s="159" t="str">
        <f>IF(Table4[[#This Row],[Residual Security Risk Acceptability Justification]]&gt;0,Table4[[#This Row],[Residual Security Risk Acceptability Justification]],"")</f>
        <v/>
      </c>
    </row>
    <row r="19" spans="1:13" s="30" customFormat="1" ht="70">
      <c r="A19" s="158">
        <f>Table4[[#This Row],[
ID '#]]</f>
        <v>15</v>
      </c>
      <c r="B19" s="157" t="str">
        <f>IF(Table4[[#This Row],[T ID]]&gt;0,Table4[[#This Row],[T ID]],"")</f>
        <v>T01</v>
      </c>
      <c r="C19" s="100" t="str">
        <f>Table4[[#This Row],[Threat Event(s)]]</f>
        <v>Deliver undirected malware
(CAPEC-185)</v>
      </c>
      <c r="D19" s="159" t="str">
        <f>IF(Table4[[#This Row],[V ID]]&gt;0,Table4[[#This Row],[V ID]],"")</f>
        <v>V16</v>
      </c>
      <c r="E19" s="100" t="str">
        <f>Table4[[#This Row],[Vulnerabilities]]</f>
        <v>Unencrypted data at rest in all possible locations</v>
      </c>
      <c r="F19" s="160" t="str">
        <f>IF(Table4[[#This Row],[A ID]]&gt;0,Table4[[#This Row],[A ID]],"")</f>
        <v>A01</v>
      </c>
      <c r="G19" s="100" t="str">
        <f>Table4[[#This Row],[Asset]]</f>
        <v>Tablet Resources - web cam, microphone, OTG devices, Removable USB, Tablet Application, Network interfaces (Bluetooth, Wifi)</v>
      </c>
      <c r="H19" s="161" t="str">
        <f>IF(Table4[[#This Row],[Impact Description]]&gt;0,Table4[[#This Row],[Impact Description]],"")</f>
        <v xml:space="preserve">1) Malicious utilization of  computer resources 2) computing power  
3) denial of service attacks, 
4) ransomware attack 
5) Bitcoin mining, etc </v>
      </c>
      <c r="I19" s="159" t="str">
        <f>IF(Table4[[#This Row],[Safety Impact 
(Risk ID'# or N/A)]]&gt;0,Table4[[#This Row],[Safety Impact 
(Risk ID'# or N/A)]],"")</f>
        <v/>
      </c>
      <c r="J19" s="103" t="str">
        <f>Table4[[#This Row],[Security 
Risk 
Level]]</f>
        <v>LOW</v>
      </c>
      <c r="K19"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105" t="str">
        <f>Table4[[#This Row],[Security Risk LevelP]]</f>
        <v/>
      </c>
      <c r="M19" s="159" t="str">
        <f>IF(Table4[[#This Row],[Residual Security Risk Acceptability Justification]]&gt;0,Table4[[#This Row],[Residual Security Risk Acceptability Justification]],"")</f>
        <v/>
      </c>
    </row>
    <row r="20" spans="1:13" s="30" customFormat="1" ht="70">
      <c r="A20" s="158">
        <f>Table4[[#This Row],[
ID '#]]</f>
        <v>16</v>
      </c>
      <c r="B20" s="157" t="str">
        <f>IF(Table4[[#This Row],[T ID]]&gt;0,Table4[[#This Row],[T ID]],"")</f>
        <v>T01</v>
      </c>
      <c r="C20" s="100" t="str">
        <f>Table4[[#This Row],[Threat Event(s)]]</f>
        <v>Deliver undirected malware
(CAPEC-185)</v>
      </c>
      <c r="D20" s="159" t="str">
        <f>IF(Table4[[#This Row],[V ID]]&gt;0,Table4[[#This Row],[V ID]],"")</f>
        <v>V17</v>
      </c>
      <c r="E20" s="100" t="str">
        <f>Table4[[#This Row],[Vulnerabilities]]</f>
        <v>Unencrypted data in transit in all flowchannels</v>
      </c>
      <c r="F20" s="160" t="str">
        <f>IF(Table4[[#This Row],[A ID]]&gt;0,Table4[[#This Row],[A ID]],"")</f>
        <v>A03</v>
      </c>
      <c r="G20" s="100" t="str">
        <f>Table4[[#This Row],[Asset]]</f>
        <v>Smart medic (Stryker device) System Component</v>
      </c>
      <c r="H20" s="161" t="str">
        <f>IF(Table4[[#This Row],[Impact Description]]&gt;0,Table4[[#This Row],[Impact Description]],"")</f>
        <v xml:space="preserve">1) Malicious utilization of  computer resources 2) computing power  
3) denial of service attacks, 
4) ransomware attack 
5) Bitcoin mining, etc </v>
      </c>
      <c r="I20" s="159" t="str">
        <f>IF(Table4[[#This Row],[Safety Impact 
(Risk ID'# or N/A)]]&gt;0,Table4[[#This Row],[Safety Impact 
(Risk ID'# or N/A)]],"")</f>
        <v/>
      </c>
      <c r="J20" s="103" t="str">
        <f>Table4[[#This Row],[Security 
Risk 
Level]]</f>
        <v>LOW</v>
      </c>
      <c r="K20"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105" t="str">
        <f>Table4[[#This Row],[Security Risk LevelP]]</f>
        <v/>
      </c>
      <c r="M20" s="159" t="str">
        <f>IF(Table4[[#This Row],[Residual Security Risk Acceptability Justification]]&gt;0,Table4[[#This Row],[Residual Security Risk Acceptability Justification]],"")</f>
        <v/>
      </c>
    </row>
    <row r="21" spans="1:13" s="30" customFormat="1" ht="70">
      <c r="A21" s="158">
        <f>Table4[[#This Row],[
ID '#]]</f>
        <v>17</v>
      </c>
      <c r="B21" s="157" t="str">
        <f>IF(Table4[[#This Row],[T ID]]&gt;0,Table4[[#This Row],[T ID]],"")</f>
        <v>T01</v>
      </c>
      <c r="C21" s="100" t="str">
        <f>Table4[[#This Row],[Threat Event(s)]]</f>
        <v>Deliver undirected malware
(CAPEC-185)</v>
      </c>
      <c r="D21" s="159" t="str">
        <f>IF(Table4[[#This Row],[V ID]]&gt;0,Table4[[#This Row],[V ID]],"")</f>
        <v>V17</v>
      </c>
      <c r="E21" s="100" t="str">
        <f>Table4[[#This Row],[Vulnerabilities]]</f>
        <v>Unencrypted data in transit in all flowchannels</v>
      </c>
      <c r="F21" s="160" t="str">
        <f>IF(Table4[[#This Row],[A ID]]&gt;0,Table4[[#This Row],[A ID]],"")</f>
        <v>A01</v>
      </c>
      <c r="G21" s="100" t="str">
        <f>Table4[[#This Row],[Asset]]</f>
        <v>Tablet Resources - web cam, microphone, OTG devices, Removable USB, Tablet Application, Network interfaces (Bluetooth, Wifi)</v>
      </c>
      <c r="H21" s="161" t="str">
        <f>IF(Table4[[#This Row],[Impact Description]]&gt;0,Table4[[#This Row],[Impact Description]],"")</f>
        <v xml:space="preserve">1) Malicious utilization of  computer resources 2) computing power  
3) denial of service attacks, 
4) ransomware attack 
5) Bitcoin mining, etc </v>
      </c>
      <c r="I21" s="159" t="str">
        <f>IF(Table4[[#This Row],[Safety Impact 
(Risk ID'# or N/A)]]&gt;0,Table4[[#This Row],[Safety Impact 
(Risk ID'# or N/A)]],"")</f>
        <v/>
      </c>
      <c r="J21" s="103" t="str">
        <f>Table4[[#This Row],[Security 
Risk 
Level]]</f>
        <v>LOW</v>
      </c>
      <c r="K21"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105" t="str">
        <f>Table4[[#This Row],[Security Risk LevelP]]</f>
        <v/>
      </c>
      <c r="M21" s="159" t="str">
        <f>IF(Table4[[#This Row],[Residual Security Risk Acceptability Justification]]&gt;0,Table4[[#This Row],[Residual Security Risk Acceptability Justification]],"")</f>
        <v/>
      </c>
    </row>
    <row r="22" spans="1:13" s="30" customFormat="1" ht="70">
      <c r="A22" s="158">
        <f>Table4[[#This Row],[
ID '#]]</f>
        <v>18</v>
      </c>
      <c r="B22" s="157" t="str">
        <f>IF(Table4[[#This Row],[T ID]]&gt;0,Table4[[#This Row],[T ID]],"")</f>
        <v>T01</v>
      </c>
      <c r="C22" s="100" t="str">
        <f>Table4[[#This Row],[Threat Event(s)]]</f>
        <v>Deliver undirected malware
(CAPEC-185)</v>
      </c>
      <c r="D22" s="159" t="str">
        <f>IF(Table4[[#This Row],[V ID]]&gt;0,Table4[[#This Row],[V ID]],"")</f>
        <v>V23</v>
      </c>
      <c r="E22" s="100" t="str">
        <f>Table4[[#This Row],[Vulnerabilities]]</f>
        <v>Outdated  - Software/Hardware</v>
      </c>
      <c r="F22" s="160" t="str">
        <f>IF(Table4[[#This Row],[A ID]]&gt;0,Table4[[#This Row],[A ID]],"")</f>
        <v>A05</v>
      </c>
      <c r="G22" s="100" t="str">
        <f>Table4[[#This Row],[Asset]]</f>
        <v>Device Maintainence tool (Hardware/Software)</v>
      </c>
      <c r="H22" s="161" t="str">
        <f>IF(Table4[[#This Row],[Impact Description]]&gt;0,Table4[[#This Row],[Impact Description]],"")</f>
        <v xml:space="preserve">1) Malicious utilization of  computer resources 2) computing power  
3) denial of service attacks, 
4) ransomware attack 
5) Bitcoin mining, etc </v>
      </c>
      <c r="I22" s="159" t="str">
        <f>IF(Table4[[#This Row],[Safety Impact 
(Risk ID'# or N/A)]]&gt;0,Table4[[#This Row],[Safety Impact 
(Risk ID'# or N/A)]],"")</f>
        <v/>
      </c>
      <c r="J22" s="103" t="str">
        <f>Table4[[#This Row],[Security 
Risk 
Level]]</f>
        <v>LOW</v>
      </c>
      <c r="K22"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105" t="str">
        <f>Table4[[#This Row],[Security Risk LevelP]]</f>
        <v/>
      </c>
      <c r="M22" s="159" t="str">
        <f>IF(Table4[[#This Row],[Residual Security Risk Acceptability Justification]]&gt;0,Table4[[#This Row],[Residual Security Risk Acceptability Justification]],"")</f>
        <v/>
      </c>
    </row>
    <row r="23" spans="1:13" s="30" customFormat="1" ht="70">
      <c r="A23" s="158">
        <f>Table4[[#This Row],[
ID '#]]</f>
        <v>19</v>
      </c>
      <c r="B23" s="157" t="str">
        <f>IF(Table4[[#This Row],[T ID]]&gt;0,Table4[[#This Row],[T ID]],"")</f>
        <v>T01</v>
      </c>
      <c r="C23" s="100" t="str">
        <f>Table4[[#This Row],[Threat Event(s)]]</f>
        <v>Deliver undirected malware
(CAPEC-185)</v>
      </c>
      <c r="D23" s="159" t="str">
        <f>IF(Table4[[#This Row],[V ID]]&gt;0,Table4[[#This Row],[V ID]],"")</f>
        <v>V23</v>
      </c>
      <c r="E23" s="100" t="str">
        <f>Table4[[#This Row],[Vulnerabilities]]</f>
        <v>Outdated  - Software/Hardware</v>
      </c>
      <c r="F23" s="160" t="str">
        <f>IF(Table4[[#This Row],[A ID]]&gt;0,Table4[[#This Row],[A ID]],"")</f>
        <v>A03</v>
      </c>
      <c r="G23" s="100" t="str">
        <f>Table4[[#This Row],[Asset]]</f>
        <v>Smart medic (Stryker device) System Component</v>
      </c>
      <c r="H23" s="161" t="str">
        <f>IF(Table4[[#This Row],[Impact Description]]&gt;0,Table4[[#This Row],[Impact Description]],"")</f>
        <v xml:space="preserve">1) Malicious utilization of  computer resources 2) computing power  
3) denial of service attacks, 
4) ransomware attack 
5) Bitcoin mining, etc </v>
      </c>
      <c r="I23" s="159" t="str">
        <f>IF(Table4[[#This Row],[Safety Impact 
(Risk ID'# or N/A)]]&gt;0,Table4[[#This Row],[Safety Impact 
(Risk ID'# or N/A)]],"")</f>
        <v/>
      </c>
      <c r="J23" s="103" t="str">
        <f>Table4[[#This Row],[Security 
Risk 
Level]]</f>
        <v>LOW</v>
      </c>
      <c r="K23"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105" t="str">
        <f>Table4[[#This Row],[Security Risk LevelP]]</f>
        <v/>
      </c>
      <c r="M23" s="159" t="str">
        <f>IF(Table4[[#This Row],[Residual Security Risk Acceptability Justification]]&gt;0,Table4[[#This Row],[Residual Security Risk Acceptability Justification]],"")</f>
        <v/>
      </c>
    </row>
    <row r="24" spans="1:13" s="30" customFormat="1" ht="70">
      <c r="A24" s="158">
        <f>Table4[[#This Row],[
ID '#]]</f>
        <v>20</v>
      </c>
      <c r="B24" s="157" t="str">
        <f>IF(Table4[[#This Row],[T ID]]&gt;0,Table4[[#This Row],[T ID]],"")</f>
        <v>T01</v>
      </c>
      <c r="C24" s="100" t="str">
        <f>Table4[[#This Row],[Threat Event(s)]]</f>
        <v>Deliver undirected malware
(CAPEC-185)</v>
      </c>
      <c r="D24" s="159" t="str">
        <f>IF(Table4[[#This Row],[V ID]]&gt;0,Table4[[#This Row],[V ID]],"")</f>
        <v>V23</v>
      </c>
      <c r="E24" s="100" t="str">
        <f>Table4[[#This Row],[Vulnerabilities]]</f>
        <v>Outdated  - Software/Hardware</v>
      </c>
      <c r="F24" s="160" t="str">
        <f>IF(Table4[[#This Row],[A ID]]&gt;0,Table4[[#This Row],[A ID]],"")</f>
        <v>A01</v>
      </c>
      <c r="G24" s="100" t="str">
        <f>Table4[[#This Row],[Asset]]</f>
        <v>Tablet Resources - web cam, microphone, OTG devices, Removable USB, Tablet Application, Network interfaces (Bluetooth, Wifi)</v>
      </c>
      <c r="H24" s="161" t="str">
        <f>IF(Table4[[#This Row],[Impact Description]]&gt;0,Table4[[#This Row],[Impact Description]],"")</f>
        <v xml:space="preserve">1) Malicious utilization of  computer resources 2) computing power  
3) denial of service attacks, 
4) ransomware attack 
5) Bitcoin mining, etc </v>
      </c>
      <c r="I24" s="159" t="str">
        <f>IF(Table4[[#This Row],[Safety Impact 
(Risk ID'# or N/A)]]&gt;0,Table4[[#This Row],[Safety Impact 
(Risk ID'# or N/A)]],"")</f>
        <v/>
      </c>
      <c r="J24" s="103" t="str">
        <f>Table4[[#This Row],[Security 
Risk 
Level]]</f>
        <v>LOW</v>
      </c>
      <c r="K24"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105" t="str">
        <f>Table4[[#This Row],[Security Risk LevelP]]</f>
        <v/>
      </c>
      <c r="M24" s="159" t="str">
        <f>IF(Table4[[#This Row],[Residual Security Risk Acceptability Justification]]&gt;0,Table4[[#This Row],[Residual Security Risk Acceptability Justification]],"")</f>
        <v/>
      </c>
    </row>
    <row r="25" spans="1:13" s="30" customFormat="1" ht="70">
      <c r="A25" s="158">
        <f>Table4[[#This Row],[
ID '#]]</f>
        <v>21</v>
      </c>
      <c r="B25" s="157" t="str">
        <f>IF(Table4[[#This Row],[T ID]]&gt;0,Table4[[#This Row],[T ID]],"")</f>
        <v>T02</v>
      </c>
      <c r="C25" s="100" t="str">
        <f>Table4[[#This Row],[Threat Event(s)]]</f>
        <v>Deliver directed malware
(CAPEC-185)</v>
      </c>
      <c r="D25" s="159" t="str">
        <f>IF(Table4[[#This Row],[V ID]]&gt;0,Table4[[#This Row],[V ID]],"")</f>
        <v>V21</v>
      </c>
      <c r="E25" s="100" t="str">
        <f>Table4[[#This Row],[Vulnerabilities]]</f>
        <v>InSecure Configuration for Software/OS on Mobile Devices, Laptops, Workstations, and Servers</v>
      </c>
      <c r="F25" s="160" t="str">
        <f>IF(Table4[[#This Row],[A ID]]&gt;0,Table4[[#This Row],[A ID]],"")</f>
        <v>A05</v>
      </c>
      <c r="G25" s="100" t="str">
        <f>Table4[[#This Row],[Asset]]</f>
        <v>Device Maintainence tool (Hardware/Software)</v>
      </c>
      <c r="H25" s="161" t="str">
        <f>IF(Table4[[#This Row],[Impact Description]]&gt;0,Table4[[#This Row],[Impact Description]],"")</f>
        <v xml:space="preserve">1) Malicious utilization of  computer resources 2) computing power  
3) denial of service attacks, 
4) ransomware attack 
5) Bitcoin mining, etc </v>
      </c>
      <c r="I25" s="159" t="str">
        <f>IF(Table4[[#This Row],[Safety Impact 
(Risk ID'# or N/A)]]&gt;0,Table4[[#This Row],[Safety Impact 
(Risk ID'# or N/A)]],"")</f>
        <v/>
      </c>
      <c r="J25" s="103" t="str">
        <f>Table4[[#This Row],[Security 
Risk 
Level]]</f>
        <v>LOW</v>
      </c>
      <c r="K25"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105" t="str">
        <f>Table4[[#This Row],[Security Risk LevelP]]</f>
        <v/>
      </c>
      <c r="M25" s="159" t="str">
        <f>IF(Table4[[#This Row],[Residual Security Risk Acceptability Justification]]&gt;0,Table4[[#This Row],[Residual Security Risk Acceptability Justification]],"")</f>
        <v>Justification</v>
      </c>
    </row>
    <row r="26" spans="1:13" s="30" customFormat="1" ht="70">
      <c r="A26" s="158">
        <f>Table4[[#This Row],[
ID '#]]</f>
        <v>22</v>
      </c>
      <c r="B26" s="157" t="str">
        <f>IF(Table4[[#This Row],[T ID]]&gt;0,Table4[[#This Row],[T ID]],"")</f>
        <v>T02</v>
      </c>
      <c r="C26" s="100" t="str">
        <f>Table4[[#This Row],[Threat Event(s)]]</f>
        <v>Deliver directed malware
(CAPEC-185)</v>
      </c>
      <c r="D26" s="159" t="str">
        <f>IF(Table4[[#This Row],[V ID]]&gt;0,Table4[[#This Row],[V ID]],"")</f>
        <v>V21</v>
      </c>
      <c r="E26" s="100" t="str">
        <f>Table4[[#This Row],[Vulnerabilities]]</f>
        <v>InSecure Configuration for Software/OS on Mobile Devices, Laptops, Workstations, and Servers</v>
      </c>
      <c r="F26" s="160" t="str">
        <f>IF(Table4[[#This Row],[A ID]]&gt;0,Table4[[#This Row],[A ID]],"")</f>
        <v>A03</v>
      </c>
      <c r="G26" s="100" t="str">
        <f>Table4[[#This Row],[Asset]]</f>
        <v>Smart medic (Stryker device) System Component</v>
      </c>
      <c r="H26" s="161" t="str">
        <f>IF(Table4[[#This Row],[Impact Description]]&gt;0,Table4[[#This Row],[Impact Description]],"")</f>
        <v xml:space="preserve">1) Malicious utilization of  computer resources 2) computing power  
3) denial of service attacks, 
4) ransomware attack 
5) Bitcoin mining, etc </v>
      </c>
      <c r="I26" s="159" t="str">
        <f>IF(Table4[[#This Row],[Safety Impact 
(Risk ID'# or N/A)]]&gt;0,Table4[[#This Row],[Safety Impact 
(Risk ID'# or N/A)]],"")</f>
        <v/>
      </c>
      <c r="J26" s="103" t="str">
        <f>Table4[[#This Row],[Security 
Risk 
Level]]</f>
        <v>LOW</v>
      </c>
      <c r="K26"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105" t="str">
        <f>Table4[[#This Row],[Security Risk LevelP]]</f>
        <v/>
      </c>
      <c r="M26" s="159" t="str">
        <f>IF(Table4[[#This Row],[Residual Security Risk Acceptability Justification]]&gt;0,Table4[[#This Row],[Residual Security Risk Acceptability Justification]],"")</f>
        <v/>
      </c>
    </row>
    <row r="27" spans="1:13" s="30" customFormat="1" ht="70">
      <c r="A27" s="158">
        <f>Table4[[#This Row],[
ID '#]]</f>
        <v>23</v>
      </c>
      <c r="B27" s="157" t="str">
        <f>IF(Table4[[#This Row],[T ID]]&gt;0,Table4[[#This Row],[T ID]],"")</f>
        <v>T02</v>
      </c>
      <c r="C27" s="100" t="str">
        <f>Table4[[#This Row],[Threat Event(s)]]</f>
        <v>Deliver directed malware
(CAPEC-185)</v>
      </c>
      <c r="D27" s="159" t="str">
        <f>IF(Table4[[#This Row],[V ID]]&gt;0,Table4[[#This Row],[V ID]],"")</f>
        <v>V21</v>
      </c>
      <c r="E27" s="100" t="str">
        <f>Table4[[#This Row],[Vulnerabilities]]</f>
        <v>InSecure Configuration for Software/OS on Mobile Devices, Laptops, Workstations, and Servers</v>
      </c>
      <c r="F27" s="160" t="str">
        <f>IF(Table4[[#This Row],[A ID]]&gt;0,Table4[[#This Row],[A ID]],"")</f>
        <v>A01</v>
      </c>
      <c r="G27" s="100" t="str">
        <f>Table4[[#This Row],[Asset]]</f>
        <v>Tablet Resources - web cam, microphone, OTG devices, Removable USB, Tablet Application, Network interfaces (Bluetooth, Wifi)</v>
      </c>
      <c r="H27" s="161" t="str">
        <f>IF(Table4[[#This Row],[Impact Description]]&gt;0,Table4[[#This Row],[Impact Description]],"")</f>
        <v xml:space="preserve">1) Malicious utilization of  computer resources 2) computing power  
3) denial of service attacks, 
4) ransomware attack 
5) Bitcoin mining, etc </v>
      </c>
      <c r="I27" s="159" t="str">
        <f>IF(Table4[[#This Row],[Safety Impact 
(Risk ID'# or N/A)]]&gt;0,Table4[[#This Row],[Safety Impact 
(Risk ID'# or N/A)]],"")</f>
        <v/>
      </c>
      <c r="J27" s="103" t="str">
        <f>Table4[[#This Row],[Security 
Risk 
Level]]</f>
        <v>LOW</v>
      </c>
      <c r="K27"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105" t="str">
        <f>Table4[[#This Row],[Security Risk LevelP]]</f>
        <v/>
      </c>
      <c r="M27" s="159" t="str">
        <f>IF(Table4[[#This Row],[Residual Security Risk Acceptability Justification]]&gt;0,Table4[[#This Row],[Residual Security Risk Acceptability Justification]],"")</f>
        <v/>
      </c>
    </row>
    <row r="28" spans="1:13" s="30" customFormat="1" ht="70">
      <c r="A28" s="158">
        <f>Table4[[#This Row],[
ID '#]]</f>
        <v>24</v>
      </c>
      <c r="B28" s="157" t="str">
        <f>IF(Table4[[#This Row],[T ID]]&gt;0,Table4[[#This Row],[T ID]],"")</f>
        <v>T02</v>
      </c>
      <c r="C28" s="100" t="str">
        <f>Table4[[#This Row],[Threat Event(s)]]</f>
        <v>Deliver directed malware
(CAPEC-185)</v>
      </c>
      <c r="D28" s="159" t="str">
        <f>IF(Table4[[#This Row],[V ID]]&gt;0,Table4[[#This Row],[V ID]],"")</f>
        <v>V13</v>
      </c>
      <c r="E28" s="100" t="str">
        <f>Table4[[#This Row],[Vulnerabilities]]</f>
        <v>Unprotected external USB Port on the tablet/devices.</v>
      </c>
      <c r="F28" s="160" t="str">
        <f>IF(Table4[[#This Row],[A ID]]&gt;0,Table4[[#This Row],[A ID]],"")</f>
        <v>A08</v>
      </c>
      <c r="G28" s="100" t="str">
        <f>Table4[[#This Row],[Asset]]</f>
        <v>Wireless Network device (Scope of HDO)</v>
      </c>
      <c r="H28" s="161" t="str">
        <f>IF(Table4[[#This Row],[Impact Description]]&gt;0,Table4[[#This Row],[Impact Description]],"")</f>
        <v xml:space="preserve">1) Malicious utilization of  computer resources 2) computing power  
3) denial of service attacks, 
4) ransomware attack 
5) Bitcoin mining, etc </v>
      </c>
      <c r="I28" s="159" t="str">
        <f>IF(Table4[[#This Row],[Safety Impact 
(Risk ID'# or N/A)]]&gt;0,Table4[[#This Row],[Safety Impact 
(Risk ID'# or N/A)]],"")</f>
        <v/>
      </c>
      <c r="J28" s="103" t="str">
        <f>Table4[[#This Row],[Security 
Risk 
Level]]</f>
        <v>LOW</v>
      </c>
      <c r="K28" s="159" t="str">
        <f>IF(Table4[[#This Row],[Security Risk Control Measures]]&gt;0,Table4[[#This Row],[Security Risk Control Measures]],"")</f>
        <v>SOM responsibility
1. Statefull Firewall
2. Maintain access control (read/modify) permission list for any sensitive &amp; unencrypted data if present.</v>
      </c>
      <c r="L28" s="105" t="str">
        <f>Table4[[#This Row],[Security Risk LevelP]]</f>
        <v/>
      </c>
      <c r="M28" s="159" t="str">
        <f>IF(Table4[[#This Row],[Residual Security Risk Acceptability Justification]]&gt;0,Table4[[#This Row],[Residual Security Risk Acceptability Justification]],"")</f>
        <v/>
      </c>
    </row>
    <row r="29" spans="1:13" s="30" customFormat="1" ht="70">
      <c r="A29" s="158">
        <f>Table4[[#This Row],[
ID '#]]</f>
        <v>25</v>
      </c>
      <c r="B29" s="157" t="str">
        <f>IF(Table4[[#This Row],[T ID]]&gt;0,Table4[[#This Row],[T ID]],"")</f>
        <v>T02</v>
      </c>
      <c r="C29" s="100" t="str">
        <f>Table4[[#This Row],[Threat Event(s)]]</f>
        <v>Deliver directed malware
(CAPEC-185)</v>
      </c>
      <c r="D29" s="159" t="str">
        <f>IF(Table4[[#This Row],[V ID]]&gt;0,Table4[[#This Row],[V ID]],"")</f>
        <v>V13</v>
      </c>
      <c r="E29" s="100" t="str">
        <f>Table4[[#This Row],[Vulnerabilities]]</f>
        <v>Unprotected external USB Port on the tablet/devices.</v>
      </c>
      <c r="F29" s="160" t="str">
        <f>IF(Table4[[#This Row],[A ID]]&gt;0,Table4[[#This Row],[A ID]],"")</f>
        <v>A01</v>
      </c>
      <c r="G29" s="100" t="str">
        <f>Table4[[#This Row],[Asset]]</f>
        <v>Tablet Resources - web cam, microphone, OTG devices, Removable USB, Tablet Application, Network interfaces (Bluetooth, Wifi)</v>
      </c>
      <c r="H29" s="161" t="str">
        <f>IF(Table4[[#This Row],[Impact Description]]&gt;0,Table4[[#This Row],[Impact Description]],"")</f>
        <v xml:space="preserve">1) Malicious utilization of  computer resources 2) computing power  
3) denial of service attacks, 
4) ransomware attack 
5) Bitcoin mining, etc </v>
      </c>
      <c r="I29" s="159" t="str">
        <f>IF(Table4[[#This Row],[Safety Impact 
(Risk ID'# or N/A)]]&gt;0,Table4[[#This Row],[Safety Impact 
(Risk ID'# or N/A)]],"")</f>
        <v/>
      </c>
      <c r="J29" s="103" t="str">
        <f>Table4[[#This Row],[Security 
Risk 
Level]]</f>
        <v>LOW</v>
      </c>
      <c r="K29"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105" t="str">
        <f>Table4[[#This Row],[Security Risk LevelP]]</f>
        <v/>
      </c>
      <c r="M29" s="159" t="str">
        <f>IF(Table4[[#This Row],[Residual Security Risk Acceptability Justification]]&gt;0,Table4[[#This Row],[Residual Security Risk Acceptability Justification]],"")</f>
        <v/>
      </c>
    </row>
    <row r="30" spans="1:13" s="30" customFormat="1" ht="70">
      <c r="A30" s="158">
        <f>Table4[[#This Row],[
ID '#]]</f>
        <v>26</v>
      </c>
      <c r="B30" s="157" t="str">
        <f>IF(Table4[[#This Row],[T ID]]&gt;0,Table4[[#This Row],[T ID]],"")</f>
        <v>T02</v>
      </c>
      <c r="C30" s="100" t="str">
        <f>Table4[[#This Row],[Threat Event(s)]]</f>
        <v>Deliver directed malware
(CAPEC-185)</v>
      </c>
      <c r="D30" s="159" t="str">
        <f>IF(Table4[[#This Row],[V ID]]&gt;0,Table4[[#This Row],[V ID]],"")</f>
        <v>V13</v>
      </c>
      <c r="E30" s="100" t="str">
        <f>Table4[[#This Row],[Vulnerabilities]]</f>
        <v>Unprotected external USB Port on the tablet/devices.</v>
      </c>
      <c r="F30" s="160" t="str">
        <f>IF(Table4[[#This Row],[A ID]]&gt;0,Table4[[#This Row],[A ID]],"")</f>
        <v>A11</v>
      </c>
      <c r="G30" s="100" t="str">
        <f>Table4[[#This Row],[Asset]]</f>
        <v>Smart medic app (Stryker Admin Web Application)</v>
      </c>
      <c r="H30" s="161" t="str">
        <f>IF(Table4[[#This Row],[Impact Description]]&gt;0,Table4[[#This Row],[Impact Description]],"")</f>
        <v xml:space="preserve">1) Malicious utilization of  computer resources 2) computing power  
3) denial of service attacks, 
4) ransomware attack 
5) Bitcoin mining, etc </v>
      </c>
      <c r="I30" s="159" t="str">
        <f>IF(Table4[[#This Row],[Safety Impact 
(Risk ID'# or N/A)]]&gt;0,Table4[[#This Row],[Safety Impact 
(Risk ID'# or N/A)]],"")</f>
        <v/>
      </c>
      <c r="J30" s="103" t="str">
        <f>Table4[[#This Row],[Security 
Risk 
Level]]</f>
        <v>LOW</v>
      </c>
      <c r="K30"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105" t="str">
        <f>Table4[[#This Row],[Security Risk LevelP]]</f>
        <v/>
      </c>
      <c r="M30" s="159" t="str">
        <f>IF(Table4[[#This Row],[Residual Security Risk Acceptability Justification]]&gt;0,Table4[[#This Row],[Residual Security Risk Acceptability Justification]],"")</f>
        <v/>
      </c>
    </row>
    <row r="31" spans="1:13" s="30" customFormat="1" ht="112">
      <c r="A31" s="158">
        <f>Table4[[#This Row],[
ID '#]]</f>
        <v>27</v>
      </c>
      <c r="B31" s="157" t="str">
        <f>IF(Table4[[#This Row],[T ID]]&gt;0,Table4[[#This Row],[T ID]],"")</f>
        <v>T02</v>
      </c>
      <c r="C31" s="100" t="str">
        <f>Table4[[#This Row],[Threat Event(s)]]</f>
        <v>Deliver directed malware
(CAPEC-185)</v>
      </c>
      <c r="D31" s="159" t="str">
        <f>IF(Table4[[#This Row],[V ID]]&gt;0,Table4[[#This Row],[V ID]],"")</f>
        <v>V02</v>
      </c>
      <c r="E31" s="100" t="str">
        <f>Table4[[#This Row],[Vulnerabilities]]</f>
        <v>External communications and exposure for communciation channels from and to application and devices like tablet and smartmedic device.</v>
      </c>
      <c r="F31" s="160" t="str">
        <f>IF(Table4[[#This Row],[A ID]]&gt;0,Table4[[#This Row],[A ID]],"")</f>
        <v>A01</v>
      </c>
      <c r="G31" s="100" t="str">
        <f>Table4[[#This Row],[Asset]]</f>
        <v>Tablet Resources - web cam, microphone, OTG devices, Removable USB, Tablet Application, Network interfaces (Bluetooth, Wifi)</v>
      </c>
      <c r="H31" s="161" t="str">
        <f>IF(Table4[[#This Row],[Impact Description]]&gt;0,Table4[[#This Row],[Impact Description]],"")</f>
        <v xml:space="preserve">1) Malicious utilization of  computer resources 2) computing power  
3) denial of service attacks, 
4) ransomware attack 
5) Bitcoin mining, etc </v>
      </c>
      <c r="I31" s="159" t="str">
        <f>IF(Table4[[#This Row],[Safety Impact 
(Risk ID'# or N/A)]]&gt;0,Table4[[#This Row],[Safety Impact 
(Risk ID'# or N/A)]],"")</f>
        <v/>
      </c>
      <c r="J31" s="103" t="str">
        <f>Table4[[#This Row],[Security 
Risk 
Level]]</f>
        <v>MEDIUM</v>
      </c>
      <c r="K31" s="15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105" t="str">
        <f>Table4[[#This Row],[Security Risk LevelP]]</f>
        <v/>
      </c>
      <c r="M31" s="159" t="str">
        <f>IF(Table4[[#This Row],[Residual Security Risk Acceptability Justification]]&gt;0,Table4[[#This Row],[Residual Security Risk Acceptability Justification]],"")</f>
        <v/>
      </c>
    </row>
    <row r="32" spans="1:13" s="30" customFormat="1" ht="84">
      <c r="A32" s="158">
        <f>Table4[[#This Row],[
ID '#]]</f>
        <v>28</v>
      </c>
      <c r="B32" s="157" t="str">
        <f>IF(Table4[[#This Row],[T ID]]&gt;0,Table4[[#This Row],[T ID]],"")</f>
        <v>T02</v>
      </c>
      <c r="C32" s="100" t="str">
        <f>Table4[[#This Row],[Threat Event(s)]]</f>
        <v>Deliver directed malware
(CAPEC-185)</v>
      </c>
      <c r="D32" s="159" t="str">
        <f>IF(Table4[[#This Row],[V ID]]&gt;0,Table4[[#This Row],[V ID]],"")</f>
        <v>V08</v>
      </c>
      <c r="E32" s="100" t="str">
        <f>Table4[[#This Row],[Vulnerabilities]]</f>
        <v>Ineffective patch management of firware, OS and applications thoughout the information system plan</v>
      </c>
      <c r="F32" s="160" t="str">
        <f>IF(Table4[[#This Row],[A ID]]&gt;0,Table4[[#This Row],[A ID]],"")</f>
        <v>A05</v>
      </c>
      <c r="G32" s="100" t="str">
        <f>Table4[[#This Row],[Asset]]</f>
        <v>Device Maintainence tool (Hardware/Software)</v>
      </c>
      <c r="H32" s="161" t="str">
        <f>IF(Table4[[#This Row],[Impact Description]]&gt;0,Table4[[#This Row],[Impact Description]],"")</f>
        <v xml:space="preserve">1) Malicious utilization of  computer resources 2) computing power  
3) denial of service attacks, 
4) ransomware attack 
5) Bitcoin mining, etc </v>
      </c>
      <c r="I32" s="159" t="str">
        <f>IF(Table4[[#This Row],[Safety Impact 
(Risk ID'# or N/A)]]&gt;0,Table4[[#This Row],[Safety Impact 
(Risk ID'# or N/A)]],"")</f>
        <v/>
      </c>
      <c r="J32" s="103" t="str">
        <f>Table4[[#This Row],[Security 
Risk 
Level]]</f>
        <v>LOW</v>
      </c>
      <c r="K32"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105" t="str">
        <f>Table4[[#This Row],[Security Risk LevelP]]</f>
        <v/>
      </c>
      <c r="M32" s="159" t="str">
        <f>IF(Table4[[#This Row],[Residual Security Risk Acceptability Justification]]&gt;0,Table4[[#This Row],[Residual Security Risk Acceptability Justification]],"")</f>
        <v/>
      </c>
    </row>
    <row r="33" spans="1:13" s="30" customFormat="1" ht="84">
      <c r="A33" s="158">
        <f>Table4[[#This Row],[
ID '#]]</f>
        <v>29</v>
      </c>
      <c r="B33" s="157" t="str">
        <f>IF(Table4[[#This Row],[T ID]]&gt;0,Table4[[#This Row],[T ID]],"")</f>
        <v>T02</v>
      </c>
      <c r="C33" s="100" t="str">
        <f>Table4[[#This Row],[Threat Event(s)]]</f>
        <v>Deliver directed malware
(CAPEC-185)</v>
      </c>
      <c r="D33" s="159" t="str">
        <f>IF(Table4[[#This Row],[V ID]]&gt;0,Table4[[#This Row],[V ID]],"")</f>
        <v>V08</v>
      </c>
      <c r="E33" s="100" t="str">
        <f>Table4[[#This Row],[Vulnerabilities]]</f>
        <v>Ineffective patch management of firware, OS and applications thoughout the information system plan</v>
      </c>
      <c r="F33" s="160" t="str">
        <f>IF(Table4[[#This Row],[A ID]]&gt;0,Table4[[#This Row],[A ID]],"")</f>
        <v>A03</v>
      </c>
      <c r="G33" s="100" t="str">
        <f>Table4[[#This Row],[Asset]]</f>
        <v>Smart medic (Stryker device) System Component</v>
      </c>
      <c r="H33" s="161" t="str">
        <f>IF(Table4[[#This Row],[Impact Description]]&gt;0,Table4[[#This Row],[Impact Description]],"")</f>
        <v xml:space="preserve">1) Malicious utilization of  computer resources 2) computing power  
3) denial of service attacks, 
4) ransomware attack 
5) Bitcoin mining, etc </v>
      </c>
      <c r="I33" s="159" t="str">
        <f>IF(Table4[[#This Row],[Safety Impact 
(Risk ID'# or N/A)]]&gt;0,Table4[[#This Row],[Safety Impact 
(Risk ID'# or N/A)]],"")</f>
        <v/>
      </c>
      <c r="J33" s="103" t="str">
        <f>Table4[[#This Row],[Security 
Risk 
Level]]</f>
        <v>LOW</v>
      </c>
      <c r="K33"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105" t="str">
        <f>Table4[[#This Row],[Security Risk LevelP]]</f>
        <v/>
      </c>
      <c r="M33" s="159" t="str">
        <f>IF(Table4[[#This Row],[Residual Security Risk Acceptability Justification]]&gt;0,Table4[[#This Row],[Residual Security Risk Acceptability Justification]],"")</f>
        <v/>
      </c>
    </row>
    <row r="34" spans="1:13" s="30" customFormat="1" ht="84">
      <c r="A34" s="158">
        <f>Table4[[#This Row],[
ID '#]]</f>
        <v>30</v>
      </c>
      <c r="B34" s="157" t="str">
        <f>IF(Table4[[#This Row],[T ID]]&gt;0,Table4[[#This Row],[T ID]],"")</f>
        <v>T02</v>
      </c>
      <c r="C34" s="100" t="str">
        <f>Table4[[#This Row],[Threat Event(s)]]</f>
        <v>Deliver directed malware
(CAPEC-185)</v>
      </c>
      <c r="D34" s="159" t="str">
        <f>IF(Table4[[#This Row],[V ID]]&gt;0,Table4[[#This Row],[V ID]],"")</f>
        <v>V08</v>
      </c>
      <c r="E34" s="100" t="str">
        <f>Table4[[#This Row],[Vulnerabilities]]</f>
        <v>Ineffective patch management of firware, OS and applications thoughout the information system plan</v>
      </c>
      <c r="F34" s="160" t="str">
        <f>IF(Table4[[#This Row],[A ID]]&gt;0,Table4[[#This Row],[A ID]],"")</f>
        <v>A01</v>
      </c>
      <c r="G34" s="100" t="str">
        <f>Table4[[#This Row],[Asset]]</f>
        <v>Tablet Resources - web cam, microphone, OTG devices, Removable USB, Tablet Application, Network interfaces (Bluetooth, Wifi)</v>
      </c>
      <c r="H34" s="161" t="str">
        <f>IF(Table4[[#This Row],[Impact Description]]&gt;0,Table4[[#This Row],[Impact Description]],"")</f>
        <v xml:space="preserve">1) Malicious utilization of  computer resources 2) computing power  
3) denial of service attacks, 
4) ransomware attack 
5) Bitcoin mining, etc </v>
      </c>
      <c r="I34" s="159" t="str">
        <f>IF(Table4[[#This Row],[Safety Impact 
(Risk ID'# or N/A)]]&gt;0,Table4[[#This Row],[Safety Impact 
(Risk ID'# or N/A)]],"")</f>
        <v/>
      </c>
      <c r="J34" s="103" t="str">
        <f>Table4[[#This Row],[Security 
Risk 
Level]]</f>
        <v>LOW</v>
      </c>
      <c r="K34"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105" t="str">
        <f>Table4[[#This Row],[Security Risk LevelP]]</f>
        <v/>
      </c>
      <c r="M34" s="159" t="str">
        <f>IF(Table4[[#This Row],[Residual Security Risk Acceptability Justification]]&gt;0,Table4[[#This Row],[Residual Security Risk Acceptability Justification]],"")</f>
        <v/>
      </c>
    </row>
    <row r="35" spans="1:13" s="30" customFormat="1" ht="84">
      <c r="A35" s="158">
        <f>Table4[[#This Row],[
ID '#]]</f>
        <v>31</v>
      </c>
      <c r="B35" s="157" t="str">
        <f>IF(Table4[[#This Row],[T ID]]&gt;0,Table4[[#This Row],[T ID]],"")</f>
        <v>T02</v>
      </c>
      <c r="C35" s="100" t="str">
        <f>Table4[[#This Row],[Threat Event(s)]]</f>
        <v>Deliver directed malware
(CAPEC-185)</v>
      </c>
      <c r="D35" s="159" t="str">
        <f>IF(Table4[[#This Row],[V ID]]&gt;0,Table4[[#This Row],[V ID]],"")</f>
        <v>V12</v>
      </c>
      <c r="E35" s="100" t="str">
        <f>Table4[[#This Row],[Vulnerabilities]]</f>
        <v>Unprotected network port(s) on network devices and connection points</v>
      </c>
      <c r="F35" s="160" t="str">
        <f>IF(Table4[[#This Row],[A ID]]&gt;0,Table4[[#This Row],[A ID]],"")</f>
        <v>A03</v>
      </c>
      <c r="G35" s="100" t="str">
        <f>Table4[[#This Row],[Asset]]</f>
        <v>Smart medic (Stryker device) System Component</v>
      </c>
      <c r="H35" s="161" t="str">
        <f>IF(Table4[[#This Row],[Impact Description]]&gt;0,Table4[[#This Row],[Impact Description]],"")</f>
        <v xml:space="preserve">1) Malicious utilization of  computer resources 
2) computing power  
3) denial of service attacks, 
4) ransomware attack 
5) Bitcoin mining, etc </v>
      </c>
      <c r="I35" s="159" t="str">
        <f>IF(Table4[[#This Row],[Safety Impact 
(Risk ID'# or N/A)]]&gt;0,Table4[[#This Row],[Safety Impact 
(Risk ID'# or N/A)]],"")</f>
        <v/>
      </c>
      <c r="J35" s="103" t="str">
        <f>Table4[[#This Row],[Security 
Risk 
Level]]</f>
        <v>MEDIUM</v>
      </c>
      <c r="K35" s="15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105" t="str">
        <f>Table4[[#This Row],[Security Risk LevelP]]</f>
        <v/>
      </c>
      <c r="M35" s="159" t="str">
        <f>IF(Table4[[#This Row],[Residual Security Risk Acceptability Justification]]&gt;0,Table4[[#This Row],[Residual Security Risk Acceptability Justification]],"")</f>
        <v/>
      </c>
    </row>
    <row r="36" spans="1:13" s="30" customFormat="1" ht="84">
      <c r="A36" s="158">
        <f>Table4[[#This Row],[
ID '#]]</f>
        <v>32</v>
      </c>
      <c r="B36" s="157" t="str">
        <f>IF(Table4[[#This Row],[T ID]]&gt;0,Table4[[#This Row],[T ID]],"")</f>
        <v>T02</v>
      </c>
      <c r="C36" s="100" t="str">
        <f>Table4[[#This Row],[Threat Event(s)]]</f>
        <v>Deliver directed malware
(CAPEC-185)</v>
      </c>
      <c r="D36" s="159" t="str">
        <f>IF(Table4[[#This Row],[V ID]]&gt;0,Table4[[#This Row],[V ID]],"")</f>
        <v>V12</v>
      </c>
      <c r="E36" s="100" t="str">
        <f>Table4[[#This Row],[Vulnerabilities]]</f>
        <v>Unprotected network port(s) on network devices and connection points</v>
      </c>
      <c r="F36" s="160" t="str">
        <f>IF(Table4[[#This Row],[A ID]]&gt;0,Table4[[#This Row],[A ID]],"")</f>
        <v>A01</v>
      </c>
      <c r="G36" s="100" t="str">
        <f>Table4[[#This Row],[Asset]]</f>
        <v>Tablet Resources - web cam, microphone, OTG devices, Removable USB, Tablet Application, Network interfaces (Bluetooth, Wifi)</v>
      </c>
      <c r="H36" s="161" t="str">
        <f>IF(Table4[[#This Row],[Impact Description]]&gt;0,Table4[[#This Row],[Impact Description]],"")</f>
        <v xml:space="preserve">1) Malicious utilization of  computer resources 
2) computing power  
3) denial of service attacks, 
4) ransomware attack 
5) Bitcoin mining, etc </v>
      </c>
      <c r="I36" s="159" t="str">
        <f>IF(Table4[[#This Row],[Safety Impact 
(Risk ID'# or N/A)]]&gt;0,Table4[[#This Row],[Safety Impact 
(Risk ID'# or N/A)]],"")</f>
        <v/>
      </c>
      <c r="J36" s="103" t="str">
        <f>Table4[[#This Row],[Security 
Risk 
Level]]</f>
        <v>LOW</v>
      </c>
      <c r="K36"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105" t="str">
        <f>Table4[[#This Row],[Security Risk LevelP]]</f>
        <v/>
      </c>
      <c r="M36" s="159" t="str">
        <f>IF(Table4[[#This Row],[Residual Security Risk Acceptability Justification]]&gt;0,Table4[[#This Row],[Residual Security Risk Acceptability Justification]],"")</f>
        <v/>
      </c>
    </row>
    <row r="37" spans="1:13" s="30" customFormat="1" ht="84">
      <c r="A37" s="158">
        <f>Table4[[#This Row],[
ID '#]]</f>
        <v>33</v>
      </c>
      <c r="B37" s="157" t="str">
        <f>IF(Table4[[#This Row],[T ID]]&gt;0,Table4[[#This Row],[T ID]],"")</f>
        <v>T02</v>
      </c>
      <c r="C37" s="100" t="str">
        <f>Table4[[#This Row],[Threat Event(s)]]</f>
        <v>Deliver directed malware
(CAPEC-185)</v>
      </c>
      <c r="D37" s="159" t="str">
        <f>IF(Table4[[#This Row],[V ID]]&gt;0,Table4[[#This Row],[V ID]],"")</f>
        <v>V21</v>
      </c>
      <c r="E37" s="100" t="str">
        <f>Table4[[#This Row],[Vulnerabilities]]</f>
        <v>InSecure Configuration for Software/OS on Mobile Devices, Laptops, Workstations, and Servers</v>
      </c>
      <c r="F37" s="160" t="str">
        <f>IF(Table4[[#This Row],[A ID]]&gt;0,Table4[[#This Row],[A ID]],"")</f>
        <v>A11</v>
      </c>
      <c r="G37" s="100" t="str">
        <f>Table4[[#This Row],[Asset]]</f>
        <v>Smart medic app (Stryker Admin Web Application)</v>
      </c>
      <c r="H37" s="161" t="str">
        <f>IF(Table4[[#This Row],[Impact Description]]&gt;0,Table4[[#This Row],[Impact Description]],"")</f>
        <v xml:space="preserve">1) Malicious utilization of  computer resources 
2) computing power  
3) denial of service attacks, 
4) ransomware attack 
5) Bitcoin mining, etc </v>
      </c>
      <c r="I37" s="159" t="str">
        <f>IF(Table4[[#This Row],[Safety Impact 
(Risk ID'# or N/A)]]&gt;0,Table4[[#This Row],[Safety Impact 
(Risk ID'# or N/A)]],"")</f>
        <v/>
      </c>
      <c r="J37" s="103" t="str">
        <f>Table4[[#This Row],[Security 
Risk 
Level]]</f>
        <v>LOW</v>
      </c>
      <c r="K37" s="15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105" t="str">
        <f>Table4[[#This Row],[Security Risk LevelP]]</f>
        <v/>
      </c>
      <c r="M37" s="159" t="str">
        <f>IF(Table4[[#This Row],[Residual Security Risk Acceptability Justification]]&gt;0,Table4[[#This Row],[Residual Security Risk Acceptability Justification]],"")</f>
        <v/>
      </c>
    </row>
    <row r="38" spans="1:13" s="30" customFormat="1" ht="84">
      <c r="A38" s="158">
        <f>Table4[[#This Row],[
ID '#]]</f>
        <v>34</v>
      </c>
      <c r="B38" s="157" t="str">
        <f>IF(Table4[[#This Row],[T ID]]&gt;0,Table4[[#This Row],[T ID]],"")</f>
        <v>T02</v>
      </c>
      <c r="C38" s="100" t="str">
        <f>Table4[[#This Row],[Threat Event(s)]]</f>
        <v>Deliver directed malware
(CAPEC-185)</v>
      </c>
      <c r="D38" s="159" t="str">
        <f>IF(Table4[[#This Row],[V ID]]&gt;0,Table4[[#This Row],[V ID]],"")</f>
        <v>V21</v>
      </c>
      <c r="E38" s="100" t="str">
        <f>Table4[[#This Row],[Vulnerabilities]]</f>
        <v>InSecure Configuration for Software/OS on Mobile Devices, Laptops, Workstations, and Servers</v>
      </c>
      <c r="F38" s="160" t="str">
        <f>IF(Table4[[#This Row],[A ID]]&gt;0,Table4[[#This Row],[A ID]],"")</f>
        <v>A01</v>
      </c>
      <c r="G38" s="100" t="str">
        <f>Table4[[#This Row],[Asset]]</f>
        <v>Tablet Resources - web cam, microphone, OTG devices, Removable USB, Tablet Application, Network interfaces (Bluetooth, Wifi)</v>
      </c>
      <c r="H38" s="161" t="str">
        <f>IF(Table4[[#This Row],[Impact Description]]&gt;0,Table4[[#This Row],[Impact Description]],"")</f>
        <v xml:space="preserve">1) Malicious utilization of  computer resources 
2) computing power  
3) denial of service attacks, 
4) ransomware attack 
5) Bitcoin mining, etc </v>
      </c>
      <c r="I38" s="159" t="str">
        <f>IF(Table4[[#This Row],[Safety Impact 
(Risk ID'# or N/A)]]&gt;0,Table4[[#This Row],[Safety Impact 
(Risk ID'# or N/A)]],"")</f>
        <v/>
      </c>
      <c r="J38" s="103" t="str">
        <f>Table4[[#This Row],[Security 
Risk 
Level]]</f>
        <v>LOW</v>
      </c>
      <c r="K38"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105" t="str">
        <f>Table4[[#This Row],[Security Risk LevelP]]</f>
        <v/>
      </c>
      <c r="M38" s="159" t="str">
        <f>IF(Table4[[#This Row],[Residual Security Risk Acceptability Justification]]&gt;0,Table4[[#This Row],[Residual Security Risk Acceptability Justification]],"")</f>
        <v/>
      </c>
    </row>
    <row r="39" spans="1:13" s="30" customFormat="1" ht="84">
      <c r="A39" s="158">
        <f>Table4[[#This Row],[
ID '#]]</f>
        <v>35</v>
      </c>
      <c r="B39" s="157" t="str">
        <f>IF(Table4[[#This Row],[T ID]]&gt;0,Table4[[#This Row],[T ID]],"")</f>
        <v>T02</v>
      </c>
      <c r="C39" s="100" t="str">
        <f>Table4[[#This Row],[Threat Event(s)]]</f>
        <v>Deliver directed malware
(CAPEC-185)</v>
      </c>
      <c r="D39" s="159" t="str">
        <f>IF(Table4[[#This Row],[V ID]]&gt;0,Table4[[#This Row],[V ID]],"")</f>
        <v>V16</v>
      </c>
      <c r="E39" s="100" t="str">
        <f>Table4[[#This Row],[Vulnerabilities]]</f>
        <v>Unencrypted data at rest in all possible locations</v>
      </c>
      <c r="F39" s="160" t="str">
        <f>IF(Table4[[#This Row],[A ID]]&gt;0,Table4[[#This Row],[A ID]],"")</f>
        <v>A01</v>
      </c>
      <c r="G39" s="100" t="str">
        <f>Table4[[#This Row],[Asset]]</f>
        <v>Tablet Resources - web cam, microphone, OTG devices, Removable USB, Tablet Application, Network interfaces (Bluetooth, Wifi)</v>
      </c>
      <c r="H39" s="161" t="str">
        <f>IF(Table4[[#This Row],[Impact Description]]&gt;0,Table4[[#This Row],[Impact Description]],"")</f>
        <v xml:space="preserve">1) Malicious utilization of  computer resources 
2) computing power  
3) denial of service attacks, 
4) ransomware attack 
5) Bitcoin mining, etc </v>
      </c>
      <c r="I39" s="159" t="str">
        <f>IF(Table4[[#This Row],[Safety Impact 
(Risk ID'# or N/A)]]&gt;0,Table4[[#This Row],[Safety Impact 
(Risk ID'# or N/A)]],"")</f>
        <v/>
      </c>
      <c r="J39" s="103" t="str">
        <f>Table4[[#This Row],[Security 
Risk 
Level]]</f>
        <v>LOW</v>
      </c>
      <c r="K39"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105" t="str">
        <f>Table4[[#This Row],[Security Risk LevelP]]</f>
        <v/>
      </c>
      <c r="M39" s="159" t="str">
        <f>IF(Table4[[#This Row],[Residual Security Risk Acceptability Justification]]&gt;0,Table4[[#This Row],[Residual Security Risk Acceptability Justification]],"")</f>
        <v/>
      </c>
    </row>
    <row r="40" spans="1:13" s="30" customFormat="1" ht="84">
      <c r="A40" s="158">
        <f>Table4[[#This Row],[
ID '#]]</f>
        <v>36</v>
      </c>
      <c r="B40" s="157" t="str">
        <f>IF(Table4[[#This Row],[T ID]]&gt;0,Table4[[#This Row],[T ID]],"")</f>
        <v>T02</v>
      </c>
      <c r="C40" s="100" t="str">
        <f>Table4[[#This Row],[Threat Event(s)]]</f>
        <v>Deliver directed malware
(CAPEC-185)</v>
      </c>
      <c r="D40" s="159" t="str">
        <f>IF(Table4[[#This Row],[V ID]]&gt;0,Table4[[#This Row],[V ID]],"")</f>
        <v>V16</v>
      </c>
      <c r="E40" s="100" t="str">
        <f>Table4[[#This Row],[Vulnerabilities]]</f>
        <v>Unencrypted data at rest in all possible locations</v>
      </c>
      <c r="F40" s="160" t="str">
        <f>IF(Table4[[#This Row],[A ID]]&gt;0,Table4[[#This Row],[A ID]],"")</f>
        <v>A02</v>
      </c>
      <c r="G40" s="100" t="str">
        <f>Table4[[#This Row],[Asset]]</f>
        <v>Tablet OS/network details &amp; Tablet Application</v>
      </c>
      <c r="H40" s="161" t="str">
        <f>IF(Table4[[#This Row],[Impact Description]]&gt;0,Table4[[#This Row],[Impact Description]],"")</f>
        <v xml:space="preserve">1) Malicious utilization of  computer resources 
2) computing power  
3) denial of service attacks, 
4) ransomware attack 
5) Bitcoin mining, etc </v>
      </c>
      <c r="I40" s="159" t="str">
        <f>IF(Table4[[#This Row],[Safety Impact 
(Risk ID'# or N/A)]]&gt;0,Table4[[#This Row],[Safety Impact 
(Risk ID'# or N/A)]],"")</f>
        <v/>
      </c>
      <c r="J40" s="103" t="str">
        <f>Table4[[#This Row],[Security 
Risk 
Level]]</f>
        <v>LOW</v>
      </c>
      <c r="K40"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105" t="str">
        <f>Table4[[#This Row],[Security Risk LevelP]]</f>
        <v/>
      </c>
      <c r="M40" s="159" t="str">
        <f>IF(Table4[[#This Row],[Residual Security Risk Acceptability Justification]]&gt;0,Table4[[#This Row],[Residual Security Risk Acceptability Justification]],"")</f>
        <v/>
      </c>
    </row>
    <row r="41" spans="1:13" s="30" customFormat="1" ht="84">
      <c r="A41" s="158">
        <f>Table4[[#This Row],[
ID '#]]</f>
        <v>37</v>
      </c>
      <c r="B41" s="157" t="str">
        <f>IF(Table4[[#This Row],[T ID]]&gt;0,Table4[[#This Row],[T ID]],"")</f>
        <v>T02</v>
      </c>
      <c r="C41" s="100" t="str">
        <f>Table4[[#This Row],[Threat Event(s)]]</f>
        <v>Deliver directed malware
(CAPEC-185)</v>
      </c>
      <c r="D41" s="159" t="str">
        <f>IF(Table4[[#This Row],[V ID]]&gt;0,Table4[[#This Row],[V ID]],"")</f>
        <v>V16</v>
      </c>
      <c r="E41" s="100" t="str">
        <f>Table4[[#This Row],[Vulnerabilities]]</f>
        <v>Unencrypted data at rest in all possible locations</v>
      </c>
      <c r="F41" s="160" t="str">
        <f>IF(Table4[[#This Row],[A ID]]&gt;0,Table4[[#This Row],[A ID]],"")</f>
        <v>A11</v>
      </c>
      <c r="G41" s="100" t="str">
        <f>Table4[[#This Row],[Asset]]</f>
        <v>Smart medic app (Stryker Admin Web Application)</v>
      </c>
      <c r="H41" s="161" t="str">
        <f>IF(Table4[[#This Row],[Impact Description]]&gt;0,Table4[[#This Row],[Impact Description]],"")</f>
        <v xml:space="preserve">1) Malicious utilization of  computer resources 
2) computing power  
3) denial of service attacks, 
4) ransomware attack 
5) Bitcoin mining, etc </v>
      </c>
      <c r="I41" s="159" t="str">
        <f>IF(Table4[[#This Row],[Safety Impact 
(Risk ID'# or N/A)]]&gt;0,Table4[[#This Row],[Safety Impact 
(Risk ID'# or N/A)]],"")</f>
        <v/>
      </c>
      <c r="J41" s="103" t="str">
        <f>Table4[[#This Row],[Security 
Risk 
Level]]</f>
        <v>LOW</v>
      </c>
      <c r="K41" s="15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105" t="str">
        <f>Table4[[#This Row],[Security Risk LevelP]]</f>
        <v/>
      </c>
      <c r="M41" s="159" t="str">
        <f>IF(Table4[[#This Row],[Residual Security Risk Acceptability Justification]]&gt;0,Table4[[#This Row],[Residual Security Risk Acceptability Justification]],"")</f>
        <v/>
      </c>
    </row>
    <row r="42" spans="1:13" s="30" customFormat="1" ht="70">
      <c r="A42" s="158">
        <f>Table4[[#This Row],[
ID '#]]</f>
        <v>38</v>
      </c>
      <c r="B42" s="157" t="str">
        <f>IF(Table4[[#This Row],[T ID]]&gt;0,Table4[[#This Row],[T ID]],"")</f>
        <v>T03</v>
      </c>
      <c r="C42" s="100" t="str">
        <f>Table4[[#This Row],[Threat Event(s)]]</f>
        <v>Gaining Access
([S]TRID[E])</v>
      </c>
      <c r="D42" s="159" t="str">
        <f>IF(Table4[[#This Row],[V ID]]&gt;0,Table4[[#This Row],[V ID]],"")</f>
        <v>V12</v>
      </c>
      <c r="E42" s="100" t="str">
        <f>Table4[[#This Row],[Vulnerabilities]]</f>
        <v>Unprotected network port(s) on network devices and connection points</v>
      </c>
      <c r="F42" s="160" t="str">
        <f>IF(Table4[[#This Row],[A ID]]&gt;0,Table4[[#This Row],[A ID]],"")</f>
        <v>A02</v>
      </c>
      <c r="G42" s="100" t="str">
        <f>Table4[[#This Row],[Asset]]</f>
        <v>Tablet OS/network details &amp; Tablet Application</v>
      </c>
      <c r="H42" s="161" t="str">
        <f>IF(Table4[[#This Row],[Impact Description]]&gt;0,Table4[[#This Row],[Impact Description]],"")</f>
        <v>1)  Obtain knowledge about system internals
2)  Attempt to find attack vectors 
3)  Possibilities for exploitation of publicly known Vulnerabilities.</v>
      </c>
      <c r="I42" s="159" t="str">
        <f>IF(Table4[[#This Row],[Safety Impact 
(Risk ID'# or N/A)]]&gt;0,Table4[[#This Row],[Safety Impact 
(Risk ID'# or N/A)]],"")</f>
        <v/>
      </c>
      <c r="J42" s="103" t="str">
        <f>Table4[[#This Row],[Security 
Risk 
Level]]</f>
        <v>LOW</v>
      </c>
      <c r="K42"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105" t="str">
        <f>Table4[[#This Row],[Security Risk LevelP]]</f>
        <v/>
      </c>
      <c r="M42" s="159" t="str">
        <f>IF(Table4[[#This Row],[Residual Security Risk Acceptability Justification]]&gt;0,Table4[[#This Row],[Residual Security Risk Acceptability Justification]],"")</f>
        <v/>
      </c>
    </row>
    <row r="43" spans="1:13" s="30" customFormat="1" ht="70">
      <c r="A43" s="158">
        <f>Table4[[#This Row],[
ID '#]]</f>
        <v>39</v>
      </c>
      <c r="B43" s="157" t="str">
        <f>IF(Table4[[#This Row],[T ID]]&gt;0,Table4[[#This Row],[T ID]],"")</f>
        <v>T03</v>
      </c>
      <c r="C43" s="100" t="str">
        <f>Table4[[#This Row],[Threat Event(s)]]</f>
        <v>Gaining Access
([S]TRID[E])</v>
      </c>
      <c r="D43" s="159" t="str">
        <f>IF(Table4[[#This Row],[V ID]]&gt;0,Table4[[#This Row],[V ID]],"")</f>
        <v>V12</v>
      </c>
      <c r="E43" s="100" t="str">
        <f>Table4[[#This Row],[Vulnerabilities]]</f>
        <v>Unprotected network port(s) on network devices and connection points</v>
      </c>
      <c r="F43" s="160" t="str">
        <f>IF(Table4[[#This Row],[A ID]]&gt;0,Table4[[#This Row],[A ID]],"")</f>
        <v>A11</v>
      </c>
      <c r="G43" s="100" t="str">
        <f>Table4[[#This Row],[Asset]]</f>
        <v>Smart medic app (Stryker Admin Web Application)</v>
      </c>
      <c r="H43" s="161" t="str">
        <f>IF(Table4[[#This Row],[Impact Description]]&gt;0,Table4[[#This Row],[Impact Description]],"")</f>
        <v>1)  Obtain knowledge about system internals
2)  Attempt to find attack vectors 
3)  Possibilities for exploitation of publicly known Vulnerabilities.</v>
      </c>
      <c r="I43" s="159" t="str">
        <f>IF(Table4[[#This Row],[Safety Impact 
(Risk ID'# or N/A)]]&gt;0,Table4[[#This Row],[Safety Impact 
(Risk ID'# or N/A)]],"")</f>
        <v/>
      </c>
      <c r="J43" s="103" t="str">
        <f>Table4[[#This Row],[Security 
Risk 
Level]]</f>
        <v>MEDIUM</v>
      </c>
      <c r="K43" s="15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105" t="str">
        <f>Table4[[#This Row],[Security Risk LevelP]]</f>
        <v/>
      </c>
      <c r="M43" s="159" t="str">
        <f>IF(Table4[[#This Row],[Residual Security Risk Acceptability Justification]]&gt;0,Table4[[#This Row],[Residual Security Risk Acceptability Justification]],"")</f>
        <v/>
      </c>
    </row>
    <row r="44" spans="1:13" s="30" customFormat="1" ht="70">
      <c r="A44" s="158">
        <f>Table4[[#This Row],[
ID '#]]</f>
        <v>40</v>
      </c>
      <c r="B44" s="157" t="str">
        <f>IF(Table4[[#This Row],[T ID]]&gt;0,Table4[[#This Row],[T ID]],"")</f>
        <v>T03</v>
      </c>
      <c r="C44" s="100" t="str">
        <f>Table4[[#This Row],[Threat Event(s)]]</f>
        <v>Gaining Access
([S]TRID[E])</v>
      </c>
      <c r="D44" s="159" t="str">
        <f>IF(Table4[[#This Row],[V ID]]&gt;0,Table4[[#This Row],[V ID]],"")</f>
        <v>V12</v>
      </c>
      <c r="E44" s="100" t="str">
        <f>Table4[[#This Row],[Vulnerabilities]]</f>
        <v>Unprotected network port(s) on network devices and connection points</v>
      </c>
      <c r="F44" s="160" t="str">
        <f>IF(Table4[[#This Row],[A ID]]&gt;0,Table4[[#This Row],[A ID]],"")</f>
        <v>A01</v>
      </c>
      <c r="G44" s="100" t="str">
        <f>Table4[[#This Row],[Asset]]</f>
        <v>Tablet Resources - web cam, microphone, OTG devices, Removable USB, Tablet Application, Network interfaces (Bluetooth, Wifi)</v>
      </c>
      <c r="H44" s="161" t="str">
        <f>IF(Table4[[#This Row],[Impact Description]]&gt;0,Table4[[#This Row],[Impact Description]],"")</f>
        <v>1)  Obtain knowledge about system internals
2)  Attempt to find attack vectors 
3)  Possibilities for exploitation of publicly known Vulnerabilities.</v>
      </c>
      <c r="I44" s="159" t="str">
        <f>IF(Table4[[#This Row],[Safety Impact 
(Risk ID'# or N/A)]]&gt;0,Table4[[#This Row],[Safety Impact 
(Risk ID'# or N/A)]],"")</f>
        <v/>
      </c>
      <c r="J44" s="103" t="str">
        <f>Table4[[#This Row],[Security 
Risk 
Level]]</f>
        <v>LOW</v>
      </c>
      <c r="K44"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105" t="str">
        <f>Table4[[#This Row],[Security Risk LevelP]]</f>
        <v/>
      </c>
      <c r="M44" s="159" t="str">
        <f>IF(Table4[[#This Row],[Residual Security Risk Acceptability Justification]]&gt;0,Table4[[#This Row],[Residual Security Risk Acceptability Justification]],"")</f>
        <v/>
      </c>
    </row>
    <row r="45" spans="1:13" s="30" customFormat="1" ht="70">
      <c r="A45" s="158">
        <f>Table4[[#This Row],[
ID '#]]</f>
        <v>41</v>
      </c>
      <c r="B45" s="157" t="str">
        <f>IF(Table4[[#This Row],[T ID]]&gt;0,Table4[[#This Row],[T ID]],"")</f>
        <v>T03</v>
      </c>
      <c r="C45" s="100" t="str">
        <f>Table4[[#This Row],[Threat Event(s)]]</f>
        <v>Gaining Access
([S]TRID[E])</v>
      </c>
      <c r="D45" s="159" t="str">
        <f>IF(Table4[[#This Row],[V ID]]&gt;0,Table4[[#This Row],[V ID]],"")</f>
        <v>V01</v>
      </c>
      <c r="E45" s="100" t="str">
        <f>Table4[[#This Row],[Vulnerabilities]]</f>
        <v>Devices with default passwords needs to be checked for bruteforce attacks</v>
      </c>
      <c r="F45" s="160" t="str">
        <f>IF(Table4[[#This Row],[A ID]]&gt;0,Table4[[#This Row],[A ID]],"")</f>
        <v>A04</v>
      </c>
      <c r="G45" s="100" t="str">
        <f>Table4[[#This Row],[Asset]]</f>
        <v>Authentication/Authorisation method of all device(s)/app</v>
      </c>
      <c r="H45" s="161" t="str">
        <f>IF(Table4[[#This Row],[Impact Description]]&gt;0,Table4[[#This Row],[Impact Description]],"")</f>
        <v>1)  Obtain knowledge about system internals
2)  Attempt to find attack vectors 
3)  Possibilities for exploitation of publicly known Vulnerabilities.</v>
      </c>
      <c r="I45" s="159" t="str">
        <f>IF(Table4[[#This Row],[Safety Impact 
(Risk ID'# or N/A)]]&gt;0,Table4[[#This Row],[Safety Impact 
(Risk ID'# or N/A)]],"")</f>
        <v/>
      </c>
      <c r="J45" s="103" t="str">
        <f>Table4[[#This Row],[Security 
Risk 
Level]]</f>
        <v>MEDIUM</v>
      </c>
      <c r="K45" s="15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105" t="str">
        <f>Table4[[#This Row],[Security Risk LevelP]]</f>
        <v/>
      </c>
      <c r="M45" s="159" t="str">
        <f>IF(Table4[[#This Row],[Residual Security Risk Acceptability Justification]]&gt;0,Table4[[#This Row],[Residual Security Risk Acceptability Justification]],"")</f>
        <v/>
      </c>
    </row>
    <row r="46" spans="1:13" s="30" customFormat="1" ht="70">
      <c r="A46" s="158">
        <f>Table4[[#This Row],[
ID '#]]</f>
        <v>42</v>
      </c>
      <c r="B46" s="157" t="str">
        <f>IF(Table4[[#This Row],[T ID]]&gt;0,Table4[[#This Row],[T ID]],"")</f>
        <v>T03</v>
      </c>
      <c r="C46" s="100" t="str">
        <f>Table4[[#This Row],[Threat Event(s)]]</f>
        <v>Gaining Access
([S]TRID[E])</v>
      </c>
      <c r="D46" s="159" t="str">
        <f>IF(Table4[[#This Row],[V ID]]&gt;0,Table4[[#This Row],[V ID]],"")</f>
        <v>V01</v>
      </c>
      <c r="E46" s="100" t="str">
        <f>Table4[[#This Row],[Vulnerabilities]]</f>
        <v>Devices with default passwords needs to be checked for bruteforce attacks</v>
      </c>
      <c r="F46" s="160" t="str">
        <f>IF(Table4[[#This Row],[A ID]]&gt;0,Table4[[#This Row],[A ID]],"")</f>
        <v>A07</v>
      </c>
      <c r="G46" s="100" t="str">
        <f>Table4[[#This Row],[Asset]]</f>
        <v>Interface/API Communication</v>
      </c>
      <c r="H46" s="161" t="str">
        <f>IF(Table4[[#This Row],[Impact Description]]&gt;0,Table4[[#This Row],[Impact Description]],"")</f>
        <v>1)  Obtain knowledge about system internals
2)  Attempt to find attack vectors 
3)  Possibilities for exploitation of publicly known Vulnerabilities.</v>
      </c>
      <c r="I46" s="159" t="str">
        <f>IF(Table4[[#This Row],[Safety Impact 
(Risk ID'# or N/A)]]&gt;0,Table4[[#This Row],[Safety Impact 
(Risk ID'# or N/A)]],"")</f>
        <v/>
      </c>
      <c r="J46" s="103" t="str">
        <f>Table4[[#This Row],[Security 
Risk 
Level]]</f>
        <v>LOW</v>
      </c>
      <c r="K46" s="15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105" t="str">
        <f>Table4[[#This Row],[Security Risk LevelP]]</f>
        <v/>
      </c>
      <c r="M46" s="159" t="str">
        <f>IF(Table4[[#This Row],[Residual Security Risk Acceptability Justification]]&gt;0,Table4[[#This Row],[Residual Security Risk Acceptability Justification]],"")</f>
        <v/>
      </c>
    </row>
    <row r="47" spans="1:13" s="30" customFormat="1" ht="70">
      <c r="A47" s="158">
        <f>Table4[[#This Row],[
ID '#]]</f>
        <v>43</v>
      </c>
      <c r="B47" s="157" t="str">
        <f>IF(Table4[[#This Row],[T ID]]&gt;0,Table4[[#This Row],[T ID]],"")</f>
        <v>T03</v>
      </c>
      <c r="C47" s="100" t="str">
        <f>Table4[[#This Row],[Threat Event(s)]]</f>
        <v>Gaining Access
([S]TRID[E])</v>
      </c>
      <c r="D47" s="159" t="str">
        <f>IF(Table4[[#This Row],[V ID]]&gt;0,Table4[[#This Row],[V ID]],"")</f>
        <v>V03</v>
      </c>
      <c r="E47" s="100" t="str">
        <f>Table4[[#This Row],[Vulnerabilities]]</f>
        <v>The password complexity or location vulnerability. Like weak passwords and hardcoded passwords.</v>
      </c>
      <c r="F47" s="160" t="str">
        <f>IF(Table4[[#This Row],[A ID]]&gt;0,Table4[[#This Row],[A ID]],"")</f>
        <v>A04</v>
      </c>
      <c r="G47" s="100" t="str">
        <f>Table4[[#This Row],[Asset]]</f>
        <v>Authentication/Authorisation method of all device(s)/app</v>
      </c>
      <c r="H47" s="161" t="str">
        <f>IF(Table4[[#This Row],[Impact Description]]&gt;0,Table4[[#This Row],[Impact Description]],"")</f>
        <v>1)  Obtain knowledge about system internals
2)  Attempt to find attack vectors 
3)  Possibilities for exploitation of publicly known Vulnerabilities.</v>
      </c>
      <c r="I47" s="159" t="str">
        <f>IF(Table4[[#This Row],[Safety Impact 
(Risk ID'# or N/A)]]&gt;0,Table4[[#This Row],[Safety Impact 
(Risk ID'# or N/A)]],"")</f>
        <v/>
      </c>
      <c r="J47" s="103" t="str">
        <f>Table4[[#This Row],[Security 
Risk 
Level]]</f>
        <v>MEDIUM</v>
      </c>
      <c r="K47" s="15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105" t="str">
        <f>Table4[[#This Row],[Security Risk LevelP]]</f>
        <v/>
      </c>
      <c r="M47" s="159" t="str">
        <f>IF(Table4[[#This Row],[Residual Security Risk Acceptability Justification]]&gt;0,Table4[[#This Row],[Residual Security Risk Acceptability Justification]],"")</f>
        <v/>
      </c>
    </row>
    <row r="48" spans="1:13" s="30" customFormat="1" ht="70">
      <c r="A48" s="158">
        <f>Table4[[#This Row],[
ID '#]]</f>
        <v>44</v>
      </c>
      <c r="B48" s="157" t="str">
        <f>IF(Table4[[#This Row],[T ID]]&gt;0,Table4[[#This Row],[T ID]],"")</f>
        <v>T03</v>
      </c>
      <c r="C48" s="100" t="str">
        <f>Table4[[#This Row],[Threat Event(s)]]</f>
        <v>Gaining Access
([S]TRID[E])</v>
      </c>
      <c r="D48" s="159" t="str">
        <f>IF(Table4[[#This Row],[V ID]]&gt;0,Table4[[#This Row],[V ID]],"")</f>
        <v>V04</v>
      </c>
      <c r="E48" s="100" t="str">
        <f>Table4[[#This Row],[Vulnerabilities]]</f>
        <v>Checking authentication modes for possible hacks and bypasses</v>
      </c>
      <c r="F48" s="160" t="str">
        <f>IF(Table4[[#This Row],[A ID]]&gt;0,Table4[[#This Row],[A ID]],"")</f>
        <v>A04</v>
      </c>
      <c r="G48" s="100" t="str">
        <f>Table4[[#This Row],[Asset]]</f>
        <v>Authentication/Authorisation method of all device(s)/app</v>
      </c>
      <c r="H48" s="161" t="str">
        <f>IF(Table4[[#This Row],[Impact Description]]&gt;0,Table4[[#This Row],[Impact Description]],"")</f>
        <v>1)  Obtain knowledge about system internals
2)  Attempt to find attack vectors 
3)  Possibilities for exploitation of publicly known Vulnerabilities.</v>
      </c>
      <c r="I48" s="159" t="str">
        <f>IF(Table4[[#This Row],[Safety Impact 
(Risk ID'# or N/A)]]&gt;0,Table4[[#This Row],[Safety Impact 
(Risk ID'# or N/A)]],"")</f>
        <v/>
      </c>
      <c r="J48" s="103" t="str">
        <f>Table4[[#This Row],[Security 
Risk 
Level]]</f>
        <v>LOW</v>
      </c>
      <c r="K48" s="15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105" t="str">
        <f>Table4[[#This Row],[Security Risk LevelP]]</f>
        <v/>
      </c>
      <c r="M48" s="159" t="str">
        <f>IF(Table4[[#This Row],[Residual Security Risk Acceptability Justification]]&gt;0,Table4[[#This Row],[Residual Security Risk Acceptability Justification]],"")</f>
        <v/>
      </c>
    </row>
    <row r="49" spans="1:13" s="30" customFormat="1" ht="70">
      <c r="A49" s="158">
        <f>Table4[[#This Row],[
ID '#]]</f>
        <v>45</v>
      </c>
      <c r="B49" s="157" t="str">
        <f>IF(Table4[[#This Row],[T ID]]&gt;0,Table4[[#This Row],[T ID]],"")</f>
        <v>T03</v>
      </c>
      <c r="C49" s="100" t="str">
        <f>Table4[[#This Row],[Threat Event(s)]]</f>
        <v>Gaining Access
([S]TRID[E])</v>
      </c>
      <c r="D49" s="159" t="str">
        <f>IF(Table4[[#This Row],[V ID]]&gt;0,Table4[[#This Row],[V ID]],"")</f>
        <v>V04</v>
      </c>
      <c r="E49" s="100" t="str">
        <f>Table4[[#This Row],[Vulnerabilities]]</f>
        <v>Checking authentication modes for possible hacks and bypasses</v>
      </c>
      <c r="F49" s="160" t="str">
        <f>IF(Table4[[#This Row],[A ID]]&gt;0,Table4[[#This Row],[A ID]],"")</f>
        <v>A11</v>
      </c>
      <c r="G49" s="100" t="str">
        <f>Table4[[#This Row],[Asset]]</f>
        <v>Smart medic app (Stryker Admin Web Application)</v>
      </c>
      <c r="H49" s="161" t="str">
        <f>IF(Table4[[#This Row],[Impact Description]]&gt;0,Table4[[#This Row],[Impact Description]],"")</f>
        <v>1)  Obtain knowledge about system internals
2)  Attempt to find attack vectors 
3)  Possibilities for exploitation of publicly known Vulnerabilities.</v>
      </c>
      <c r="I49" s="159" t="str">
        <f>IF(Table4[[#This Row],[Safety Impact 
(Risk ID'# or N/A)]]&gt;0,Table4[[#This Row],[Safety Impact 
(Risk ID'# or N/A)]],"")</f>
        <v/>
      </c>
      <c r="J49" s="103" t="str">
        <f>Table4[[#This Row],[Security 
Risk 
Level]]</f>
        <v>LOW</v>
      </c>
      <c r="K49" s="15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105" t="str">
        <f>Table4[[#This Row],[Security Risk LevelP]]</f>
        <v/>
      </c>
      <c r="M49" s="159" t="str">
        <f>IF(Table4[[#This Row],[Residual Security Risk Acceptability Justification]]&gt;0,Table4[[#This Row],[Residual Security Risk Acceptability Justification]],"")</f>
        <v/>
      </c>
    </row>
    <row r="50" spans="1:13" s="30" customFormat="1" ht="70">
      <c r="A50" s="158">
        <f>Table4[[#This Row],[
ID '#]]</f>
        <v>46</v>
      </c>
      <c r="B50" s="157" t="str">
        <f>IF(Table4[[#This Row],[T ID]]&gt;0,Table4[[#This Row],[T ID]],"")</f>
        <v>T03</v>
      </c>
      <c r="C50" s="100" t="str">
        <f>Table4[[#This Row],[Threat Event(s)]]</f>
        <v>Gaining Access
([S]TRID[E])</v>
      </c>
      <c r="D50" s="159" t="str">
        <f>IF(Table4[[#This Row],[V ID]]&gt;0,Table4[[#This Row],[V ID]],"")</f>
        <v>V04</v>
      </c>
      <c r="E50" s="100" t="str">
        <f>Table4[[#This Row],[Vulnerabilities]]</f>
        <v>Checking authentication modes for possible hacks and bypasses</v>
      </c>
      <c r="F50" s="160" t="str">
        <f>IF(Table4[[#This Row],[A ID]]&gt;0,Table4[[#This Row],[A ID]],"")</f>
        <v>A12</v>
      </c>
      <c r="G50" s="100" t="str">
        <f>Table4[[#This Row],[Asset]]</f>
        <v>Smart medic app (Azure Portal Administrator)</v>
      </c>
      <c r="H50" s="161" t="str">
        <f>IF(Table4[[#This Row],[Impact Description]]&gt;0,Table4[[#This Row],[Impact Description]],"")</f>
        <v>1)  Obtain knowledge about system internals
2)  Attempt to find attack vectors 
3)  Possibilities for exploitation of publicly known Vulnerabilities.</v>
      </c>
      <c r="I50" s="159" t="str">
        <f>IF(Table4[[#This Row],[Safety Impact 
(Risk ID'# or N/A)]]&gt;0,Table4[[#This Row],[Safety Impact 
(Risk ID'# or N/A)]],"")</f>
        <v/>
      </c>
      <c r="J50" s="103" t="str">
        <f>Table4[[#This Row],[Security 
Risk 
Level]]</f>
        <v>LOW</v>
      </c>
      <c r="K50" s="15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105" t="str">
        <f>Table4[[#This Row],[Security Risk LevelP]]</f>
        <v/>
      </c>
      <c r="M50" s="159" t="str">
        <f>IF(Table4[[#This Row],[Residual Security Risk Acceptability Justification]]&gt;0,Table4[[#This Row],[Residual Security Risk Acceptability Justification]],"")</f>
        <v/>
      </c>
    </row>
    <row r="51" spans="1:13" s="30" customFormat="1" ht="70">
      <c r="A51" s="158">
        <f>Table4[[#This Row],[
ID '#]]</f>
        <v>47</v>
      </c>
      <c r="B51" s="157" t="str">
        <f>IF(Table4[[#This Row],[T ID]]&gt;0,Table4[[#This Row],[T ID]],"")</f>
        <v>T03</v>
      </c>
      <c r="C51" s="100" t="str">
        <f>Table4[[#This Row],[Threat Event(s)]]</f>
        <v>Gaining Access
([S]TRID[E])</v>
      </c>
      <c r="D51" s="159" t="str">
        <f>IF(Table4[[#This Row],[V ID]]&gt;0,Table4[[#This Row],[V ID]],"")</f>
        <v>V13</v>
      </c>
      <c r="E51" s="100" t="str">
        <f>Table4[[#This Row],[Vulnerabilities]]</f>
        <v>Unprotected external USB Port on the tablet/devices.</v>
      </c>
      <c r="F51" s="160" t="str">
        <f>IF(Table4[[#This Row],[A ID]]&gt;0,Table4[[#This Row],[A ID]],"")</f>
        <v>A01</v>
      </c>
      <c r="G51" s="100" t="str">
        <f>Table4[[#This Row],[Asset]]</f>
        <v>Tablet Resources - web cam, microphone, OTG devices, Removable USB, Tablet Application, Network interfaces (Bluetooth, Wifi)</v>
      </c>
      <c r="H51" s="161" t="str">
        <f>IF(Table4[[#This Row],[Impact Description]]&gt;0,Table4[[#This Row],[Impact Description]],"")</f>
        <v>1)  Obtain knowledge about system internals
2)  Attempt to find attack vectors 
3)  Possibilities for exploitation of publicly known Vulnerabilities.</v>
      </c>
      <c r="I51" s="159" t="str">
        <f>IF(Table4[[#This Row],[Safety Impact 
(Risk ID'# or N/A)]]&gt;0,Table4[[#This Row],[Safety Impact 
(Risk ID'# or N/A)]],"")</f>
        <v/>
      </c>
      <c r="J51" s="103" t="str">
        <f>Table4[[#This Row],[Security 
Risk 
Level]]</f>
        <v>LOW</v>
      </c>
      <c r="K51"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105" t="str">
        <f>Table4[[#This Row],[Security Risk LevelP]]</f>
        <v/>
      </c>
      <c r="M51" s="159" t="str">
        <f>IF(Table4[[#This Row],[Residual Security Risk Acceptability Justification]]&gt;0,Table4[[#This Row],[Residual Security Risk Acceptability Justification]],"")</f>
        <v/>
      </c>
    </row>
    <row r="52" spans="1:13" s="30" customFormat="1" ht="70">
      <c r="A52" s="158">
        <f>Table4[[#This Row],[
ID '#]]</f>
        <v>48</v>
      </c>
      <c r="B52" s="157" t="str">
        <f>IF(Table4[[#This Row],[T ID]]&gt;0,Table4[[#This Row],[T ID]],"")</f>
        <v>T04</v>
      </c>
      <c r="C52" s="100" t="str">
        <f>Table4[[#This Row],[Threat Event(s)]]</f>
        <v>Maintaining Access
(TTP)</v>
      </c>
      <c r="D52" s="159" t="str">
        <f>IF(Table4[[#This Row],[V ID]]&gt;0,Table4[[#This Row],[V ID]],"")</f>
        <v>V01</v>
      </c>
      <c r="E52" s="100" t="str">
        <f>Table4[[#This Row],[Vulnerabilities]]</f>
        <v>Devices with default passwords needs to be checked for bruteforce attacks</v>
      </c>
      <c r="F52" s="160" t="str">
        <f>IF(Table4[[#This Row],[A ID]]&gt;0,Table4[[#This Row],[A ID]],"")</f>
        <v>A04</v>
      </c>
      <c r="G52" s="100" t="str">
        <f>Table4[[#This Row],[Asset]]</f>
        <v>Authentication/Authorisation method of all device(s)/app</v>
      </c>
      <c r="H52" s="161" t="str">
        <f>IF(Table4[[#This Row],[Impact Description]]&gt;0,Table4[[#This Row],[Impact Description]],"")</f>
        <v>1)  Obtain knowledge about system internals
2)  Attempt to find attack vectors 
3)  Possibilities for exploitation of publicly known Vulnerabilities.</v>
      </c>
      <c r="I52" s="159" t="str">
        <f>IF(Table4[[#This Row],[Safety Impact 
(Risk ID'# or N/A)]]&gt;0,Table4[[#This Row],[Safety Impact 
(Risk ID'# or N/A)]],"")</f>
        <v/>
      </c>
      <c r="J52" s="103" t="str">
        <f>Table4[[#This Row],[Security 
Risk 
Level]]</f>
        <v>LOW</v>
      </c>
      <c r="K52" s="15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105" t="str">
        <f>Table4[[#This Row],[Security Risk LevelP]]</f>
        <v/>
      </c>
      <c r="M52" s="159" t="str">
        <f>IF(Table4[[#This Row],[Residual Security Risk Acceptability Justification]]&gt;0,Table4[[#This Row],[Residual Security Risk Acceptability Justification]],"")</f>
        <v/>
      </c>
    </row>
    <row r="53" spans="1:13" s="30" customFormat="1" ht="70">
      <c r="A53" s="158">
        <f>Table4[[#This Row],[
ID '#]]</f>
        <v>49</v>
      </c>
      <c r="B53" s="157" t="str">
        <f>IF(Table4[[#This Row],[T ID]]&gt;0,Table4[[#This Row],[T ID]],"")</f>
        <v>T04</v>
      </c>
      <c r="C53" s="100" t="str">
        <f>Table4[[#This Row],[Threat Event(s)]]</f>
        <v>Maintaining Access
(TTP)</v>
      </c>
      <c r="D53" s="159" t="str">
        <f>IF(Table4[[#This Row],[V ID]]&gt;0,Table4[[#This Row],[V ID]],"")</f>
        <v>V03</v>
      </c>
      <c r="E53" s="100" t="str">
        <f>Table4[[#This Row],[Vulnerabilities]]</f>
        <v>The password complexity or location vulnerability. Like weak passwords and hardcoded passwords.</v>
      </c>
      <c r="F53" s="160" t="str">
        <f>IF(Table4[[#This Row],[A ID]]&gt;0,Table4[[#This Row],[A ID]],"")</f>
        <v>A04</v>
      </c>
      <c r="G53" s="100" t="str">
        <f>Table4[[#This Row],[Asset]]</f>
        <v>Authentication/Authorisation method of all device(s)/app</v>
      </c>
      <c r="H53" s="161" t="str">
        <f>IF(Table4[[#This Row],[Impact Description]]&gt;0,Table4[[#This Row],[Impact Description]],"")</f>
        <v>1)  Obtain knowledge about system internals
2)  Attempt to find attack vectors 
3)  Possibilities for exploitation of publicly known Vulnerabilities.</v>
      </c>
      <c r="I53" s="159" t="str">
        <f>IF(Table4[[#This Row],[Safety Impact 
(Risk ID'# or N/A)]]&gt;0,Table4[[#This Row],[Safety Impact 
(Risk ID'# or N/A)]],"")</f>
        <v/>
      </c>
      <c r="J53" s="103" t="str">
        <f>Table4[[#This Row],[Security 
Risk 
Level]]</f>
        <v>LOW</v>
      </c>
      <c r="K53" s="15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105" t="str">
        <f>Table4[[#This Row],[Security Risk LevelP]]</f>
        <v/>
      </c>
      <c r="M53" s="159" t="str">
        <f>IF(Table4[[#This Row],[Residual Security Risk Acceptability Justification]]&gt;0,Table4[[#This Row],[Residual Security Risk Acceptability Justification]],"")</f>
        <v/>
      </c>
    </row>
    <row r="54" spans="1:13" s="30" customFormat="1" ht="112">
      <c r="A54" s="158">
        <f>Table4[[#This Row],[
ID '#]]</f>
        <v>50</v>
      </c>
      <c r="B54" s="157" t="str">
        <f>IF(Table4[[#This Row],[T ID]]&gt;0,Table4[[#This Row],[T ID]],"")</f>
        <v>T05</v>
      </c>
      <c r="C54" s="100" t="str">
        <f>Table4[[#This Row],[Threat Event(s)]]</f>
        <v>Clearing Track
(TTP)</v>
      </c>
      <c r="D54" s="159" t="str">
        <f>IF(Table4[[#This Row],[V ID]]&gt;0,Table4[[#This Row],[V ID]],"")</f>
        <v>V21</v>
      </c>
      <c r="E54" s="100" t="str">
        <f>Table4[[#This Row],[Vulnerabilities]]</f>
        <v>InSecure Configuration for Software/OS on Mobile Devices, Laptops, Workstations, and Servers</v>
      </c>
      <c r="F54" s="160" t="str">
        <f>IF(Table4[[#This Row],[A ID]]&gt;0,Table4[[#This Row],[A ID]],"")</f>
        <v>A01</v>
      </c>
      <c r="G54" s="100" t="str">
        <f>Table4[[#This Row],[Asset]]</f>
        <v>Tablet Resources - web cam, microphone, OTG devices, Removable USB, Tablet Application, Network interfaces (Bluetooth, Wifi)</v>
      </c>
      <c r="H54"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159" t="str">
        <f>IF(Table4[[#This Row],[Safety Impact 
(Risk ID'# or N/A)]]&gt;0,Table4[[#This Row],[Safety Impact 
(Risk ID'# or N/A)]],"")</f>
        <v/>
      </c>
      <c r="J54" s="103" t="str">
        <f>Table4[[#This Row],[Security 
Risk 
Level]]</f>
        <v>LOW</v>
      </c>
      <c r="K54"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105" t="str">
        <f>Table4[[#This Row],[Security Risk LevelP]]</f>
        <v/>
      </c>
      <c r="M54" s="159" t="str">
        <f>IF(Table4[[#This Row],[Residual Security Risk Acceptability Justification]]&gt;0,Table4[[#This Row],[Residual Security Risk Acceptability Justification]],"")</f>
        <v/>
      </c>
    </row>
    <row r="55" spans="1:13" s="30" customFormat="1" ht="112">
      <c r="A55" s="158">
        <f>Table4[[#This Row],[
ID '#]]</f>
        <v>51</v>
      </c>
      <c r="B55" s="157" t="str">
        <f>IF(Table4[[#This Row],[T ID]]&gt;0,Table4[[#This Row],[T ID]],"")</f>
        <v>T05</v>
      </c>
      <c r="C55" s="100" t="str">
        <f>Table4[[#This Row],[Threat Event(s)]]</f>
        <v>Clearing Track
(TTP)</v>
      </c>
      <c r="D55" s="159" t="str">
        <f>IF(Table4[[#This Row],[V ID]]&gt;0,Table4[[#This Row],[V ID]],"")</f>
        <v>V23</v>
      </c>
      <c r="E55" s="100" t="str">
        <f>Table4[[#This Row],[Vulnerabilities]]</f>
        <v>Outdated  - Software/Hardware</v>
      </c>
      <c r="F55" s="160" t="str">
        <f>IF(Table4[[#This Row],[A ID]]&gt;0,Table4[[#This Row],[A ID]],"")</f>
        <v>A01</v>
      </c>
      <c r="G55" s="100" t="str">
        <f>Table4[[#This Row],[Asset]]</f>
        <v>Tablet Resources - web cam, microphone, OTG devices, Removable USB, Tablet Application, Network interfaces (Bluetooth, Wifi)</v>
      </c>
      <c r="H55"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159" t="str">
        <f>IF(Table4[[#This Row],[Safety Impact 
(Risk ID'# or N/A)]]&gt;0,Table4[[#This Row],[Safety Impact 
(Risk ID'# or N/A)]],"")</f>
        <v>B-L2(Reference Risk Table and Risk Matrix SmartMedic Document # D001020010)</v>
      </c>
      <c r="J55" s="103" t="str">
        <f>Table4[[#This Row],[Security 
Risk 
Level]]</f>
        <v>LOW</v>
      </c>
      <c r="K55"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105" t="str">
        <f>Table4[[#This Row],[Security Risk LevelP]]</f>
        <v/>
      </c>
      <c r="M55" s="159" t="str">
        <f>IF(Table4[[#This Row],[Residual Security Risk Acceptability Justification]]&gt;0,Table4[[#This Row],[Residual Security Risk Acceptability Justification]],"")</f>
        <v/>
      </c>
    </row>
    <row r="56" spans="1:13" s="30" customFormat="1" ht="112">
      <c r="A56" s="158">
        <f>Table4[[#This Row],[
ID '#]]</f>
        <v>52</v>
      </c>
      <c r="B56" s="157" t="str">
        <f>IF(Table4[[#This Row],[T ID]]&gt;0,Table4[[#This Row],[T ID]],"")</f>
        <v>T05</v>
      </c>
      <c r="C56" s="100" t="str">
        <f>Table4[[#This Row],[Threat Event(s)]]</f>
        <v>Clearing Track
(TTP)</v>
      </c>
      <c r="D56" s="159" t="str">
        <f>IF(Table4[[#This Row],[V ID]]&gt;0,Table4[[#This Row],[V ID]],"")</f>
        <v>V07</v>
      </c>
      <c r="E56" s="100" t="str">
        <f>Table4[[#This Row],[Vulnerabilities]]</f>
        <v>Lack of configuration controls for IT assets in the informaion system plan</v>
      </c>
      <c r="F56" s="160" t="str">
        <f>IF(Table4[[#This Row],[A ID]]&gt;0,Table4[[#This Row],[A ID]],"")</f>
        <v>A01</v>
      </c>
      <c r="G56" s="100" t="str">
        <f>Table4[[#This Row],[Asset]]</f>
        <v>Tablet Resources - web cam, microphone, OTG devices, Removable USB, Tablet Application, Network interfaces (Bluetooth, Wifi)</v>
      </c>
      <c r="H56"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159" t="str">
        <f>IF(Table4[[#This Row],[Safety Impact 
(Risk ID'# or N/A)]]&gt;0,Table4[[#This Row],[Safety Impact 
(Risk ID'# or N/A)]],"")</f>
        <v>B-L2(Reference Risk Table and Risk Matrix SmartMedic Document # D001020010)</v>
      </c>
      <c r="J56" s="103" t="str">
        <f>Table4[[#This Row],[Security 
Risk 
Level]]</f>
        <v>LOW</v>
      </c>
      <c r="K56"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105" t="str">
        <f>Table4[[#This Row],[Security Risk LevelP]]</f>
        <v/>
      </c>
      <c r="M56" s="159" t="str">
        <f>IF(Table4[[#This Row],[Residual Security Risk Acceptability Justification]]&gt;0,Table4[[#This Row],[Residual Security Risk Acceptability Justification]],"")</f>
        <v/>
      </c>
    </row>
    <row r="57" spans="1:13" s="30" customFormat="1" ht="112">
      <c r="A57" s="158">
        <f>Table4[[#This Row],[
ID '#]]</f>
        <v>53</v>
      </c>
      <c r="B57" s="157" t="str">
        <f>IF(Table4[[#This Row],[T ID]]&gt;0,Table4[[#This Row],[T ID]],"")</f>
        <v>T05</v>
      </c>
      <c r="C57" s="100" t="str">
        <f>Table4[[#This Row],[Threat Event(s)]]</f>
        <v>Clearing Track
(TTP)</v>
      </c>
      <c r="D57" s="159" t="str">
        <f>IF(Table4[[#This Row],[V ID]]&gt;0,Table4[[#This Row],[V ID]],"")</f>
        <v>V07</v>
      </c>
      <c r="E57" s="100" t="str">
        <f>Table4[[#This Row],[Vulnerabilities]]</f>
        <v>Lack of configuration controls for IT assets in the informaion system plan</v>
      </c>
      <c r="F57" s="160" t="str">
        <f>IF(Table4[[#This Row],[A ID]]&gt;0,Table4[[#This Row],[A ID]],"")</f>
        <v>A05</v>
      </c>
      <c r="G57" s="100" t="str">
        <f>Table4[[#This Row],[Asset]]</f>
        <v>Device Maintainence tool (Hardware/Software)</v>
      </c>
      <c r="H57"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159" t="str">
        <f>IF(Table4[[#This Row],[Safety Impact 
(Risk ID'# or N/A)]]&gt;0,Table4[[#This Row],[Safety Impact 
(Risk ID'# or N/A)]],"")</f>
        <v>B-L2(Reference Risk Table and Risk Matrix SmartMedic Document # D001020010)</v>
      </c>
      <c r="J57" s="103" t="str">
        <f>Table4[[#This Row],[Security 
Risk 
Level]]</f>
        <v>LOW</v>
      </c>
      <c r="K57"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105" t="str">
        <f>Table4[[#This Row],[Security Risk LevelP]]</f>
        <v/>
      </c>
      <c r="M57" s="159" t="str">
        <f>IF(Table4[[#This Row],[Residual Security Risk Acceptability Justification]]&gt;0,Table4[[#This Row],[Residual Security Risk Acceptability Justification]],"")</f>
        <v/>
      </c>
    </row>
    <row r="58" spans="1:13" s="30" customFormat="1" ht="112">
      <c r="A58" s="158">
        <f>Table4[[#This Row],[
ID '#]]</f>
        <v>54</v>
      </c>
      <c r="B58" s="157" t="str">
        <f>IF(Table4[[#This Row],[T ID]]&gt;0,Table4[[#This Row],[T ID]],"")</f>
        <v>T05</v>
      </c>
      <c r="C58" s="100" t="str">
        <f>Table4[[#This Row],[Threat Event(s)]]</f>
        <v>Clearing Track
(TTP)</v>
      </c>
      <c r="D58" s="159" t="str">
        <f>IF(Table4[[#This Row],[V ID]]&gt;0,Table4[[#This Row],[V ID]],"")</f>
        <v>V08</v>
      </c>
      <c r="E58" s="100" t="str">
        <f>Table4[[#This Row],[Vulnerabilities]]</f>
        <v>Ineffective patch management of firware, OS and applications thoughout the information system plan</v>
      </c>
      <c r="F58" s="160" t="str">
        <f>IF(Table4[[#This Row],[A ID]]&gt;0,Table4[[#This Row],[A ID]],"")</f>
        <v>A01</v>
      </c>
      <c r="G58" s="100" t="str">
        <f>Table4[[#This Row],[Asset]]</f>
        <v>Tablet Resources - web cam, microphone, OTG devices, Removable USB, Tablet Application, Network interfaces (Bluetooth, Wifi)</v>
      </c>
      <c r="H58"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159" t="str">
        <f>IF(Table4[[#This Row],[Safety Impact 
(Risk ID'# or N/A)]]&gt;0,Table4[[#This Row],[Safety Impact 
(Risk ID'# or N/A)]],"")</f>
        <v>B-L2(Reference Risk Table and Risk Matrix SmartMedic Document # D001020010)</v>
      </c>
      <c r="J58" s="103" t="str">
        <f>Table4[[#This Row],[Security 
Risk 
Level]]</f>
        <v>LOW</v>
      </c>
      <c r="K58"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105" t="str">
        <f>Table4[[#This Row],[Security Risk LevelP]]</f>
        <v/>
      </c>
      <c r="M58" s="159" t="str">
        <f>IF(Table4[[#This Row],[Residual Security Risk Acceptability Justification]]&gt;0,Table4[[#This Row],[Residual Security Risk Acceptability Justification]],"")</f>
        <v/>
      </c>
    </row>
    <row r="59" spans="1:13" s="30" customFormat="1" ht="112">
      <c r="A59" s="158">
        <f>Table4[[#This Row],[
ID '#]]</f>
        <v>55</v>
      </c>
      <c r="B59" s="157" t="str">
        <f>IF(Table4[[#This Row],[T ID]]&gt;0,Table4[[#This Row],[T ID]],"")</f>
        <v>T05</v>
      </c>
      <c r="C59" s="100" t="str">
        <f>Table4[[#This Row],[Threat Event(s)]]</f>
        <v>Clearing Track
(TTP)</v>
      </c>
      <c r="D59" s="159" t="str">
        <f>IF(Table4[[#This Row],[V ID]]&gt;0,Table4[[#This Row],[V ID]],"")</f>
        <v>V08</v>
      </c>
      <c r="E59" s="100" t="str">
        <f>Table4[[#This Row],[Vulnerabilities]]</f>
        <v>Ineffective patch management of firware, OS and applications thoughout the information system plan</v>
      </c>
      <c r="F59" s="160" t="str">
        <f>IF(Table4[[#This Row],[A ID]]&gt;0,Table4[[#This Row],[A ID]],"")</f>
        <v>A05</v>
      </c>
      <c r="G59" s="100" t="str">
        <f>Table4[[#This Row],[Asset]]</f>
        <v>Device Maintainence tool (Hardware/Software)</v>
      </c>
      <c r="H59"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159" t="str">
        <f>IF(Table4[[#This Row],[Safety Impact 
(Risk ID'# or N/A)]]&gt;0,Table4[[#This Row],[Safety Impact 
(Risk ID'# or N/A)]],"")</f>
        <v>B-L2(Reference Risk Table and Risk Matrix SmartMedic Document # D001020010)</v>
      </c>
      <c r="J59" s="103" t="str">
        <f>Table4[[#This Row],[Security 
Risk 
Level]]</f>
        <v>LOW</v>
      </c>
      <c r="K59"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105" t="str">
        <f>Table4[[#This Row],[Security Risk LevelP]]</f>
        <v/>
      </c>
      <c r="M59" s="159" t="str">
        <f>IF(Table4[[#This Row],[Residual Security Risk Acceptability Justification]]&gt;0,Table4[[#This Row],[Residual Security Risk Acceptability Justification]],"")</f>
        <v/>
      </c>
    </row>
    <row r="60" spans="1:13" s="30" customFormat="1" ht="112">
      <c r="A60" s="158">
        <f>Table4[[#This Row],[
ID '#]]</f>
        <v>56</v>
      </c>
      <c r="B60" s="157" t="str">
        <f>IF(Table4[[#This Row],[T ID]]&gt;0,Table4[[#This Row],[T ID]],"")</f>
        <v>T05</v>
      </c>
      <c r="C60" s="100" t="str">
        <f>Table4[[#This Row],[Threat Event(s)]]</f>
        <v>Clearing Track
(TTP)</v>
      </c>
      <c r="D60" s="159" t="str">
        <f>IF(Table4[[#This Row],[V ID]]&gt;0,Table4[[#This Row],[V ID]],"")</f>
        <v>V08</v>
      </c>
      <c r="E60" s="100" t="str">
        <f>Table4[[#This Row],[Vulnerabilities]]</f>
        <v>Ineffective patch management of firware, OS and applications thoughout the information system plan</v>
      </c>
      <c r="F60" s="160" t="str">
        <f>IF(Table4[[#This Row],[A ID]]&gt;0,Table4[[#This Row],[A ID]],"")</f>
        <v>A02</v>
      </c>
      <c r="G60" s="100" t="str">
        <f>Table4[[#This Row],[Asset]]</f>
        <v>Tablet OS/network details &amp; Tablet Application</v>
      </c>
      <c r="H60"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159" t="str">
        <f>IF(Table4[[#This Row],[Safety Impact 
(Risk ID'# or N/A)]]&gt;0,Table4[[#This Row],[Safety Impact 
(Risk ID'# or N/A)]],"")</f>
        <v>B-L2(Reference Risk Table and Risk Matrix SmartMedic Document # D001020010)</v>
      </c>
      <c r="J60" s="103" t="str">
        <f>Table4[[#This Row],[Security 
Risk 
Level]]</f>
        <v>LOW</v>
      </c>
      <c r="K60"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105" t="str">
        <f>Table4[[#This Row],[Security Risk LevelP]]</f>
        <v/>
      </c>
      <c r="M60" s="159" t="str">
        <f>IF(Table4[[#This Row],[Residual Security Risk Acceptability Justification]]&gt;0,Table4[[#This Row],[Residual Security Risk Acceptability Justification]],"")</f>
        <v/>
      </c>
    </row>
    <row r="61" spans="1:13" s="30" customFormat="1" ht="112">
      <c r="A61" s="158">
        <f>Table4[[#This Row],[
ID '#]]</f>
        <v>57</v>
      </c>
      <c r="B61" s="157" t="str">
        <f>IF(Table4[[#This Row],[T ID]]&gt;0,Table4[[#This Row],[T ID]],"")</f>
        <v>T05</v>
      </c>
      <c r="C61" s="100" t="str">
        <f>Table4[[#This Row],[Threat Event(s)]]</f>
        <v>Clearing Track
(TTP)</v>
      </c>
      <c r="D61" s="159" t="str">
        <f>IF(Table4[[#This Row],[V ID]]&gt;0,Table4[[#This Row],[V ID]],"")</f>
        <v>V10</v>
      </c>
      <c r="E61" s="100" t="str">
        <f>Table4[[#This Row],[Vulnerabilities]]</f>
        <v>The  static connection digaram between devices and applications with provision for periodic updation as per changes</v>
      </c>
      <c r="F61" s="160" t="str">
        <f>IF(Table4[[#This Row],[A ID]]&gt;0,Table4[[#This Row],[A ID]],"")</f>
        <v>A05</v>
      </c>
      <c r="G61" s="100" t="str">
        <f>Table4[[#This Row],[Asset]]</f>
        <v>Device Maintainence tool (Hardware/Software)</v>
      </c>
      <c r="H61"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159" t="str">
        <f>IF(Table4[[#This Row],[Safety Impact 
(Risk ID'# or N/A)]]&gt;0,Table4[[#This Row],[Safety Impact 
(Risk ID'# or N/A)]],"")</f>
        <v>B-L2(Reference Risk Table and Risk Matrix SmartMedic Document # D001020010)</v>
      </c>
      <c r="J61" s="103" t="str">
        <f>Table4[[#This Row],[Security 
Risk 
Level]]</f>
        <v>LOW</v>
      </c>
      <c r="K61"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105" t="str">
        <f>Table4[[#This Row],[Security Risk LevelP]]</f>
        <v/>
      </c>
      <c r="M61" s="159" t="str">
        <f>IF(Table4[[#This Row],[Residual Security Risk Acceptability Justification]]&gt;0,Table4[[#This Row],[Residual Security Risk Acceptability Justification]],"")</f>
        <v/>
      </c>
    </row>
    <row r="62" spans="1:13" s="30" customFormat="1" ht="112">
      <c r="A62" s="158">
        <f>Table4[[#This Row],[
ID '#]]</f>
        <v>58</v>
      </c>
      <c r="B62" s="157" t="str">
        <f>IF(Table4[[#This Row],[T ID]]&gt;0,Table4[[#This Row],[T ID]],"")</f>
        <v>T05</v>
      </c>
      <c r="C62" s="100" t="str">
        <f>Table4[[#This Row],[Threat Event(s)]]</f>
        <v>Clearing Track
(TTP)</v>
      </c>
      <c r="D62" s="159" t="str">
        <f>IF(Table4[[#This Row],[V ID]]&gt;0,Table4[[#This Row],[V ID]],"")</f>
        <v>V10</v>
      </c>
      <c r="E62" s="100" t="str">
        <f>Table4[[#This Row],[Vulnerabilities]]</f>
        <v>The  static connection digaram between devices and applications with provision for periodic updation as per changes</v>
      </c>
      <c r="F62" s="160" t="str">
        <f>IF(Table4[[#This Row],[A ID]]&gt;0,Table4[[#This Row],[A ID]],"")</f>
        <v>A01</v>
      </c>
      <c r="G62" s="100" t="str">
        <f>Table4[[#This Row],[Asset]]</f>
        <v>Tablet Resources - web cam, microphone, OTG devices, Removable USB, Tablet Application, Network interfaces (Bluetooth, Wifi)</v>
      </c>
      <c r="H62"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159" t="str">
        <f>IF(Table4[[#This Row],[Safety Impact 
(Risk ID'# or N/A)]]&gt;0,Table4[[#This Row],[Safety Impact 
(Risk ID'# or N/A)]],"")</f>
        <v>B-L2(Reference Risk Table and Risk Matrix SmartMedic Document # D001020010)</v>
      </c>
      <c r="J62" s="103" t="str">
        <f>Table4[[#This Row],[Security 
Risk 
Level]]</f>
        <v>LOW</v>
      </c>
      <c r="K62"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105" t="str">
        <f>Table4[[#This Row],[Security Risk LevelP]]</f>
        <v/>
      </c>
      <c r="M62" s="159" t="str">
        <f>IF(Table4[[#This Row],[Residual Security Risk Acceptability Justification]]&gt;0,Table4[[#This Row],[Residual Security Risk Acceptability Justification]],"")</f>
        <v/>
      </c>
    </row>
    <row r="63" spans="1:13" s="30" customFormat="1" ht="56">
      <c r="A63" s="158">
        <f>Table4[[#This Row],[
ID '#]]</f>
        <v>59</v>
      </c>
      <c r="B63" s="157" t="str">
        <f>IF(Table4[[#This Row],[T ID]]&gt;0,Table4[[#This Row],[T ID]],"")</f>
        <v>T06</v>
      </c>
      <c r="C63" s="100" t="str">
        <f>Table4[[#This Row],[Threat Event(s)]]</f>
        <v>Elevation of privilege
(STRID[E])</v>
      </c>
      <c r="D63" s="159" t="str">
        <f>IF(Table4[[#This Row],[V ID]]&gt;0,Table4[[#This Row],[V ID]],"")</f>
        <v>V15</v>
      </c>
      <c r="E63" s="100" t="str">
        <f>Table4[[#This Row],[Vulnerabilities]]</f>
        <v>Controlled Use of Administrative Privileges over the network</v>
      </c>
      <c r="F63" s="160" t="str">
        <f>IF(Table4[[#This Row],[A ID]]&gt;0,Table4[[#This Row],[A ID]],"")</f>
        <v>A04</v>
      </c>
      <c r="G63" s="100" t="str">
        <f>Table4[[#This Row],[Asset]]</f>
        <v>Authentication/Authorisation method of all device(s)/app</v>
      </c>
      <c r="H63" s="161" t="str">
        <f>IF(Table4[[#This Row],[Impact Description]]&gt;0,Table4[[#This Row],[Impact Description]],"")</f>
        <v>1) Gaining access to the portal 
2) Accessing confidential data, 
3) Lead misuse of confidential data
4)  Company defamation</v>
      </c>
      <c r="I63" s="159" t="str">
        <f>IF(Table4[[#This Row],[Safety Impact 
(Risk ID'# or N/A)]]&gt;0,Table4[[#This Row],[Safety Impact 
(Risk ID'# or N/A)]],"")</f>
        <v/>
      </c>
      <c r="J63" s="103" t="str">
        <f>Table4[[#This Row],[Security 
Risk 
Level]]</f>
        <v>LOW</v>
      </c>
      <c r="K63" s="15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105" t="str">
        <f>Table4[[#This Row],[Security Risk LevelP]]</f>
        <v/>
      </c>
      <c r="M63" s="159" t="str">
        <f>IF(Table4[[#This Row],[Residual Security Risk Acceptability Justification]]&gt;0,Table4[[#This Row],[Residual Security Risk Acceptability Justification]],"")</f>
        <v/>
      </c>
    </row>
    <row r="64" spans="1:13" s="30" customFormat="1" ht="56">
      <c r="A64" s="158">
        <f>Table4[[#This Row],[
ID '#]]</f>
        <v>60</v>
      </c>
      <c r="B64" s="157" t="str">
        <f>IF(Table4[[#This Row],[T ID]]&gt;0,Table4[[#This Row],[T ID]],"")</f>
        <v>T06</v>
      </c>
      <c r="C64" s="100" t="str">
        <f>Table4[[#This Row],[Threat Event(s)]]</f>
        <v>Elevation of privilege
(STRID[E])</v>
      </c>
      <c r="D64" s="159" t="str">
        <f>IF(Table4[[#This Row],[V ID]]&gt;0,Table4[[#This Row],[V ID]],"")</f>
        <v>V15</v>
      </c>
      <c r="E64" s="100" t="str">
        <f>Table4[[#This Row],[Vulnerabilities]]</f>
        <v>Controlled Use of Administrative Privileges over the network</v>
      </c>
      <c r="F64" s="160" t="str">
        <f>IF(Table4[[#This Row],[A ID]]&gt;0,Table4[[#This Row],[A ID]],"")</f>
        <v>A12</v>
      </c>
      <c r="G64" s="100" t="str">
        <f>Table4[[#This Row],[Asset]]</f>
        <v>Smart medic app (Azure Portal Administrator)</v>
      </c>
      <c r="H64" s="161" t="str">
        <f>IF(Table4[[#This Row],[Impact Description]]&gt;0,Table4[[#This Row],[Impact Description]],"")</f>
        <v>1) Gaining access to the portal 
2) Accessing confidential data, 
3) Lead misuse of confidential data
4)  Company defamation</v>
      </c>
      <c r="I64" s="159" t="str">
        <f>IF(Table4[[#This Row],[Safety Impact 
(Risk ID'# or N/A)]]&gt;0,Table4[[#This Row],[Safety Impact 
(Risk ID'# or N/A)]],"")</f>
        <v/>
      </c>
      <c r="J64" s="103" t="str">
        <f>Table4[[#This Row],[Security 
Risk 
Level]]</f>
        <v>MEDIUM</v>
      </c>
      <c r="K64" s="15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105" t="str">
        <f>Table4[[#This Row],[Security Risk LevelP]]</f>
        <v/>
      </c>
      <c r="M64" s="159" t="str">
        <f>IF(Table4[[#This Row],[Residual Security Risk Acceptability Justification]]&gt;0,Table4[[#This Row],[Residual Security Risk Acceptability Justification]],"")</f>
        <v/>
      </c>
    </row>
    <row r="65" spans="1:13" s="30" customFormat="1" ht="56">
      <c r="A65" s="158">
        <f>Table4[[#This Row],[
ID '#]]</f>
        <v>61</v>
      </c>
      <c r="B65" s="157" t="str">
        <f>IF(Table4[[#This Row],[T ID]]&gt;0,Table4[[#This Row],[T ID]],"")</f>
        <v>T07</v>
      </c>
      <c r="C65" s="100" t="str">
        <f>Table4[[#This Row],[Threat Event(s)]]</f>
        <v>Denial of service
(STRI(D)E)</v>
      </c>
      <c r="D65" s="159" t="str">
        <f>IF(Table4[[#This Row],[V ID]]&gt;0,Table4[[#This Row],[V ID]],"")</f>
        <v>V12</v>
      </c>
      <c r="E65" s="100" t="str">
        <f>Table4[[#This Row],[Vulnerabilities]]</f>
        <v>Unprotected network port(s) on network devices and connection points</v>
      </c>
      <c r="F65" s="160" t="str">
        <f>IF(Table4[[#This Row],[A ID]]&gt;0,Table4[[#This Row],[A ID]],"")</f>
        <v>A02</v>
      </c>
      <c r="G65" s="100" t="str">
        <f>Table4[[#This Row],[Asset]]</f>
        <v>Tablet OS/network details &amp; Tablet Application</v>
      </c>
      <c r="H65" s="161" t="str">
        <f>IF(Table4[[#This Row],[Impact Description]]&gt;0,Table4[[#This Row],[Impact Description]],"")</f>
        <v>1) Bring down the service availability 
2) Blocking the end user usage</v>
      </c>
      <c r="I65" s="159" t="str">
        <f>IF(Table4[[#This Row],[Safety Impact 
(Risk ID'# or N/A)]]&gt;0,Table4[[#This Row],[Safety Impact 
(Risk ID'# or N/A)]],"")</f>
        <v/>
      </c>
      <c r="J65" s="103" t="str">
        <f>Table4[[#This Row],[Security 
Risk 
Level]]</f>
        <v>MEDIUM</v>
      </c>
      <c r="K65" s="15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105" t="str">
        <f>Table4[[#This Row],[Security Risk LevelP]]</f>
        <v/>
      </c>
      <c r="M65" s="159" t="str">
        <f>IF(Table4[[#This Row],[Residual Security Risk Acceptability Justification]]&gt;0,Table4[[#This Row],[Residual Security Risk Acceptability Justification]],"")</f>
        <v/>
      </c>
    </row>
    <row r="66" spans="1:13" s="30" customFormat="1" ht="42">
      <c r="A66" s="158">
        <f>Table4[[#This Row],[
ID '#]]</f>
        <v>62</v>
      </c>
      <c r="B66" s="157" t="str">
        <f>IF(Table4[[#This Row],[T ID]]&gt;0,Table4[[#This Row],[T ID]],"")</f>
        <v>T08</v>
      </c>
      <c r="C66" s="100" t="str">
        <f>Table4[[#This Row],[Threat Event(s)]]</f>
        <v>Information disclosure
(STR(I)DE)</v>
      </c>
      <c r="D66" s="159" t="str">
        <f>IF(Table4[[#This Row],[V ID]]&gt;0,Table4[[#This Row],[V ID]],"")</f>
        <v>V16</v>
      </c>
      <c r="E66" s="100" t="str">
        <f>Table4[[#This Row],[Vulnerabilities]]</f>
        <v>Unencrypted data at rest in all possible locations</v>
      </c>
      <c r="F66" s="160" t="str">
        <f>IF(Table4[[#This Row],[A ID]]&gt;0,Table4[[#This Row],[A ID]],"")</f>
        <v>A09</v>
      </c>
      <c r="G66" s="100" t="str">
        <f>Table4[[#This Row],[Asset]]</f>
        <v>Data at Rest</v>
      </c>
      <c r="H66" s="161" t="str">
        <f>IF(Table4[[#This Row],[Impact Description]]&gt;0,Table4[[#This Row],[Impact Description]],"")</f>
        <v>Information of health data can be exploit and disclose with various means like network, tablet etc.  .</v>
      </c>
      <c r="I66" s="159" t="str">
        <f>IF(Table4[[#This Row],[Safety Impact 
(Risk ID'# or N/A)]]&gt;0,Table4[[#This Row],[Safety Impact 
(Risk ID'# or N/A)]],"")</f>
        <v/>
      </c>
      <c r="J66" s="103" t="str">
        <f>Table4[[#This Row],[Security 
Risk 
Level]]</f>
        <v>LOW</v>
      </c>
      <c r="K66" s="15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105" t="str">
        <f>Table4[[#This Row],[Security Risk LevelP]]</f>
        <v/>
      </c>
      <c r="M66" s="159" t="str">
        <f>IF(Table4[[#This Row],[Residual Security Risk Acceptability Justification]]&gt;0,Table4[[#This Row],[Residual Security Risk Acceptability Justification]],"")</f>
        <v/>
      </c>
    </row>
    <row r="67" spans="1:13" s="30" customFormat="1" ht="42">
      <c r="A67" s="158">
        <f>Table4[[#This Row],[
ID '#]]</f>
        <v>63</v>
      </c>
      <c r="B67" s="157" t="str">
        <f>IF(Table4[[#This Row],[T ID]]&gt;0,Table4[[#This Row],[T ID]],"")</f>
        <v>T08</v>
      </c>
      <c r="C67" s="100" t="str">
        <f>Table4[[#This Row],[Threat Event(s)]]</f>
        <v>Information disclosure
(STR(I)DE)</v>
      </c>
      <c r="D67" s="159" t="str">
        <f>IF(Table4[[#This Row],[V ID]]&gt;0,Table4[[#This Row],[V ID]],"")</f>
        <v>V17</v>
      </c>
      <c r="E67" s="100" t="str">
        <f>Table4[[#This Row],[Vulnerabilities]]</f>
        <v>Unencrypted data in transit in all flowchannels</v>
      </c>
      <c r="F67" s="160" t="str">
        <f>IF(Table4[[#This Row],[A ID]]&gt;0,Table4[[#This Row],[A ID]],"")</f>
        <v>A10</v>
      </c>
      <c r="G67" s="100" t="str">
        <f>Table4[[#This Row],[Asset]]</f>
        <v>Data in Transit</v>
      </c>
      <c r="H67" s="161" t="str">
        <f>IF(Table4[[#This Row],[Impact Description]]&gt;0,Table4[[#This Row],[Impact Description]],"")</f>
        <v>Information of health data can be exploit and disclose with various means like network, tablet etc.  .</v>
      </c>
      <c r="I67" s="159" t="str">
        <f>IF(Table4[[#This Row],[Safety Impact 
(Risk ID'# or N/A)]]&gt;0,Table4[[#This Row],[Safety Impact 
(Risk ID'# or N/A)]],"")</f>
        <v/>
      </c>
      <c r="J67" s="103" t="str">
        <f>Table4[[#This Row],[Security 
Risk 
Level]]</f>
        <v>LOW</v>
      </c>
      <c r="K67" s="15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105" t="str">
        <f>Table4[[#This Row],[Security Risk LevelP]]</f>
        <v/>
      </c>
      <c r="M67" s="159" t="str">
        <f>IF(Table4[[#This Row],[Residual Security Risk Acceptability Justification]]&gt;0,Table4[[#This Row],[Residual Security Risk Acceptability Justification]],"")</f>
        <v/>
      </c>
    </row>
    <row r="68" spans="1:13" s="30" customFormat="1" ht="56">
      <c r="A68" s="158">
        <f>Table4[[#This Row],[
ID '#]]</f>
        <v>64</v>
      </c>
      <c r="B68" s="157" t="str">
        <f>IF(Table4[[#This Row],[T ID]]&gt;0,Table4[[#This Row],[T ID]],"")</f>
        <v>T08</v>
      </c>
      <c r="C68" s="100" t="str">
        <f>Table4[[#This Row],[Threat Event(s)]]</f>
        <v>Information disclosure
(STR(I)DE)</v>
      </c>
      <c r="D68" s="159" t="str">
        <f>IF(Table4[[#This Row],[V ID]]&gt;0,Table4[[#This Row],[V ID]],"")</f>
        <v>V18</v>
      </c>
      <c r="E68" s="100" t="str">
        <f>Table4[[#This Row],[Vulnerabilities]]</f>
        <v>Weak Encryption Implementaion in data at rest and in transit tactical and design wise</v>
      </c>
      <c r="F68" s="160" t="str">
        <f>IF(Table4[[#This Row],[A ID]]&gt;0,Table4[[#This Row],[A ID]],"")</f>
        <v>A09</v>
      </c>
      <c r="G68" s="100" t="str">
        <f>Table4[[#This Row],[Asset]]</f>
        <v>Data at Rest</v>
      </c>
      <c r="H68" s="161" t="str">
        <f>IF(Table4[[#This Row],[Impact Description]]&gt;0,Table4[[#This Row],[Impact Description]],"")</f>
        <v>Information of health data can be exploit and disclose with various means like network, tablet etc.  .</v>
      </c>
      <c r="I68" s="159" t="str">
        <f>IF(Table4[[#This Row],[Safety Impact 
(Risk ID'# or N/A)]]&gt;0,Table4[[#This Row],[Safety Impact 
(Risk ID'# or N/A)]],"")</f>
        <v/>
      </c>
      <c r="J68" s="103" t="str">
        <f>Table4[[#This Row],[Security 
Risk 
Level]]</f>
        <v>LOW</v>
      </c>
      <c r="K68" s="15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105" t="str">
        <f>Table4[[#This Row],[Security Risk LevelP]]</f>
        <v/>
      </c>
      <c r="M68" s="159" t="str">
        <f>IF(Table4[[#This Row],[Residual Security Risk Acceptability Justification]]&gt;0,Table4[[#This Row],[Residual Security Risk Acceptability Justification]],"")</f>
        <v/>
      </c>
    </row>
    <row r="69" spans="1:13" s="30" customFormat="1" ht="56">
      <c r="A69" s="158">
        <f>Table4[[#This Row],[
ID '#]]</f>
        <v>65</v>
      </c>
      <c r="B69" s="157" t="str">
        <f>IF(Table4[[#This Row],[T ID]]&gt;0,Table4[[#This Row],[T ID]],"")</f>
        <v>T08</v>
      </c>
      <c r="C69" s="100" t="str">
        <f>Table4[[#This Row],[Threat Event(s)]]</f>
        <v>Information disclosure
(STR(I)DE)</v>
      </c>
      <c r="D69" s="159" t="str">
        <f>IF(Table4[[#This Row],[V ID]]&gt;0,Table4[[#This Row],[V ID]],"")</f>
        <v>V18</v>
      </c>
      <c r="E69" s="100" t="str">
        <f>Table4[[#This Row],[Vulnerabilities]]</f>
        <v>Weak Encryption Implementaion in data at rest and in transit tactical and design wise</v>
      </c>
      <c r="F69" s="160" t="str">
        <f>IF(Table4[[#This Row],[A ID]]&gt;0,Table4[[#This Row],[A ID]],"")</f>
        <v>A10</v>
      </c>
      <c r="G69" s="100" t="str">
        <f>Table4[[#This Row],[Asset]]</f>
        <v>Data in Transit</v>
      </c>
      <c r="H69" s="161" t="str">
        <f>IF(Table4[[#This Row],[Impact Description]]&gt;0,Table4[[#This Row],[Impact Description]],"")</f>
        <v>Information of health data can be exploit and disclose with various means like network, tablet etc.  .</v>
      </c>
      <c r="I69" s="159" t="str">
        <f>IF(Table4[[#This Row],[Safety Impact 
(Risk ID'# or N/A)]]&gt;0,Table4[[#This Row],[Safety Impact 
(Risk ID'# or N/A)]],"")</f>
        <v/>
      </c>
      <c r="J69" s="103" t="str">
        <f>Table4[[#This Row],[Security 
Risk 
Level]]</f>
        <v>LOW</v>
      </c>
      <c r="K69" s="15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105" t="str">
        <f>Table4[[#This Row],[Security Risk LevelP]]</f>
        <v/>
      </c>
      <c r="M69" s="159" t="str">
        <f>IF(Table4[[#This Row],[Residual Security Risk Acceptability Justification]]&gt;0,Table4[[#This Row],[Residual Security Risk Acceptability Justification]],"")</f>
        <v/>
      </c>
    </row>
    <row r="70" spans="1:13" s="30" customFormat="1" ht="42">
      <c r="A70" s="158">
        <f>Table4[[#This Row],[
ID '#]]</f>
        <v>66</v>
      </c>
      <c r="B70" s="157" t="str">
        <f>IF(Table4[[#This Row],[T ID]]&gt;0,Table4[[#This Row],[T ID]],"")</f>
        <v>T08</v>
      </c>
      <c r="C70" s="100" t="str">
        <f>Table4[[#This Row],[Threat Event(s)]]</f>
        <v>Information disclosure
(STR(I)DE)</v>
      </c>
      <c r="D70" s="159" t="str">
        <f>IF(Table4[[#This Row],[V ID]]&gt;0,Table4[[#This Row],[V ID]],"")</f>
        <v>V19</v>
      </c>
      <c r="E70" s="100" t="str">
        <f>Table4[[#This Row],[Vulnerabilities]]</f>
        <v>Weak Algorthim implementation with respect cipher key size</v>
      </c>
      <c r="F70" s="160" t="str">
        <f>IF(Table4[[#This Row],[A ID]]&gt;0,Table4[[#This Row],[A ID]],"")</f>
        <v>A09</v>
      </c>
      <c r="G70" s="100" t="str">
        <f>Table4[[#This Row],[Asset]]</f>
        <v>Data at Rest</v>
      </c>
      <c r="H70" s="161" t="str">
        <f>IF(Table4[[#This Row],[Impact Description]]&gt;0,Table4[[#This Row],[Impact Description]],"")</f>
        <v>Information of health data can be exploit and disclose with various means like network, tablet etc.  .</v>
      </c>
      <c r="I70" s="159" t="str">
        <f>IF(Table4[[#This Row],[Safety Impact 
(Risk ID'# or N/A)]]&gt;0,Table4[[#This Row],[Safety Impact 
(Risk ID'# or N/A)]],"")</f>
        <v/>
      </c>
      <c r="J70" s="103" t="str">
        <f>Table4[[#This Row],[Security 
Risk 
Level]]</f>
        <v>LOW</v>
      </c>
      <c r="K70" s="15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105" t="str">
        <f>Table4[[#This Row],[Security Risk LevelP]]</f>
        <v/>
      </c>
      <c r="M70" s="159" t="str">
        <f>IF(Table4[[#This Row],[Residual Security Risk Acceptability Justification]]&gt;0,Table4[[#This Row],[Residual Security Risk Acceptability Justification]],"")</f>
        <v/>
      </c>
    </row>
    <row r="71" spans="1:13" s="30" customFormat="1" ht="42">
      <c r="A71" s="158">
        <f>Table4[[#This Row],[
ID '#]]</f>
        <v>67</v>
      </c>
      <c r="B71" s="157" t="str">
        <f>IF(Table4[[#This Row],[T ID]]&gt;0,Table4[[#This Row],[T ID]],"")</f>
        <v>T08</v>
      </c>
      <c r="C71" s="100" t="str">
        <f>Table4[[#This Row],[Threat Event(s)]]</f>
        <v>Information disclosure
(STR(I)DE)</v>
      </c>
      <c r="D71" s="159" t="str">
        <f>IF(Table4[[#This Row],[V ID]]&gt;0,Table4[[#This Row],[V ID]],"")</f>
        <v>V19</v>
      </c>
      <c r="E71" s="100" t="str">
        <f>Table4[[#This Row],[Vulnerabilities]]</f>
        <v>Weak Algorthim implementation with respect cipher key size</v>
      </c>
      <c r="F71" s="160" t="str">
        <f>IF(Table4[[#This Row],[A ID]]&gt;0,Table4[[#This Row],[A ID]],"")</f>
        <v>A10</v>
      </c>
      <c r="G71" s="100" t="str">
        <f>Table4[[#This Row],[Asset]]</f>
        <v>Data in Transit</v>
      </c>
      <c r="H71" s="161" t="str">
        <f>IF(Table4[[#This Row],[Impact Description]]&gt;0,Table4[[#This Row],[Impact Description]],"")</f>
        <v>Information of health data can be exploit and disclose with various means like network, tablet etc.  .</v>
      </c>
      <c r="I71" s="159" t="str">
        <f>IF(Table4[[#This Row],[Safety Impact 
(Risk ID'# or N/A)]]&gt;0,Table4[[#This Row],[Safety Impact 
(Risk ID'# or N/A)]],"")</f>
        <v/>
      </c>
      <c r="J71" s="103" t="str">
        <f>Table4[[#This Row],[Security 
Risk 
Level]]</f>
        <v>LOW</v>
      </c>
      <c r="K71" s="15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105" t="str">
        <f>Table4[[#This Row],[Security Risk LevelP]]</f>
        <v/>
      </c>
      <c r="M71" s="159" t="str">
        <f>IF(Table4[[#This Row],[Residual Security Risk Acceptability Justification]]&gt;0,Table4[[#This Row],[Residual Security Risk Acceptability Justification]],"")</f>
        <v/>
      </c>
    </row>
    <row r="72" spans="1:13" s="30" customFormat="1" ht="70">
      <c r="A72" s="158">
        <f>Table4[[#This Row],[
ID '#]]</f>
        <v>68</v>
      </c>
      <c r="B72" s="157" t="str">
        <f>IF(Table4[[#This Row],[T ID]]&gt;0,Table4[[#This Row],[T ID]],"")</f>
        <v>T08</v>
      </c>
      <c r="C72" s="100" t="str">
        <f>Table4[[#This Row],[Threat Event(s)]]</f>
        <v>Information disclosure
(STR(I)DE)</v>
      </c>
      <c r="D72" s="159" t="str">
        <f>IF(Table4[[#This Row],[V ID]]&gt;0,Table4[[#This Row],[V ID]],"")</f>
        <v>V21</v>
      </c>
      <c r="E72" s="100" t="str">
        <f>Table4[[#This Row],[Vulnerabilities]]</f>
        <v>InSecure Configuration for Software/OS on Mobile Devices, Laptops, Workstations, and Servers</v>
      </c>
      <c r="F72" s="160" t="str">
        <f>IF(Table4[[#This Row],[A ID]]&gt;0,Table4[[#This Row],[A ID]],"")</f>
        <v>A01</v>
      </c>
      <c r="G72" s="100" t="str">
        <f>Table4[[#This Row],[Asset]]</f>
        <v>Tablet Resources - web cam, microphone, OTG devices, Removable USB, Tablet Application, Network interfaces (Bluetooth, Wifi)</v>
      </c>
      <c r="H72" s="161" t="str">
        <f>IF(Table4[[#This Row],[Impact Description]]&gt;0,Table4[[#This Row],[Impact Description]],"")</f>
        <v>Information of health data can be exploit and disclose with various means like network, tablet etc.  .</v>
      </c>
      <c r="I72" s="159" t="str">
        <f>IF(Table4[[#This Row],[Safety Impact 
(Risk ID'# or N/A)]]&gt;0,Table4[[#This Row],[Safety Impact 
(Risk ID'# or N/A)]],"")</f>
        <v/>
      </c>
      <c r="J72" s="103" t="str">
        <f>Table4[[#This Row],[Security 
Risk 
Level]]</f>
        <v>LOW</v>
      </c>
      <c r="K72"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105" t="str">
        <f>Table4[[#This Row],[Security Risk LevelP]]</f>
        <v/>
      </c>
      <c r="M72" s="159" t="str">
        <f>IF(Table4[[#This Row],[Residual Security Risk Acceptability Justification]]&gt;0,Table4[[#This Row],[Residual Security Risk Acceptability Justification]],"")</f>
        <v/>
      </c>
    </row>
    <row r="73" spans="1:13" s="30" customFormat="1" ht="42">
      <c r="A73" s="158">
        <f>Table4[[#This Row],[
ID '#]]</f>
        <v>69</v>
      </c>
      <c r="B73" s="157" t="str">
        <f>IF(Table4[[#This Row],[T ID]]&gt;0,Table4[[#This Row],[T ID]],"")</f>
        <v>T08</v>
      </c>
      <c r="C73" s="100" t="str">
        <f>Table4[[#This Row],[Threat Event(s)]]</f>
        <v>Information disclosure
(STR(I)DE)</v>
      </c>
      <c r="D73" s="159" t="str">
        <f>IF(Table4[[#This Row],[V ID]]&gt;0,Table4[[#This Row],[V ID]],"")</f>
        <v>V14</v>
      </c>
      <c r="E73" s="100" t="str">
        <f>Table4[[#This Row],[Vulnerabilities]]</f>
        <v>Unencrypted Network segment through out the information flow</v>
      </c>
      <c r="F73" s="160" t="str">
        <f>IF(Table4[[#This Row],[A ID]]&gt;0,Table4[[#This Row],[A ID]],"")</f>
        <v>A10</v>
      </c>
      <c r="G73" s="100" t="str">
        <f>Table4[[#This Row],[Asset]]</f>
        <v>Data in Transit</v>
      </c>
      <c r="H73" s="161" t="str">
        <f>IF(Table4[[#This Row],[Impact Description]]&gt;0,Table4[[#This Row],[Impact Description]],"")</f>
        <v>Information of health data can be exploit and disclose with various means like network, tablet etc.  .</v>
      </c>
      <c r="I73" s="159" t="str">
        <f>IF(Table4[[#This Row],[Safety Impact 
(Risk ID'# or N/A)]]&gt;0,Table4[[#This Row],[Safety Impact 
(Risk ID'# or N/A)]],"")</f>
        <v/>
      </c>
      <c r="J73" s="103" t="str">
        <f>Table4[[#This Row],[Security 
Risk 
Level]]</f>
        <v>LOW</v>
      </c>
      <c r="K73" s="15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105" t="str">
        <f>Table4[[#This Row],[Security Risk LevelP]]</f>
        <v/>
      </c>
      <c r="M73" s="159" t="str">
        <f>IF(Table4[[#This Row],[Residual Security Risk Acceptability Justification]]&gt;0,Table4[[#This Row],[Residual Security Risk Acceptability Justification]],"")</f>
        <v/>
      </c>
    </row>
    <row r="74" spans="1:13" s="30" customFormat="1" ht="42">
      <c r="A74" s="158">
        <f>Table4[[#This Row],[
ID '#]]</f>
        <v>70</v>
      </c>
      <c r="B74" s="157" t="str">
        <f>IF(Table4[[#This Row],[T ID]]&gt;0,Table4[[#This Row],[T ID]],"")</f>
        <v>T08</v>
      </c>
      <c r="C74" s="100" t="str">
        <f>Table4[[#This Row],[Threat Event(s)]]</f>
        <v>Information disclosure
(STR(I)DE)</v>
      </c>
      <c r="D74" s="159" t="str">
        <f>IF(Table4[[#This Row],[V ID]]&gt;0,Table4[[#This Row],[V ID]],"")</f>
        <v>V05</v>
      </c>
      <c r="E74" s="100" t="str">
        <f>Table4[[#This Row],[Vulnerabilities]]</f>
        <v>Insecure communications in networks (hospital)</v>
      </c>
      <c r="F74" s="160" t="str">
        <f>IF(Table4[[#This Row],[A ID]]&gt;0,Table4[[#This Row],[A ID]],"")</f>
        <v>A10</v>
      </c>
      <c r="G74" s="100" t="str">
        <f>Table4[[#This Row],[Asset]]</f>
        <v>Data in Transit</v>
      </c>
      <c r="H74" s="161" t="str">
        <f>IF(Table4[[#This Row],[Impact Description]]&gt;0,Table4[[#This Row],[Impact Description]],"")</f>
        <v>Information of health data can be exploit and disclose with various means like network, tablet etc.  .</v>
      </c>
      <c r="I74" s="159" t="str">
        <f>IF(Table4[[#This Row],[Safety Impact 
(Risk ID'# or N/A)]]&gt;0,Table4[[#This Row],[Safety Impact 
(Risk ID'# or N/A)]],"")</f>
        <v/>
      </c>
      <c r="J74" s="103" t="str">
        <f>Table4[[#This Row],[Security 
Risk 
Level]]</f>
        <v>LOW</v>
      </c>
      <c r="K74" s="15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105" t="str">
        <f>Table4[[#This Row],[Security Risk LevelP]]</f>
        <v/>
      </c>
      <c r="M74" s="159" t="str">
        <f>IF(Table4[[#This Row],[Residual Security Risk Acceptability Justification]]&gt;0,Table4[[#This Row],[Residual Security Risk Acceptability Justification]],"")</f>
        <v/>
      </c>
    </row>
    <row r="75" spans="1:13" s="30" customFormat="1" ht="70">
      <c r="A75" s="158">
        <f>Table4[[#This Row],[
ID '#]]</f>
        <v>71</v>
      </c>
      <c r="B75" s="157" t="str">
        <f>IF(Table4[[#This Row],[T ID]]&gt;0,Table4[[#This Row],[T ID]],"")</f>
        <v>T09</v>
      </c>
      <c r="C75" s="100" t="str">
        <f>Table4[[#This Row],[Threat Event(s)]]</f>
        <v>Data Access
(STR[I]DE)</v>
      </c>
      <c r="D75" s="159" t="str">
        <f>IF(Table4[[#This Row],[V ID]]&gt;0,Table4[[#This Row],[V ID]],"")</f>
        <v>V12</v>
      </c>
      <c r="E75" s="100" t="str">
        <f>Table4[[#This Row],[Vulnerabilities]]</f>
        <v>Unprotected network port(s) on network devices and connection points</v>
      </c>
      <c r="F75" s="160" t="str">
        <f>IF(Table4[[#This Row],[A ID]]&gt;0,Table4[[#This Row],[A ID]],"")</f>
        <v>A01</v>
      </c>
      <c r="G75" s="100" t="str">
        <f>Table4[[#This Row],[Asset]]</f>
        <v>Tablet Resources - web cam, microphone, OTG devices, Removable USB, Tablet Application, Network interfaces (Bluetooth, Wifi)</v>
      </c>
      <c r="H75" s="161" t="str">
        <f>IF(Table4[[#This Row],[Impact Description]]&gt;0,Table4[[#This Row],[Impact Description]],"")</f>
        <v>1) Allowing application or script to perform abnormal activites on the system.
2) Modifying the data, tampering the confidential data making it unavailable or challenging the integrity of data.</v>
      </c>
      <c r="I75" s="159" t="str">
        <f>IF(Table4[[#This Row],[Safety Impact 
(Risk ID'# or N/A)]]&gt;0,Table4[[#This Row],[Safety Impact 
(Risk ID'# or N/A)]],"")</f>
        <v/>
      </c>
      <c r="J75" s="103" t="str">
        <f>Table4[[#This Row],[Security 
Risk 
Level]]</f>
        <v>LOW</v>
      </c>
      <c r="K75"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105" t="str">
        <f>Table4[[#This Row],[Security Risk LevelP]]</f>
        <v/>
      </c>
      <c r="M75" s="159" t="str">
        <f>IF(Table4[[#This Row],[Residual Security Risk Acceptability Justification]]&gt;0,Table4[[#This Row],[Residual Security Risk Acceptability Justification]],"")</f>
        <v/>
      </c>
    </row>
    <row r="76" spans="1:13" s="30" customFormat="1" ht="70">
      <c r="A76" s="158">
        <f>Table4[[#This Row],[
ID '#]]</f>
        <v>72</v>
      </c>
      <c r="B76" s="157" t="str">
        <f>IF(Table4[[#This Row],[T ID]]&gt;0,Table4[[#This Row],[T ID]],"")</f>
        <v>T09</v>
      </c>
      <c r="C76" s="100" t="str">
        <f>Table4[[#This Row],[Threat Event(s)]]</f>
        <v>Data Access
(STR[I]DE)</v>
      </c>
      <c r="D76" s="159" t="str">
        <f>IF(Table4[[#This Row],[V ID]]&gt;0,Table4[[#This Row],[V ID]],"")</f>
        <v>V12</v>
      </c>
      <c r="E76" s="100" t="str">
        <f>Table4[[#This Row],[Vulnerabilities]]</f>
        <v>Unprotected network port(s) on network devices and connection points</v>
      </c>
      <c r="F76" s="160" t="str">
        <f>IF(Table4[[#This Row],[A ID]]&gt;0,Table4[[#This Row],[A ID]],"")</f>
        <v>A02</v>
      </c>
      <c r="G76" s="100" t="str">
        <f>Table4[[#This Row],[Asset]]</f>
        <v>Tablet OS/network details &amp; Tablet Application</v>
      </c>
      <c r="H76" s="161" t="str">
        <f>IF(Table4[[#This Row],[Impact Description]]&gt;0,Table4[[#This Row],[Impact Description]],"")</f>
        <v>1) Allowing application or script to perform abnormal activites on the system.
2) Modifying the data, tampering the confidential data making it unavailable or challenging the integrity of data.</v>
      </c>
      <c r="I76" s="159" t="str">
        <f>IF(Table4[[#This Row],[Safety Impact 
(Risk ID'# or N/A)]]&gt;0,Table4[[#This Row],[Safety Impact 
(Risk ID'# or N/A)]],"")</f>
        <v/>
      </c>
      <c r="J76" s="103" t="str">
        <f>Table4[[#This Row],[Security 
Risk 
Level]]</f>
        <v>LOW</v>
      </c>
      <c r="K76" s="15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105" t="str">
        <f>Table4[[#This Row],[Security Risk LevelP]]</f>
        <v/>
      </c>
      <c r="M76" s="159" t="str">
        <f>IF(Table4[[#This Row],[Residual Security Risk Acceptability Justification]]&gt;0,Table4[[#This Row],[Residual Security Risk Acceptability Justification]],"")</f>
        <v/>
      </c>
    </row>
    <row r="77" spans="1:13" s="30" customFormat="1" ht="14">
      <c r="A77" s="158"/>
      <c r="B77" s="159"/>
      <c r="C77" s="100"/>
      <c r="D77" s="159"/>
      <c r="E77" s="100"/>
      <c r="F77" s="160"/>
      <c r="G77" s="100"/>
      <c r="H77" s="161"/>
      <c r="I77" s="159"/>
      <c r="J77" s="103"/>
      <c r="K77" s="159"/>
      <c r="L77" s="105"/>
      <c r="M77" s="159"/>
    </row>
    <row r="78" spans="1:13" s="30" customFormat="1" ht="14">
      <c r="A78" s="158"/>
      <c r="B78" s="159"/>
      <c r="C78" s="100"/>
      <c r="D78" s="159"/>
      <c r="E78" s="100"/>
      <c r="F78" s="160"/>
      <c r="G78" s="100"/>
      <c r="H78" s="161"/>
      <c r="I78" s="159"/>
      <c r="J78" s="103"/>
      <c r="K78" s="159"/>
      <c r="L78" s="105"/>
      <c r="M78" s="159"/>
    </row>
    <row r="79" spans="1:13" s="30" customFormat="1" ht="14">
      <c r="A79" s="158"/>
      <c r="B79" s="159"/>
      <c r="C79" s="100"/>
      <c r="D79" s="159"/>
      <c r="E79" s="100"/>
      <c r="F79" s="160"/>
      <c r="G79" s="100"/>
      <c r="H79" s="161"/>
      <c r="I79" s="159"/>
      <c r="J79" s="103"/>
      <c r="K79" s="159"/>
      <c r="L79" s="105"/>
      <c r="M79" s="159"/>
    </row>
    <row r="80" spans="1:13" s="30" customFormat="1" ht="14">
      <c r="A80" s="158"/>
      <c r="B80" s="159"/>
      <c r="C80" s="100"/>
      <c r="D80" s="159"/>
      <c r="E80" s="100"/>
      <c r="F80" s="160"/>
      <c r="G80" s="100"/>
      <c r="H80" s="161"/>
      <c r="I80" s="159"/>
      <c r="J80" s="103"/>
      <c r="K80" s="159"/>
      <c r="L80" s="105"/>
      <c r="M80" s="159"/>
    </row>
    <row r="81" spans="1:13" s="30" customFormat="1" ht="14">
      <c r="A81" s="158"/>
      <c r="B81" s="159"/>
      <c r="C81" s="100"/>
      <c r="D81" s="159"/>
      <c r="E81" s="100"/>
      <c r="F81" s="160"/>
      <c r="G81" s="100"/>
      <c r="H81" s="161"/>
      <c r="I81" s="159"/>
      <c r="J81" s="103"/>
      <c r="K81" s="159"/>
      <c r="L81" s="105"/>
      <c r="M81" s="159"/>
    </row>
    <row r="82" spans="1:13" s="30" customFormat="1" ht="14">
      <c r="A82" s="158"/>
      <c r="B82" s="159"/>
      <c r="C82" s="100"/>
      <c r="D82" s="159"/>
      <c r="E82" s="100"/>
      <c r="F82" s="160"/>
      <c r="G82" s="100"/>
      <c r="H82" s="161"/>
      <c r="I82" s="159"/>
      <c r="J82" s="103"/>
      <c r="K82" s="159"/>
      <c r="L82" s="105"/>
      <c r="M82" s="159"/>
    </row>
    <row r="83" spans="1:13" s="30" customFormat="1" ht="14">
      <c r="A83" s="158"/>
      <c r="B83" s="159"/>
      <c r="C83" s="100"/>
      <c r="D83" s="159"/>
      <c r="E83" s="100"/>
      <c r="F83" s="160"/>
      <c r="G83" s="100"/>
      <c r="H83" s="161"/>
      <c r="I83" s="159"/>
      <c r="J83" s="103"/>
      <c r="K83" s="159"/>
      <c r="L83" s="105"/>
      <c r="M83" s="159"/>
    </row>
    <row r="84" spans="1:13" s="30" customFormat="1" ht="14">
      <c r="A84" s="53"/>
      <c r="B84" s="157"/>
      <c r="C84" s="21"/>
      <c r="D84" s="40"/>
      <c r="E84" s="21"/>
      <c r="F84" s="40"/>
      <c r="G84" s="21"/>
      <c r="H84" s="21"/>
      <c r="I84" s="40"/>
      <c r="J84" s="98"/>
      <c r="K84" s="40"/>
      <c r="L84" s="95"/>
      <c r="M84" s="40"/>
    </row>
    <row r="85" spans="1:13" s="30" customFormat="1">
      <c r="E85" s="62"/>
    </row>
    <row r="86" spans="1:13" s="30" customFormat="1">
      <c r="A86" s="142"/>
      <c r="B86" s="142"/>
      <c r="C86" s="143"/>
      <c r="D86" s="142"/>
      <c r="E86" s="144"/>
      <c r="F86" s="142"/>
      <c r="G86" s="142"/>
    </row>
    <row r="87" spans="1:13" s="30" customFormat="1" ht="14">
      <c r="A87" s="26" t="s">
        <v>58</v>
      </c>
      <c r="C87" s="49"/>
      <c r="E87" s="3"/>
    </row>
    <row r="88" spans="1:13" s="30" customFormat="1" ht="32.25" customHeight="1">
      <c r="B88" s="284" t="s">
        <v>59</v>
      </c>
      <c r="C88" s="284"/>
      <c r="D88" s="284"/>
      <c r="E88" s="284"/>
      <c r="F88" s="284"/>
      <c r="G88" s="284"/>
      <c r="H88" s="284"/>
    </row>
    <row r="89" spans="1:13" s="30" customFormat="1">
      <c r="A89" s="142"/>
      <c r="B89" s="142"/>
      <c r="C89" s="143"/>
      <c r="D89" s="142"/>
      <c r="E89" s="144"/>
      <c r="F89" s="142"/>
      <c r="G89" s="142"/>
    </row>
    <row r="90" spans="1:13" s="30" customFormat="1">
      <c r="A90" s="142"/>
      <c r="B90" s="142"/>
      <c r="C90" s="143"/>
      <c r="D90" s="142"/>
      <c r="E90" s="144"/>
      <c r="F90" s="142"/>
      <c r="G90" s="142"/>
    </row>
    <row r="91" spans="1:13" s="30" customFormat="1">
      <c r="A91" s="142"/>
      <c r="B91" s="142"/>
      <c r="C91" s="143"/>
      <c r="D91" s="142"/>
      <c r="E91" s="144"/>
      <c r="F91" s="142"/>
      <c r="G91" s="142"/>
    </row>
    <row r="92" spans="1:13" s="30" customFormat="1" ht="32.25" customHeight="1">
      <c r="A92" s="142"/>
      <c r="B92" s="142"/>
      <c r="C92" s="143"/>
      <c r="D92" s="142"/>
      <c r="E92" s="144"/>
      <c r="F92" s="142"/>
      <c r="G92" s="142"/>
      <c r="H92" s="27"/>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5" customFormat="1" ht="27.75" customHeight="1">
      <c r="B1" s="162" t="s">
        <v>294</v>
      </c>
    </row>
    <row r="2" spans="2:18" s="65" customFormat="1" ht="14"/>
    <row r="3" spans="2:18" s="65" customFormat="1" ht="17.5">
      <c r="B3" s="289" t="s">
        <v>295</v>
      </c>
      <c r="C3" s="289"/>
      <c r="D3" s="289"/>
      <c r="E3" s="289"/>
      <c r="F3" s="289"/>
      <c r="G3" s="289"/>
      <c r="H3" s="289"/>
      <c r="I3" s="289"/>
      <c r="J3" s="289"/>
      <c r="K3" s="289"/>
      <c r="L3" s="289"/>
      <c r="M3" s="289"/>
      <c r="N3" s="289"/>
      <c r="P3" s="289" t="s">
        <v>296</v>
      </c>
      <c r="Q3" s="289"/>
      <c r="R3" s="289"/>
    </row>
    <row r="4" spans="2:18" s="65" customFormat="1" ht="15">
      <c r="B4" s="290" t="s">
        <v>207</v>
      </c>
      <c r="C4" s="290"/>
      <c r="D4" s="290"/>
      <c r="E4" s="290" t="s">
        <v>208</v>
      </c>
      <c r="F4" s="290"/>
      <c r="G4" s="290"/>
      <c r="H4" s="290" t="s">
        <v>297</v>
      </c>
      <c r="I4" s="290"/>
      <c r="J4" s="290"/>
      <c r="K4" s="290"/>
      <c r="L4" s="291" t="s">
        <v>210</v>
      </c>
      <c r="M4" s="291"/>
      <c r="N4" s="291"/>
      <c r="P4" s="164"/>
      <c r="Q4" s="165" t="s">
        <v>298</v>
      </c>
      <c r="R4" s="166" t="s">
        <v>299</v>
      </c>
    </row>
    <row r="5" spans="2:18" s="65" customFormat="1" ht="15">
      <c r="B5" s="167" t="s">
        <v>300</v>
      </c>
      <c r="C5" s="167" t="s">
        <v>301</v>
      </c>
      <c r="D5" s="167" t="s">
        <v>302</v>
      </c>
      <c r="E5" s="167" t="s">
        <v>303</v>
      </c>
      <c r="F5" s="167" t="s">
        <v>301</v>
      </c>
      <c r="G5" s="167" t="s">
        <v>302</v>
      </c>
      <c r="H5" s="167" t="s">
        <v>300</v>
      </c>
      <c r="I5" s="294" t="s">
        <v>301</v>
      </c>
      <c r="J5" s="294"/>
      <c r="K5" s="167" t="s">
        <v>302</v>
      </c>
      <c r="L5" s="167" t="s">
        <v>300</v>
      </c>
      <c r="M5" s="167" t="s">
        <v>301</v>
      </c>
      <c r="N5" s="167" t="s">
        <v>302</v>
      </c>
      <c r="P5" s="168"/>
      <c r="Q5" s="169" t="s">
        <v>304</v>
      </c>
      <c r="R5" s="170">
        <v>0.04</v>
      </c>
    </row>
    <row r="6" spans="2:18" s="65" customFormat="1" ht="15">
      <c r="B6" s="171" t="s">
        <v>244</v>
      </c>
      <c r="C6" s="172">
        <v>0.85</v>
      </c>
      <c r="D6" s="64" t="s">
        <v>305</v>
      </c>
      <c r="E6" s="171" t="s">
        <v>239</v>
      </c>
      <c r="F6" s="172">
        <v>0.77</v>
      </c>
      <c r="G6" s="173" t="s">
        <v>306</v>
      </c>
      <c r="H6" s="171" t="s">
        <v>243</v>
      </c>
      <c r="I6" s="174">
        <v>0.85</v>
      </c>
      <c r="J6" s="175">
        <v>0.85</v>
      </c>
      <c r="K6" s="64" t="s">
        <v>305</v>
      </c>
      <c r="L6" s="171" t="s">
        <v>243</v>
      </c>
      <c r="M6" s="176">
        <v>0.85</v>
      </c>
      <c r="N6" s="177" t="s">
        <v>305</v>
      </c>
      <c r="P6" s="168"/>
      <c r="Q6" s="178" t="s">
        <v>239</v>
      </c>
      <c r="R6" s="179">
        <v>0.2</v>
      </c>
    </row>
    <row r="7" spans="2:18" s="65" customFormat="1" ht="15">
      <c r="B7" s="171" t="s">
        <v>278</v>
      </c>
      <c r="C7" s="180">
        <v>0.62</v>
      </c>
      <c r="D7" s="64" t="s">
        <v>307</v>
      </c>
      <c r="E7" s="171" t="s">
        <v>248</v>
      </c>
      <c r="F7" s="180">
        <v>0.44</v>
      </c>
      <c r="G7" s="173" t="s">
        <v>308</v>
      </c>
      <c r="H7" s="171" t="s">
        <v>239</v>
      </c>
      <c r="I7" s="181">
        <v>0.62</v>
      </c>
      <c r="J7" s="175">
        <v>0.68</v>
      </c>
      <c r="K7" s="64" t="s">
        <v>306</v>
      </c>
      <c r="L7" s="171" t="s">
        <v>241</v>
      </c>
      <c r="M7" s="182">
        <v>0.62</v>
      </c>
      <c r="N7" s="177" t="s">
        <v>309</v>
      </c>
      <c r="P7" s="168"/>
      <c r="Q7" s="183" t="s">
        <v>249</v>
      </c>
      <c r="R7" s="179">
        <v>0.5</v>
      </c>
    </row>
    <row r="8" spans="2:18" s="65" customFormat="1" ht="15">
      <c r="B8" s="171" t="s">
        <v>247</v>
      </c>
      <c r="C8" s="180">
        <v>0.55000000000000004</v>
      </c>
      <c r="D8" s="64" t="s">
        <v>306</v>
      </c>
      <c r="E8" s="171"/>
      <c r="F8" s="180"/>
      <c r="G8" s="64"/>
      <c r="H8" s="171" t="s">
        <v>248</v>
      </c>
      <c r="I8" s="181">
        <v>0.27</v>
      </c>
      <c r="J8" s="175">
        <v>0.5</v>
      </c>
      <c r="K8" s="64" t="s">
        <v>308</v>
      </c>
      <c r="L8" s="171"/>
      <c r="M8" s="175"/>
      <c r="N8" s="177"/>
      <c r="P8" s="168"/>
      <c r="Q8" s="184" t="s">
        <v>248</v>
      </c>
      <c r="R8" s="179">
        <v>0.8</v>
      </c>
    </row>
    <row r="9" spans="2:18" s="65" customFormat="1" ht="15">
      <c r="B9" s="171" t="s">
        <v>240</v>
      </c>
      <c r="C9" s="180">
        <v>0.2</v>
      </c>
      <c r="D9" s="177" t="s">
        <v>310</v>
      </c>
      <c r="E9" s="185"/>
      <c r="F9" s="186"/>
      <c r="G9" s="187"/>
      <c r="H9" s="171"/>
      <c r="I9" s="181"/>
      <c r="J9" s="175"/>
      <c r="K9" s="177"/>
      <c r="L9" s="171"/>
      <c r="M9" s="175"/>
      <c r="N9" s="177"/>
      <c r="P9" s="168"/>
      <c r="Q9" s="188" t="s">
        <v>311</v>
      </c>
      <c r="R9" s="179">
        <v>1</v>
      </c>
    </row>
    <row r="10" spans="2:18" s="65" customFormat="1" ht="15">
      <c r="B10" s="189"/>
      <c r="C10" s="190"/>
      <c r="D10" s="191"/>
      <c r="E10" s="192"/>
      <c r="F10" s="193"/>
      <c r="G10" s="194"/>
      <c r="H10" s="189"/>
      <c r="I10" s="195"/>
      <c r="J10" s="196"/>
      <c r="K10" s="191"/>
      <c r="L10" s="189"/>
      <c r="M10" s="196"/>
      <c r="N10" s="191"/>
      <c r="P10" s="163"/>
      <c r="R10" s="179"/>
    </row>
    <row r="11" spans="2:18" s="65" customFormat="1" ht="14"/>
    <row r="12" spans="2:18" s="65" customFormat="1" ht="17.5">
      <c r="B12" s="289" t="s">
        <v>312</v>
      </c>
      <c r="C12" s="289"/>
      <c r="D12" s="289"/>
      <c r="E12" s="289"/>
      <c r="F12" s="289"/>
      <c r="G12" s="289"/>
      <c r="H12" s="289"/>
      <c r="I12" s="289"/>
      <c r="J12" s="289"/>
      <c r="K12" s="289"/>
      <c r="L12" s="289"/>
      <c r="M12" s="289"/>
      <c r="N12" s="289"/>
      <c r="P12" s="197" t="s">
        <v>313</v>
      </c>
      <c r="Q12" s="198" t="s">
        <v>68</v>
      </c>
    </row>
    <row r="13" spans="2:18" s="65" customFormat="1" ht="15">
      <c r="B13" s="295" t="s">
        <v>314</v>
      </c>
      <c r="C13" s="295"/>
      <c r="D13" s="295"/>
      <c r="E13" s="295"/>
      <c r="F13" s="295"/>
      <c r="G13" s="295"/>
      <c r="H13" s="295"/>
      <c r="I13" s="295"/>
      <c r="J13" s="295"/>
      <c r="K13" s="295"/>
      <c r="L13" s="295"/>
      <c r="M13" s="295"/>
      <c r="N13" s="295"/>
      <c r="P13" s="171"/>
      <c r="Q13" s="175" t="s">
        <v>315</v>
      </c>
    </row>
    <row r="14" spans="2:18" s="65" customFormat="1" ht="14">
      <c r="B14" s="167" t="s">
        <v>300</v>
      </c>
      <c r="C14" s="167" t="s">
        <v>301</v>
      </c>
      <c r="D14" s="167" t="s">
        <v>302</v>
      </c>
      <c r="E14" s="199"/>
      <c r="F14" s="199"/>
      <c r="G14" s="199"/>
      <c r="H14" s="199"/>
      <c r="I14" s="199"/>
      <c r="J14" s="199"/>
      <c r="K14" s="199"/>
      <c r="L14" s="199"/>
      <c r="M14" s="199"/>
      <c r="N14" s="198"/>
      <c r="P14" s="189"/>
      <c r="Q14" s="196"/>
    </row>
    <row r="15" spans="2:18" s="65" customFormat="1" ht="16">
      <c r="B15" s="200" t="s">
        <v>243</v>
      </c>
      <c r="C15" s="172">
        <v>0</v>
      </c>
      <c r="D15" s="201" t="s">
        <v>305</v>
      </c>
      <c r="E15" s="202" t="s">
        <v>316</v>
      </c>
      <c r="F15" s="186"/>
      <c r="G15" s="186"/>
      <c r="H15" s="186"/>
      <c r="J15" s="186"/>
      <c r="K15" s="186"/>
      <c r="L15" s="186"/>
      <c r="M15" s="186"/>
      <c r="N15" s="175"/>
    </row>
    <row r="16" spans="2:18" s="65" customFormat="1" ht="14">
      <c r="B16" s="185" t="s">
        <v>239</v>
      </c>
      <c r="C16" s="180">
        <v>0.22</v>
      </c>
      <c r="D16" s="203" t="s">
        <v>306</v>
      </c>
      <c r="E16" s="186"/>
      <c r="F16" s="186"/>
      <c r="G16" s="186"/>
      <c r="H16" s="186"/>
      <c r="I16" s="186"/>
      <c r="J16" s="186"/>
      <c r="K16" s="186"/>
      <c r="L16" s="186"/>
      <c r="M16" s="186"/>
      <c r="N16" s="175"/>
    </row>
    <row r="17" spans="2:17" s="65" customFormat="1" ht="14">
      <c r="B17" s="185" t="s">
        <v>248</v>
      </c>
      <c r="C17" s="180">
        <v>0.56000000000000005</v>
      </c>
      <c r="D17" s="203" t="s">
        <v>308</v>
      </c>
      <c r="E17" s="186"/>
      <c r="F17" s="186"/>
      <c r="G17" s="186"/>
      <c r="H17" s="186"/>
      <c r="I17" s="186"/>
      <c r="J17" s="186"/>
      <c r="K17" s="186"/>
      <c r="L17" s="186"/>
      <c r="M17" s="186"/>
      <c r="N17" s="175"/>
    </row>
    <row r="18" spans="2:17" s="65" customFormat="1" ht="14">
      <c r="B18" s="192"/>
      <c r="C18" s="190"/>
      <c r="D18" s="204"/>
      <c r="E18" s="193"/>
      <c r="F18" s="193"/>
      <c r="G18" s="193"/>
      <c r="H18" s="193"/>
      <c r="I18" s="193"/>
      <c r="J18" s="193"/>
      <c r="K18" s="193"/>
      <c r="L18" s="193"/>
      <c r="M18" s="193"/>
      <c r="N18" s="196"/>
    </row>
    <row r="19" spans="2:17" s="65" customFormat="1" ht="14"/>
    <row r="20" spans="2:17" s="65" customFormat="1" ht="17.5">
      <c r="B20" s="289" t="s">
        <v>211</v>
      </c>
      <c r="C20" s="289"/>
      <c r="D20" s="289"/>
      <c r="E20" s="289"/>
      <c r="F20" s="289"/>
      <c r="G20" s="289"/>
      <c r="H20" s="289"/>
      <c r="I20" s="289"/>
      <c r="J20" s="289"/>
      <c r="K20" s="289"/>
      <c r="L20" s="289"/>
      <c r="M20" s="289"/>
      <c r="N20" s="289"/>
    </row>
    <row r="21" spans="2:17" s="65" customFormat="1" ht="42.75" customHeight="1">
      <c r="B21" s="205" t="s">
        <v>242</v>
      </c>
      <c r="C21" s="296" t="s">
        <v>317</v>
      </c>
      <c r="D21" s="296"/>
      <c r="E21" s="296"/>
      <c r="F21" s="296"/>
      <c r="G21" s="296"/>
      <c r="H21" s="296"/>
      <c r="I21" s="296"/>
      <c r="J21" s="296"/>
      <c r="K21" s="296"/>
      <c r="L21" s="296"/>
      <c r="M21" s="296"/>
      <c r="N21" s="206" t="s">
        <v>318</v>
      </c>
    </row>
    <row r="22" spans="2:17" s="65" customFormat="1" ht="44" customHeight="1">
      <c r="B22" s="207" t="s">
        <v>245</v>
      </c>
      <c r="C22" s="292" t="s">
        <v>319</v>
      </c>
      <c r="D22" s="292"/>
      <c r="E22" s="292"/>
      <c r="F22" s="292"/>
      <c r="G22" s="292"/>
      <c r="H22" s="292"/>
      <c r="I22" s="292"/>
      <c r="J22" s="292"/>
      <c r="K22" s="292"/>
      <c r="L22" s="292"/>
      <c r="M22" s="292"/>
      <c r="N22" s="208" t="s">
        <v>320</v>
      </c>
      <c r="O22" s="209"/>
      <c r="P22" s="209"/>
      <c r="Q22" s="209"/>
    </row>
    <row r="23" spans="2:17" s="65" customFormat="1" ht="15">
      <c r="B23" s="207"/>
      <c r="C23" s="292"/>
      <c r="D23" s="292"/>
      <c r="E23" s="292"/>
      <c r="F23" s="292"/>
      <c r="G23" s="292"/>
      <c r="H23" s="292"/>
      <c r="I23" s="292"/>
      <c r="J23" s="292"/>
      <c r="K23" s="292"/>
      <c r="L23" s="292"/>
      <c r="M23" s="292"/>
      <c r="N23" s="208"/>
    </row>
    <row r="24" spans="2:17" s="65" customFormat="1" ht="14"/>
    <row r="25" spans="2:17" s="65" customFormat="1" ht="14">
      <c r="B25" s="65" t="s">
        <v>321</v>
      </c>
    </row>
    <row r="26" spans="2:17" s="65" customFormat="1" ht="262.5" customHeight="1">
      <c r="B26" s="30" t="s">
        <v>322</v>
      </c>
      <c r="C26" s="293" t="s">
        <v>323</v>
      </c>
      <c r="D26" s="293"/>
      <c r="E26" s="293"/>
      <c r="F26" s="293"/>
      <c r="G26" s="293"/>
      <c r="H26" s="293"/>
      <c r="I26" s="293"/>
      <c r="J26" s="293"/>
    </row>
    <row r="29" spans="2:17">
      <c r="B29" s="26" t="s">
        <v>58</v>
      </c>
    </row>
    <row r="30" spans="2:17" ht="48" customHeight="1">
      <c r="C30" s="284" t="s">
        <v>59</v>
      </c>
      <c r="D30" s="284"/>
      <c r="E30" s="284"/>
      <c r="F30" s="284"/>
      <c r="G30" s="284"/>
      <c r="H30" s="284"/>
      <c r="I30" s="284"/>
    </row>
  </sheetData>
  <mergeCells count="15">
    <mergeCell ref="C22:M22"/>
    <mergeCell ref="C23:M23"/>
    <mergeCell ref="C26:J26"/>
    <mergeCell ref="C30:I30"/>
    <mergeCell ref="I5:J5"/>
    <mergeCell ref="B12:N12"/>
    <mergeCell ref="B13:N13"/>
    <mergeCell ref="B20:N20"/>
    <mergeCell ref="C21:M21"/>
    <mergeCell ref="B3:N3"/>
    <mergeCell ref="P3:R3"/>
    <mergeCell ref="B4:D4"/>
    <mergeCell ref="E4:G4"/>
    <mergeCell ref="H4:K4"/>
    <mergeCell ref="L4:N4"/>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1796875" defaultRowHeight="14.5"/>
  <cols>
    <col min="1" max="1" width="7.1796875" style="142" customWidth="1"/>
    <col min="2" max="2" width="34.81640625" style="142" customWidth="1"/>
    <col min="3" max="3" width="15.81640625" style="143" customWidth="1"/>
    <col min="4" max="4" width="2.81640625" style="142" customWidth="1"/>
    <col min="5" max="5" width="9.1796875" style="142"/>
    <col min="6" max="6" width="44.81640625" style="142" customWidth="1"/>
    <col min="7" max="7" width="15.81640625" style="142" customWidth="1"/>
    <col min="8" max="1024" width="9.1796875" style="142"/>
  </cols>
  <sheetData>
    <row r="1" spans="1:8" s="30" customFormat="1" ht="14">
      <c r="A1" s="162" t="s">
        <v>324</v>
      </c>
      <c r="C1" s="49"/>
    </row>
    <row r="2" spans="1:8" s="30" customFormat="1" ht="14">
      <c r="C2" s="49"/>
    </row>
    <row r="3" spans="1:8" s="30" customFormat="1" ht="14.5" customHeight="1">
      <c r="A3" s="297" t="s">
        <v>325</v>
      </c>
      <c r="B3" s="297"/>
      <c r="C3" s="297"/>
      <c r="E3" s="298" t="s">
        <v>326</v>
      </c>
      <c r="F3" s="298"/>
      <c r="G3" s="298"/>
    </row>
    <row r="4" spans="1:8" s="30" customFormat="1" ht="14">
      <c r="A4" s="210" t="s">
        <v>327</v>
      </c>
      <c r="B4" s="211" t="s">
        <v>143</v>
      </c>
      <c r="C4" s="212" t="s">
        <v>328</v>
      </c>
      <c r="E4" s="213" t="s">
        <v>327</v>
      </c>
      <c r="F4" s="214" t="s">
        <v>329</v>
      </c>
      <c r="G4" s="215" t="s">
        <v>328</v>
      </c>
    </row>
    <row r="5" spans="1:8" s="30" customFormat="1" ht="42">
      <c r="A5" s="216" t="s">
        <v>330</v>
      </c>
      <c r="B5" s="6" t="s">
        <v>331</v>
      </c>
      <c r="C5" s="217" t="s">
        <v>332</v>
      </c>
      <c r="E5" s="216" t="s">
        <v>333</v>
      </c>
      <c r="F5" s="218" t="s">
        <v>334</v>
      </c>
      <c r="G5" s="219" t="s">
        <v>332</v>
      </c>
    </row>
    <row r="6" spans="1:8" s="30" customFormat="1" ht="28">
      <c r="A6" s="14" t="s">
        <v>335</v>
      </c>
      <c r="B6" s="6" t="s">
        <v>336</v>
      </c>
      <c r="C6" s="217" t="s">
        <v>332</v>
      </c>
      <c r="E6" s="14" t="s">
        <v>337</v>
      </c>
      <c r="F6" s="218" t="s">
        <v>338</v>
      </c>
      <c r="G6" s="220" t="s">
        <v>332</v>
      </c>
    </row>
    <row r="7" spans="1:8" s="30" customFormat="1" ht="28">
      <c r="A7" s="14" t="s">
        <v>339</v>
      </c>
      <c r="B7" s="6" t="s">
        <v>340</v>
      </c>
      <c r="C7" s="217" t="s">
        <v>332</v>
      </c>
      <c r="E7" s="14" t="s">
        <v>341</v>
      </c>
      <c r="F7" s="218" t="s">
        <v>342</v>
      </c>
      <c r="G7" s="220" t="s">
        <v>332</v>
      </c>
    </row>
    <row r="8" spans="1:8" s="30" customFormat="1" ht="28">
      <c r="A8" s="221" t="s">
        <v>343</v>
      </c>
      <c r="B8" s="222" t="s">
        <v>344</v>
      </c>
      <c r="C8" s="217" t="s">
        <v>305</v>
      </c>
      <c r="E8" s="14" t="s">
        <v>345</v>
      </c>
      <c r="F8" s="218" t="s">
        <v>346</v>
      </c>
      <c r="G8" s="220" t="s">
        <v>332</v>
      </c>
    </row>
    <row r="9" spans="1:8" s="30" customFormat="1" ht="28">
      <c r="A9" s="221" t="s">
        <v>347</v>
      </c>
      <c r="B9" s="222" t="s">
        <v>348</v>
      </c>
      <c r="C9" s="217" t="s">
        <v>305</v>
      </c>
      <c r="E9" s="14" t="s">
        <v>349</v>
      </c>
      <c r="F9" s="218" t="s">
        <v>350</v>
      </c>
      <c r="G9" s="220" t="s">
        <v>332</v>
      </c>
    </row>
    <row r="10" spans="1:8" s="30" customFormat="1" ht="42">
      <c r="A10" s="223" t="s">
        <v>351</v>
      </c>
      <c r="B10" s="224" t="s">
        <v>352</v>
      </c>
      <c r="C10" s="225" t="s">
        <v>305</v>
      </c>
      <c r="E10" s="226" t="s">
        <v>353</v>
      </c>
      <c r="F10" s="227" t="s">
        <v>354</v>
      </c>
      <c r="G10" s="228" t="s">
        <v>305</v>
      </c>
    </row>
    <row r="11" spans="1:8" s="30" customFormat="1" ht="14">
      <c r="C11" s="49"/>
    </row>
    <row r="12" spans="1:8" s="30" customFormat="1" ht="14">
      <c r="C12" s="49"/>
    </row>
    <row r="13" spans="1:8" s="30" customFormat="1" ht="14">
      <c r="C13" s="49"/>
    </row>
    <row r="14" spans="1:8" s="30" customFormat="1" ht="14">
      <c r="A14" s="26" t="s">
        <v>58</v>
      </c>
      <c r="C14" s="49"/>
    </row>
    <row r="15" spans="1:8" s="30" customFormat="1" ht="32.25" customHeight="1">
      <c r="B15" s="284" t="s">
        <v>59</v>
      </c>
      <c r="C15" s="284"/>
      <c r="D15" s="284"/>
      <c r="E15" s="284"/>
      <c r="F15" s="284"/>
      <c r="G15" s="284"/>
      <c r="H15" s="284"/>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299" t="s">
        <v>355</v>
      </c>
      <c r="B1" s="299"/>
      <c r="C1" s="299"/>
      <c r="D1" s="299"/>
      <c r="E1" s="299"/>
      <c r="F1" s="299"/>
      <c r="G1" s="299"/>
      <c r="H1" s="299"/>
    </row>
    <row r="2" spans="1:8" ht="58">
      <c r="A2" s="229" t="s">
        <v>140</v>
      </c>
      <c r="B2" s="229" t="s">
        <v>141</v>
      </c>
      <c r="C2" s="229" t="s">
        <v>142</v>
      </c>
      <c r="D2" s="230" t="s">
        <v>143</v>
      </c>
      <c r="E2" s="231" t="s">
        <v>356</v>
      </c>
      <c r="F2" s="229" t="s">
        <v>357</v>
      </c>
      <c r="G2" s="229" t="s">
        <v>358</v>
      </c>
      <c r="H2" s="229" t="s">
        <v>359</v>
      </c>
    </row>
    <row r="3" spans="1:8" s="238" customFormat="1" ht="48">
      <c r="A3" s="232" t="s">
        <v>360</v>
      </c>
      <c r="B3" s="233" t="s">
        <v>361</v>
      </c>
      <c r="C3" s="233" t="s">
        <v>362</v>
      </c>
      <c r="D3" s="234" t="s">
        <v>330</v>
      </c>
      <c r="E3" s="235" t="s">
        <v>363</v>
      </c>
      <c r="F3" s="236" t="s">
        <v>304</v>
      </c>
      <c r="G3" s="236" t="s">
        <v>304</v>
      </c>
      <c r="H3" s="237" t="s">
        <v>304</v>
      </c>
    </row>
    <row r="4" spans="1:8">
      <c r="A4" s="239"/>
      <c r="B4" s="239"/>
      <c r="C4" s="239"/>
      <c r="D4" s="239"/>
      <c r="E4" s="240"/>
      <c r="F4" s="239"/>
      <c r="G4" s="239"/>
      <c r="H4" s="239"/>
    </row>
    <row r="5" spans="1:8">
      <c r="A5" s="239"/>
      <c r="B5" s="239"/>
      <c r="C5" s="239"/>
      <c r="D5" s="239"/>
      <c r="E5" s="240"/>
      <c r="F5" s="239"/>
      <c r="G5" s="239"/>
      <c r="H5" s="239"/>
    </row>
    <row r="6" spans="1:8">
      <c r="A6" s="239"/>
      <c r="B6" s="239"/>
      <c r="C6" s="239"/>
      <c r="D6" s="239"/>
      <c r="E6" s="240"/>
      <c r="F6" s="239"/>
      <c r="G6" s="239"/>
      <c r="H6" s="239"/>
    </row>
    <row r="7" spans="1:8">
      <c r="A7" s="239"/>
      <c r="B7" s="239"/>
      <c r="C7" s="239"/>
      <c r="D7" s="239"/>
      <c r="E7" s="240"/>
      <c r="F7" s="239"/>
      <c r="G7" s="239"/>
      <c r="H7" s="239"/>
    </row>
    <row r="8" spans="1:8">
      <c r="A8" s="239"/>
      <c r="B8" s="239"/>
      <c r="C8" s="239"/>
      <c r="D8" s="239"/>
      <c r="E8" s="240"/>
      <c r="F8" s="239"/>
      <c r="G8" s="239"/>
      <c r="H8" s="239"/>
    </row>
    <row r="9" spans="1:8">
      <c r="A9" s="239"/>
      <c r="B9" s="239"/>
      <c r="C9" s="239"/>
      <c r="D9" s="239"/>
      <c r="E9" s="240"/>
      <c r="F9" s="239"/>
      <c r="G9" s="239"/>
      <c r="H9" s="239"/>
    </row>
    <row r="10" spans="1:8">
      <c r="A10" s="239"/>
      <c r="B10" s="239"/>
      <c r="C10" s="239"/>
      <c r="D10" s="239"/>
      <c r="E10" s="240"/>
      <c r="F10" s="239"/>
      <c r="G10" s="239"/>
      <c r="H10" s="239"/>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dc:description/>
  <cp:lastModifiedBy>Sai Praneetha Bhaskaruni</cp:lastModifiedBy>
  <cp:revision>5</cp:revision>
  <cp:lastPrinted>2018-12-18T12:40:04Z</cp:lastPrinted>
  <dcterms:created xsi:type="dcterms:W3CDTF">2017-03-06T20:58:36Z</dcterms:created>
  <dcterms:modified xsi:type="dcterms:W3CDTF">2022-03-25T12:17:03Z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