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Stryker\Smart Medic\psrt\"/>
    </mc:Choice>
  </mc:AlternateContent>
  <xr:revisionPtr revIDLastSave="0" documentId="13_ncr:1_{30553393-8E9D-4F4D-A20A-2624F80EB372}" xr6:coauthVersionLast="47" xr6:coauthVersionMax="47" xr10:uidLastSave="{00000000-0000-0000-0000-000000000000}"/>
  <bookViews>
    <workbookView xWindow="-110" yWindow="-110" windowWidth="19420" windowHeight="10420" tabRatio="500" activeTab="1" xr2:uid="{00000000-000D-0000-FFFF-FFFF00000000}"/>
  </bookViews>
  <sheets>
    <sheet name="System &amp; Asset Identification" sheetId="1" r:id="rId1"/>
    <sheet name="Vulnerability Identification" sheetId="2" r:id="rId2"/>
    <sheet name="Threat Assessment" sheetId="3" r:id="rId3"/>
    <sheet name="Security Risk Assess" sheetId="4" r:id="rId4"/>
    <sheet name="Summary" sheetId="5" r:id="rId5"/>
    <sheet name="Reference - CVSSv3.0" sheetId="6" r:id="rId6"/>
    <sheet name="Reference - Threat Source" sheetId="7" r:id="rId7"/>
    <sheet name="OLD - Threat Assessment" sheetId="8" state="hidden" r:id="rId8"/>
    <sheet name="OLD - Risk Controls" sheetId="9" state="hidden" r:id="rId9"/>
  </sheets>
  <definedNames>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76" i="5" l="1"/>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T99" i="4"/>
  <c r="S99" i="4"/>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E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E63" i="4"/>
  <c r="E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G37" i="4"/>
  <c r="G37" i="5" s="1"/>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4"/>
  <c r="G23" i="5" s="1"/>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Y37" i="4" s="1"/>
  <c r="J37" i="5" s="1"/>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alcChain>
</file>

<file path=xl/sharedStrings.xml><?xml version="1.0" encoding="utf-8"?>
<sst xmlns="http://schemas.openxmlformats.org/spreadsheetml/2006/main" count="2049" uniqueCount="433">
  <si>
    <t>System &amp; Asset Identification</t>
  </si>
  <si>
    <t xml:space="preserve">Medical Device / System: </t>
  </si>
  <si>
    <t>Scope:</t>
  </si>
  <si>
    <t>Date:</t>
  </si>
  <si>
    <t>&lt;2021-07-12&gt;</t>
  </si>
  <si>
    <t xml:space="preserve">Conducted by: </t>
  </si>
  <si>
    <t>&lt;Author Name / Function / Organization&gt;
&lt;Author Name / Function / Organization&gt;</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</si>
  <si>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</si>
  <si>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</si>
  <si>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</si>
  <si>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</si>
  <si>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</si>
  <si>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</si>
  <si>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</si>
  <si>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</si>
  <si>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</si>
  <si>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</si>
  <si>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</si>
  <si>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</si>
  <si>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</si>
  <si>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</si>
  <si>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</si>
  <si>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</si>
  <si>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</si>
  <si>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</si>
  <si>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</si>
  <si>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</si>
  <si>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</si>
  <si>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</si>
  <si>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</si>
  <si>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</si>
  <si>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</si>
  <si>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</si>
  <si>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</si>
  <si>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</si>
  <si>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</si>
  <si>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</si>
  <si>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</si>
  <si>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</si>
  <si>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</si>
  <si>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</si>
  <si>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</si>
  <si>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</si>
  <si>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</si>
  <si>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</si>
  <si>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</si>
  <si>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</si>
  <si>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</si>
  <si>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</si>
  <si>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</si>
  <si>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</si>
  <si>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</si>
  <si>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</si>
  <si>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</si>
  <si>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</si>
  <si>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</si>
  <si>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</si>
  <si>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</si>
  <si>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</si>
  <si>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</si>
  <si>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</si>
  <si>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</si>
  <si>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</si>
  <si>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</si>
  <si>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</si>
  <si>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</si>
  <si>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</si>
  <si>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</si>
  <si>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</si>
  <si>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</si>
  <si>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</si>
  <si>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</si>
  <si>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</si>
  <si>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</si>
  <si>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</si>
  <si>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</si>
  <si>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</si>
  <si>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</si>
  <si>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</si>
  <si>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</si>
  <si>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</si>
  <si>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</si>
  <si>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</si>
  <si>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</si>
  <si>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</si>
  <si>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</si>
  <si>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</si>
  <si>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</si>
  <si>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</si>
  <si>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</si>
  <si>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</si>
  <si>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</si>
  <si>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</si>
  <si>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</si>
  <si>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</si>
  <si>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</si>
  <si>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</si>
  <si>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</si>
  <si>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</si>
  <si>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</si>
  <si>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</si>
  <si>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</si>
  <si>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</si>
  <si>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</si>
  <si>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</si>
  <si>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</si>
  <si>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</si>
  <si>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</si>
  <si>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</si>
  <si>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</si>
  <si>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</si>
  <si>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</si>
  <si>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</si>
  <si>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</si>
  <si>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</si>
  <si>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</si>
  <si>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</si>
  <si>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</si>
  <si>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</si>
  <si>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</si>
  <si>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</si>
  <si>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</si>
  <si>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</si>
  <si>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</si>
  <si>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</si>
  <si>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</si>
  <si>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</si>
  <si>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</si>
  <si>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</si>
  <si>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</si>
  <si>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</si>
  <si>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</si>
  <si>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</si>
  <si>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</si>
  <si>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</si>
  <si>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</si>
  <si>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</si>
  <si>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</si>
  <si>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</si>
  <si>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</si>
  <si>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</si>
  <si>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</si>
  <si>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</si>
  <si>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</si>
  <si>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</si>
  <si>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</si>
  <si>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</si>
  <si>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</si>
  <si>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</si>
  <si>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</si>
  <si>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</si>
  <si>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</si>
  <si>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</si>
  <si>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</si>
  <si>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</si>
  <si>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</si>
  <si>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</si>
  <si>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</si>
  <si>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</si>
  <si>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</si>
  <si>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</si>
  <si>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</si>
  <si>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</si>
  <si>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</si>
  <si>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</si>
  <si>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</si>
  <si>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</si>
  <si>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</si>
  <si>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</si>
  <si>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</si>
  <si>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</si>
  <si>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</si>
  <si>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</si>
  <si>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</si>
  <si>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</si>
  <si>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</si>
  <si>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</si>
  <si>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</si>
  <si>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</si>
  <si>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</si>
  <si>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</si>
  <si>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</si>
  <si>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</si>
  <si>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</si>
  <si>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</si>
  <si>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</si>
  <si>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</si>
  <si>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</si>
  <si>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</si>
  <si>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</si>
  <si>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</si>
  <si>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</si>
  <si>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</si>
  <si>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</si>
  <si>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</si>
  <si>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</si>
  <si>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</si>
  <si>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</si>
  <si>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</si>
  <si>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</si>
  <si>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</si>
  <si>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</si>
  <si>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</si>
  <si>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</si>
  <si>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</si>
  <si>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</si>
  <si>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</si>
  <si>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</si>
  <si>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</si>
  <si>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</si>
  <si>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</si>
  <si>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</si>
  <si>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</si>
  <si>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</si>
  <si>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</si>
  <si>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</si>
  <si>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</si>
  <si>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</si>
  <si>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</si>
  <si>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</si>
  <si>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</si>
  <si>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</si>
  <si>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</si>
  <si>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</si>
  <si>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</si>
  <si>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</si>
  <si>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</si>
  <si>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</si>
  <si>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</si>
  <si>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</si>
  <si>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</si>
  <si>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</si>
  <si>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</si>
  <si>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</si>
  <si>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</si>
  <si>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</si>
  <si>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</si>
  <si>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</si>
  <si>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</si>
  <si>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</si>
  <si>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</si>
  <si>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</si>
  <si>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</si>
  <si>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</si>
  <si>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r>
      <rPr>
        <sz val="11"/>
        <color rgb="FF000000"/>
        <rFont val="Cambria"/>
        <family val="1"/>
        <charset val="1"/>
      </rPr>
      <t xml:space="preserve">1. SOM D001020115 - 23. Malware Detection/Protection
2. </t>
    </r>
    <r>
      <rPr>
        <sz val="11"/>
        <color rgb="FF00000A"/>
        <rFont val="Cambria"/>
        <family val="1"/>
        <charset val="1"/>
      </rPr>
      <t xml:space="preserve">SRS D001020024 -2.17.6The Application shall support the use of anti-malware mechanism
</t>
    </r>
    <r>
      <rPr>
        <sz val="11"/>
        <color rgb="FF000000"/>
        <rFont val="Cambria"/>
        <family val="1"/>
        <charset val="1"/>
      </rPr>
      <t xml:space="preserve">
3.SRS </t>
    </r>
    <r>
      <rPr>
        <sz val="11"/>
        <color rgb="FF00000A"/>
        <rFont val="Cambria"/>
        <family val="1"/>
        <charset val="1"/>
      </rPr>
      <t>D001020097 – 2.1.2.1.1 Invalid email or password, only 3 attempts left.</t>
    </r>
    <r>
      <rPr>
        <sz val="11"/>
        <color rgb="FF000000"/>
        <rFont val="Cambria"/>
        <family val="1"/>
        <charset val="1"/>
      </rPr>
      <t xml:space="preserve"> 
4. </t>
    </r>
    <r>
      <rPr>
        <sz val="11"/>
        <color rgb="FF00000A"/>
        <rFont val="Cambria"/>
        <family val="1"/>
      </rPr>
      <t>SRS D001020024 -2.17.2The Application shall provide secure tunnel Communications channel</t>
    </r>
  </si>
  <si>
    <t>None</t>
  </si>
  <si>
    <t>Network</t>
  </si>
  <si>
    <t>Changed</t>
  </si>
  <si>
    <r>
      <rPr>
        <sz val="11"/>
        <color rgb="FF000000"/>
        <rFont val="Cambria"/>
        <family val="1"/>
        <charset val="1"/>
      </rP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</si>
  <si>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t>Local</t>
  </si>
  <si>
    <t>High</t>
  </si>
  <si>
    <t>Moderate</t>
  </si>
  <si>
    <t>Justification</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</si>
  <si>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</si>
  <si>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</si>
  <si>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r>
      <rPr>
        <sz val="11"/>
        <color rgb="FF000000"/>
        <rFont val="Cambria"/>
        <family val="1"/>
      </rPr>
      <t xml:space="preserve">1. 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A"/>
        <rFont val="Cambria"/>
        <family val="1"/>
      </rPr>
      <t xml:space="preserve">
</t>
    </r>
    <r>
      <rPr>
        <sz val="11"/>
        <color rgb="FF000000"/>
        <rFont val="Cambria"/>
        <family val="1"/>
        <charset val="1"/>
      </rPr>
      <t xml:space="preserve">2. SOM D001020115 - 23. Malware Detection/Protection
</t>
    </r>
    <r>
      <rPr>
        <sz val="11"/>
        <color rgb="FF000000"/>
        <rFont val="Cambria"/>
        <family val="1"/>
      </rPr>
      <t xml:space="preserve">3.SRS </t>
    </r>
    <r>
      <rPr>
        <sz val="11"/>
        <color rgb="FF00000A"/>
        <rFont val="Cambria"/>
        <family val="1"/>
      </rPr>
      <t>D001020097 – 2.1.2.1.1 Invalid email or password, only 3 attempts left.</t>
    </r>
    <r>
      <rPr>
        <sz val="11"/>
        <color rgb="FF000000"/>
        <rFont val="Cambria"/>
        <family val="1"/>
      </rPr>
      <t xml:space="preserve"> 
</t>
    </r>
    <r>
      <rPr>
        <sz val="11"/>
        <color rgb="FF000000"/>
        <rFont val="Cambria"/>
        <family val="1"/>
        <charset val="1"/>
      </rPr>
      <t xml:space="preserve">
4. SOM D001020115 - 05 Access control policy and management
5.</t>
    </r>
    <r>
      <rPr>
        <sz val="11"/>
        <color rgb="FF00000A"/>
        <rFont val="Cambria"/>
        <family val="1"/>
      </rPr>
      <t>SRS D001020024 -2.17.2The Application shall provide secure tunnel Communications channel</t>
    </r>
  </si>
  <si>
    <t>1)  Obtain knowledge about system internals
2)  Attempt to find attack vectors 
3)  Possibilities for exploitation of publicly known Vulnerabilities.</t>
  </si>
  <si>
    <r>
      <rPr>
        <sz val="11"/>
        <color rgb="FF000000"/>
        <rFont val="Cambria"/>
        <family val="1"/>
      </rPr>
      <t xml:space="preserve">1. </t>
    </r>
    <r>
      <rPr>
        <sz val="11"/>
        <color rgb="FF00000A"/>
        <rFont val="Cambria"/>
        <family val="1"/>
      </rPr>
      <t>SRS D001020024 -</t>
    </r>
    <r>
      <rPr>
        <sz val="11"/>
        <color rgb="FF00000A"/>
        <rFont val="Times New Roman"/>
        <family val="1"/>
      </rPr>
      <t xml:space="preserve">2.1.2.2 If the Admin Pin is valid and then the application shall navigate further.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
2.SRS </t>
    </r>
    <r>
      <rPr>
        <sz val="11"/>
        <rFont val="Cambria"/>
        <family val="1"/>
      </rPr>
      <t>D001020023-</t>
    </r>
    <r>
      <rPr>
        <sz val="11"/>
        <color rgb="FF00000A"/>
        <rFont val="Cambria"/>
        <family val="1"/>
      </rPr>
      <t xml:space="preserve">2.13.1Communication between browser application and backend shall be secured.
</t>
    </r>
    <r>
      <rPr>
        <sz val="11"/>
        <color rgb="FF000000"/>
        <rFont val="Cambria"/>
        <family val="1"/>
      </rPr>
      <t xml:space="preserve">
3. </t>
    </r>
    <r>
      <rPr>
        <sz val="11"/>
        <color rgb="FF00000A"/>
        <rFont val="Cambria"/>
        <family val="1"/>
      </rPr>
      <t xml:space="preserve">SRS D001020024 -2.17.4 The Application shall establish technical controls to mitigate the potential for compromise to the integrity and confidentiality of health data stored on the product or removable media
</t>
    </r>
    <r>
      <rPr>
        <sz val="11"/>
        <color rgb="FF000000"/>
        <rFont val="Cambria"/>
        <family val="1"/>
        <charset val="1"/>
      </rPr>
      <t xml:space="preserve">
4.NA
</t>
    </r>
    <r>
      <rPr>
        <sz val="11"/>
        <color rgb="FF00000A"/>
        <rFont val="Times New Roman"/>
        <family val="1"/>
      </rPr>
      <t xml:space="preserve">
</t>
    </r>
    <r>
      <rPr>
        <sz val="11"/>
        <color rgb="FF000000"/>
        <rFont val="Cambria"/>
        <family val="1"/>
        <charset val="1"/>
      </rPr>
      <t>5. SOM D001020115 - 23. Malware Detection/Protection</t>
    </r>
  </si>
  <si>
    <t xml:space="preserve">1.During the access providing, if default password is provided then immediately changing the password is needed. 
Also ensure:
2. Require multi-factor authentication
3. Limit authentication attempts (rate Limiting)
4. Maintain Access Logs
</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</si>
  <si>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</si>
  <si>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</si>
  <si>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Tampering of forensic data
2) This involves modifying/corrupting/deleting the values of Logs, 
3) Modifying registry values 
4) Uninstalling all malcious applications/tools   
5) Deleting all folders which were created</t>
  </si>
  <si>
    <r>
      <rPr>
        <sz val="11"/>
        <color rgb="FF000000"/>
        <rFont val="Cambria"/>
        <family val="1"/>
        <charset val="1"/>
      </rP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</si>
  <si>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t>1) Gaining access to the portal 
2) Accessing confidential data, 
3) Lead misuse of confidential data
4)  Company defamation</t>
  </si>
  <si>
    <r>
      <rPr>
        <sz val="11"/>
        <color rgb="FF000000"/>
        <rFont val="Cambria"/>
        <family val="1"/>
      </rPr>
      <t xml:space="preserve">1. 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
2.NA
3. </t>
    </r>
    <r>
      <rPr>
        <sz val="11"/>
        <color rgb="FF00000A"/>
        <rFont val="Cambria"/>
        <family val="1"/>
      </rPr>
      <t xml:space="preserve">NA
</t>
    </r>
    <r>
      <rPr>
        <sz val="11"/>
        <color rgb="FF000000"/>
        <rFont val="Cambria"/>
        <family val="1"/>
        <charset val="1"/>
      </rPr>
      <t xml:space="preserve">
</t>
    </r>
  </si>
  <si>
    <t>1) Bring down the service availability 
2) Blocking the end user usage</t>
  </si>
  <si>
    <t>Information of health data can be exploit and disclose with various means like network, tablet etc.  .</t>
  </si>
  <si>
    <t>1. Statefull firewall
2. Configure and upgrade routers for the n/w security
3. Configure firewalls to reject any packets with spoofed addresses.
4. Use secure tunnel communication channel</t>
  </si>
  <si>
    <r>
      <rPr>
        <sz val="11"/>
        <color rgb="FF000000"/>
        <rFont val="Cambria"/>
        <family val="1"/>
        <charset val="1"/>
      </rPr>
      <t xml:space="preserve">1. SOM D001020115 - 23. Malware Detection/Protection
2. SOM D001020115 - 16. Transmission confidentiality and integrity
3. SOM D001020115 - 23. Malware Detection/Protection
4. </t>
    </r>
    <r>
      <rPr>
        <sz val="11"/>
        <color rgb="FF00000A"/>
        <rFont val="Cambria"/>
        <family val="1"/>
      </rPr>
      <t>SRS D001020024 -2.17.2The Application shall provide secure tunnel Communications channel</t>
    </r>
  </si>
  <si>
    <t xml:space="preserve">1. Weak algorithms such as DES, RC4, etc.. should be avoided and usage of  strong algorithms such as AES, RSA, etc.. are recomended
2. Typical key lengths are 128 and 256 bits for private keys and 2048 for public keys are recommended.
</t>
  </si>
  <si>
    <r>
      <rPr>
        <sz val="11"/>
        <color rgb="FF000000"/>
        <rFont val="Cambria"/>
        <family val="1"/>
        <charset val="1"/>
      </rPr>
      <t xml:space="preserve">1. SOM D001020115 - 23. Malware Detection/Protection
</t>
    </r>
    <r>
      <rPr>
        <sz val="11"/>
        <color rgb="FF00000A"/>
        <rFont val="Cambria"/>
        <family val="1"/>
      </rPr>
      <t xml:space="preserve">2.SRS D001020024 -2.17.6The Application shall support the use of anti-malware mechanism
</t>
    </r>
    <r>
      <rPr>
        <sz val="11"/>
        <color rgb="FF000000"/>
        <rFont val="Cambria"/>
        <family val="1"/>
      </rPr>
      <t xml:space="preserve">
3.NA
4. </t>
    </r>
    <r>
      <rPr>
        <sz val="11"/>
        <color rgb="FF00000A"/>
        <rFont val="Cambria"/>
        <family val="1"/>
      </rPr>
      <t xml:space="preserve">SRS D001020024 -2.17.2The Application shall provide secure tunnel Communications channel
</t>
    </r>
  </si>
  <si>
    <r>
      <rPr>
        <sz val="11"/>
        <color rgb="FF000000"/>
        <rFont val="Cambria"/>
        <family val="1"/>
        <charset val="1"/>
      </rPr>
      <t>1.</t>
    </r>
    <r>
      <rPr>
        <sz val="11"/>
        <color rgb="FF000000"/>
        <rFont val="Cambria"/>
        <family val="1"/>
      </rPr>
      <t xml:space="preserve">SRS </t>
    </r>
    <r>
      <rPr>
        <sz val="11"/>
        <color rgb="FF00000A"/>
        <rFont val="Cambria"/>
        <family val="1"/>
      </rPr>
      <t>D001020023-</t>
    </r>
    <r>
      <rPr>
        <sz val="11"/>
        <color rgb="FF000000"/>
        <rFont val="Cambria"/>
        <family val="1"/>
        <charset val="1"/>
      </rPr>
      <t xml:space="preserve"> </t>
    </r>
    <r>
      <rPr>
        <sz val="11"/>
        <color rgb="FF00000A"/>
        <rFont val="Times New Roman"/>
        <family val="1"/>
      </rPr>
      <t xml:space="preserve">2.1.6.21The application shall allow to assign and edit  patient reference ID to patient.
</t>
    </r>
    <r>
      <rPr>
        <sz val="11"/>
        <color rgb="FF000000"/>
        <rFont val="Cambria"/>
        <family val="1"/>
        <charset val="1"/>
      </rPr>
      <t xml:space="preserve">
2.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3. NA
4. NA</t>
    </r>
  </si>
  <si>
    <t>1. Secure communication with Secure Sockets Layer (SSL) or TLS protocols that provide message confidentiality 
2. Secure sensitive data in the channel flow using strong encryption
3. Statefull firewall
4. Proper way of network access control</t>
  </si>
  <si>
    <r>
      <rPr>
        <sz val="11"/>
        <color rgb="FF000000"/>
        <rFont val="Cambria"/>
        <family val="1"/>
        <charset val="1"/>
      </rPr>
      <t xml:space="preserve">1. </t>
    </r>
    <r>
      <rPr>
        <sz val="11"/>
        <color rgb="FF00000A"/>
        <rFont val="Cambria"/>
        <family val="1"/>
      </rPr>
      <t xml:space="preserve">SRS D001020024 -2.17.2The Application shall provide secure tunnel Communications channel
</t>
    </r>
    <r>
      <rPr>
        <sz val="11"/>
        <color rgb="FF000000"/>
        <rFont val="Cambria"/>
        <family val="1"/>
        <charset val="1"/>
      </rPr>
      <t xml:space="preserve">
2.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3. SOM D001020115 - 23. Malware Detection/Protection
4. SOM D001020115 - 05. Access control policy and management</t>
    </r>
  </si>
  <si>
    <t>1) Allowing application or script to perform abnormal activites on the system.
2) Modifying the data, tampering the confidential data making it unavailable or challenging the integrity of data.</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</si>
  <si>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</si>
  <si>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r>
      <rPr>
        <sz val="11"/>
        <color rgb="FF000000"/>
        <rFont val="Cambria"/>
        <family val="1"/>
        <charset val="1"/>
      </rPr>
      <t xml:space="preserve">1. NA
2. SOM D001020115 - 23. Malware Detection/Protection
3.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4.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5. NA</t>
    </r>
  </si>
  <si>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</si>
  <si>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</si>
  <si>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r>
      <rPr>
        <sz val="11"/>
        <color rgb="FF000000"/>
        <rFont val="Cambria"/>
        <family val="1"/>
        <charset val="1"/>
      </rPr>
      <t xml:space="preserve">1. </t>
    </r>
    <r>
      <rPr>
        <sz val="11"/>
        <color rgb="FF000000"/>
        <rFont val="Cambria"/>
        <family val="1"/>
      </rPr>
      <t xml:space="preserve">SRS </t>
    </r>
    <r>
      <rPr>
        <sz val="11"/>
        <color rgb="FF00000A"/>
        <rFont val="Cambria"/>
        <family val="1"/>
      </rPr>
      <t xml:space="preserve">D001020097 – 2.1.2.1.1 Invalid email or password, only 3 attempts left.
</t>
    </r>
    <r>
      <rPr>
        <sz val="11"/>
        <color rgb="FF000000"/>
        <rFont val="Cambria"/>
        <family val="1"/>
        <charset val="1"/>
      </rPr>
      <t xml:space="preserve">2.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 xml:space="preserve">D001020097 – 2.1.2.1.1 Invalid email or password, only 3 attempts left.
</t>
    </r>
    <r>
      <rPr>
        <sz val="11"/>
        <color rgb="FF000000"/>
        <rFont val="Cambria"/>
        <family val="1"/>
        <charset val="1"/>
      </rPr>
      <t xml:space="preserve">
4. NA
5. NA
6.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2.1.2.1 Application shall allow the user to enter Hospital Code. The code has a maximum of 9 chars and a feature to hide it using asterisk form.</t>
    </r>
  </si>
  <si>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</si>
  <si>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</si>
  <si>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</si>
  <si>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</si>
  <si>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r>
      <rPr>
        <sz val="11"/>
        <color rgb="FF000000"/>
        <rFont val="Cambria"/>
        <family val="1"/>
        <charset val="1"/>
      </rPr>
      <t xml:space="preserve">1. </t>
    </r>
    <r>
      <rPr>
        <sz val="11"/>
        <color rgb="FF00000A"/>
        <rFont val="Cambria"/>
        <family val="1"/>
      </rPr>
      <t xml:space="preserve">SRS D001020024 -2.17.2The Application shall provide secure tunnel Communications channel
</t>
    </r>
    <r>
      <rPr>
        <sz val="11"/>
        <color rgb="FF000000"/>
        <rFont val="Cambria"/>
        <family val="1"/>
        <charset val="1"/>
      </rPr>
      <t xml:space="preserve">
2. SOM D001020115 - 16. Transmission confidentiality and integrity
3. SOM D001020115 - 23. Malware Detection/Protection
4. SOM D001020115 - 05. Access control policy and management
5.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</si>
  <si>
    <t>1) An attacker may attempt to discover a weak credential by systematically trying every possible combination of letters, numbers, and symbols until it discovers the one correct combination that works.</t>
  </si>
  <si>
    <r>
      <rPr>
        <sz val="11"/>
        <color rgb="FF000000"/>
        <rFont val="Cambria"/>
        <family val="1"/>
        <charset val="1"/>
      </rPr>
      <t xml:space="preserve">1. NA
2.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 xml:space="preserve">D001020097 – 2.1.2.1.1 Invalid email or password, only 3 attempts left.
</t>
    </r>
    <r>
      <rPr>
        <sz val="11"/>
        <color rgb="FF000000"/>
        <rFont val="Cambria"/>
        <family val="1"/>
        <charset val="1"/>
      </rPr>
      <t xml:space="preserve">
4. NA
5. NA
</t>
    </r>
  </si>
  <si>
    <r>
      <rPr>
        <sz val="11"/>
        <color rgb="FF000000"/>
        <rFont val="Cambria"/>
        <family val="1"/>
        <charset val="1"/>
      </rPr>
      <t xml:space="preserve">1. </t>
    </r>
    <r>
      <rPr>
        <sz val="11"/>
        <color rgb="FF000000"/>
        <rFont val="Cambria"/>
        <family val="1"/>
      </rPr>
      <t xml:space="preserve">SRS </t>
    </r>
    <r>
      <rPr>
        <sz val="11"/>
        <color rgb="FF00000A"/>
        <rFont val="Cambria"/>
        <family val="1"/>
      </rPr>
      <t xml:space="preserve">D001020097 – 2.1.2.1.1 Invalid email or password, only 3 attempts left.
</t>
    </r>
    <r>
      <rPr>
        <sz val="11"/>
        <color rgb="FF000000"/>
        <rFont val="Cambria"/>
        <family val="1"/>
        <charset val="1"/>
      </rPr>
      <t xml:space="preserve">2.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 xml:space="preserve">D001020097 – 2.1.2.1.1 Invalid email or password, only 3 attempts left.
</t>
    </r>
    <r>
      <rPr>
        <sz val="11"/>
        <color rgb="FF000000"/>
        <rFont val="Cambria"/>
        <family val="1"/>
        <charset val="1"/>
      </rPr>
      <t xml:space="preserve">
4. NA
5. NA
6.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2.1.2.1 Application shall allow the user to enter Hospital Code. The code has a maximum of 9 chars and a feature to hide it using asterisk form.</t>
    </r>
  </si>
  <si>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</si>
  <si>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</si>
  <si>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rPr>
        <sz val="11"/>
        <color rgb="FF000000"/>
        <rFont val="Cambria"/>
        <family val="1"/>
        <charset val="1"/>
      </rPr>
      <t xml:space="preserve">1. </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2. SOM D001020115 - 05. Access control policy and management
3.</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 xml:space="preserve">2.1.2.1 Application shall allow the user to enter Hospital Code. The code has a maximum of 9 chars and a feature to hide it using asterisk form.
</t>
    </r>
    <r>
      <rPr>
        <sz val="11"/>
        <color rgb="FF000000"/>
        <rFont val="Cambria"/>
        <family val="1"/>
        <charset val="1"/>
      </rPr>
      <t xml:space="preserve">
4. </t>
    </r>
    <r>
      <rPr>
        <sz val="11"/>
        <color rgb="FF00000A"/>
        <rFont val="Cambria"/>
        <family val="1"/>
      </rPr>
      <t xml:space="preserve">SRS D001020024 -2.17.2The Application shall provide secure tunnel Communications channel
</t>
    </r>
    <r>
      <rPr>
        <sz val="11"/>
        <color rgb="FF000000"/>
        <rFont val="Cambria"/>
        <family val="1"/>
      </rPr>
      <t xml:space="preserve">
</t>
    </r>
    <r>
      <rPr>
        <sz val="11"/>
        <color rgb="FF000000"/>
        <rFont val="Cambria"/>
        <family val="1"/>
        <charset val="1"/>
      </rPr>
      <t>5.</t>
    </r>
    <r>
      <rPr>
        <sz val="11"/>
        <color rgb="FF000000"/>
        <rFont val="Cambria"/>
        <family val="1"/>
      </rPr>
      <t xml:space="preserve">SRS </t>
    </r>
    <r>
      <rPr>
        <sz val="11"/>
        <color rgb="FF00000A"/>
        <rFont val="Cambria"/>
        <family val="1"/>
      </rPr>
      <t>D001020097 –</t>
    </r>
    <r>
      <rPr>
        <sz val="11"/>
        <color rgb="FF000000"/>
        <rFont val="Cambria"/>
        <family val="1"/>
      </rPr>
      <t xml:space="preserve">  </t>
    </r>
    <r>
      <rPr>
        <sz val="11"/>
        <color rgb="FF00000A"/>
        <rFont val="Times New Roman"/>
        <family val="1"/>
      </rPr>
      <t xml:space="preserve">2.1.2.1On the Admin Login Screen, the Application shall allow entry of Email and Password which has a maximum of 50 chars and has a feature to hide the code in asterisk form.
</t>
    </r>
    <r>
      <rPr>
        <sz val="11"/>
        <color rgb="FF00000A"/>
        <rFont val="Cambria"/>
        <family val="1"/>
      </rPr>
      <t xml:space="preserve">SRS D001020024 – </t>
    </r>
    <r>
      <rPr>
        <sz val="11"/>
        <color rgb="FF00000A"/>
        <rFont val="Times New Roman"/>
        <family val="1"/>
      </rPr>
      <t xml:space="preserve">2.1.2.1 On agreeing to the Terms and Conditions, the application shall allow the user to enter the Admin Pin which has maximum 6 chars and a feature to hide the code.
</t>
    </r>
    <r>
      <rPr>
        <sz val="11"/>
        <color rgb="FF000000"/>
        <rFont val="Cambria"/>
        <family val="1"/>
      </rPr>
      <t xml:space="preserve">SRS </t>
    </r>
    <r>
      <rPr>
        <sz val="11"/>
        <color rgb="FF00000A"/>
        <rFont val="Cambria"/>
        <family val="1"/>
      </rPr>
      <t xml:space="preserve">D001020023- </t>
    </r>
    <r>
      <rPr>
        <sz val="11"/>
        <color rgb="FF00000A"/>
        <rFont val="Times New Roman"/>
        <family val="1"/>
      </rPr>
      <t>2.1.2.1 Application shall allow the user to enter Hospital Code. The code has a maximum of 9 chars and a feature to hide it using asterisk form.</t>
    </r>
  </si>
  <si>
    <r>
      <rPr>
        <sz val="11"/>
        <color rgb="FF000000"/>
        <rFont val="Cambria"/>
        <family val="1"/>
        <charset val="1"/>
      </rP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</si>
  <si>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</si>
  <si>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</si>
  <si>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(SRS REQUIREMENT FOR STRYKER IT TEAM)</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</si>
  <si>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</si>
  <si>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</si>
  <si>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</si>
  <si>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 log:
All the information needed for identifying the threat (malicious) activity and adversary information needed to be logged for determining the attack vector and attack surface. This helps to make the system less vulnerable in future by correcting those issues.</t>
  </si>
  <si>
    <t>Audit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</si>
  <si>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</si>
  <si>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</si>
  <si>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r>
      <rPr>
        <sz val="11"/>
        <color rgb="FF000000"/>
        <rFont val="Cambria"/>
        <family val="1"/>
        <charset val="1"/>
      </rPr>
      <t xml:space="preserve">1. NA
2. </t>
    </r>
    <r>
      <rPr>
        <sz val="11"/>
        <color rgb="FF000000"/>
        <rFont val="Cambria"/>
        <family val="1"/>
      </rPr>
      <t xml:space="preserve">SRS </t>
    </r>
    <r>
      <rPr>
        <sz val="11"/>
        <color rgb="FF00000A"/>
        <rFont val="Cambria"/>
        <family val="1"/>
      </rPr>
      <t>D001020097 – 2.1.2.1.1 Invalid email or password, only 3 attempts left.</t>
    </r>
    <r>
      <rPr>
        <sz val="11"/>
        <color rgb="FF000000"/>
        <rFont val="Cambria"/>
        <family val="1"/>
      </rPr>
      <t xml:space="preserve"> 
</t>
    </r>
    <r>
      <rPr>
        <sz val="11"/>
        <color rgb="FF000000"/>
        <rFont val="Cambria"/>
        <family val="1"/>
        <charset val="1"/>
      </rPr>
      <t xml:space="preserve">
3.</t>
    </r>
    <r>
      <rPr>
        <sz val="11"/>
        <color rgb="FF000000"/>
        <rFont val="Cambria"/>
        <family val="1"/>
      </rPr>
      <t xml:space="preserve">SRS </t>
    </r>
    <r>
      <rPr>
        <sz val="11"/>
        <color rgb="FF00000A"/>
        <rFont val="Cambria"/>
        <family val="1"/>
      </rPr>
      <t>D001020097 – 2.1.2.1.1 Invalid email or password, only 3 attempts left.</t>
    </r>
    <r>
      <rPr>
        <sz val="11"/>
        <color rgb="FF000000"/>
        <rFont val="Cambria"/>
        <family val="1"/>
      </rPr>
      <t xml:space="preserve"> </t>
    </r>
  </si>
  <si>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</si>
  <si>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</si>
  <si>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</si>
  <si>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</si>
  <si>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1. NA
2. NA
3. NA
4. NA
</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</si>
  <si>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</si>
  <si>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</si>
  <si>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</si>
  <si>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</si>
  <si>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</si>
  <si>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</si>
  <si>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</si>
  <si>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</si>
  <si>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</si>
  <si>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</si>
  <si>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</si>
  <si>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</si>
  <si>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</si>
  <si>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</si>
  <si>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</si>
  <si>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</si>
  <si>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</si>
  <si>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</si>
  <si>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</si>
  <si>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</si>
  <si>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</si>
  <si>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</si>
  <si>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</si>
  <si>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</si>
  <si>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</si>
  <si>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</si>
  <si>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</si>
  <si>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</si>
  <si>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</si>
  <si>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</si>
  <si>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</si>
  <si>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</si>
  <si>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</si>
  <si>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</si>
  <si>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</si>
  <si>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</si>
  <si>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</si>
  <si>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</si>
  <si>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</si>
  <si>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</si>
  <si>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</si>
  <si>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</si>
  <si>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</si>
  <si>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</si>
  <si>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</si>
  <si>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</si>
  <si>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</si>
  <si>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</si>
  <si>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</si>
  <si>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</si>
  <si>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</si>
  <si>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</si>
  <si>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</si>
  <si>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</si>
  <si>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</si>
  <si>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</si>
  <si>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</si>
  <si>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</si>
  <si>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</si>
  <si>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</si>
  <si>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</si>
  <si>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</si>
  <si>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</si>
  <si>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</si>
  <si>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</si>
  <si>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</si>
  <si>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</si>
  <si>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</si>
  <si>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</si>
  <si>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</si>
  <si>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</si>
  <si>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</si>
  <si>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</si>
  <si>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</si>
  <si>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</si>
  <si>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</si>
  <si>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</si>
  <si>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</si>
  <si>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t>
    </r>
    <r>
      <rPr>
        <sz val="11"/>
        <color rgb="FFFF0000"/>
        <rFont val="Cambria"/>
        <family val="1"/>
      </rPr>
      <t>3.SRS 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</si>
  <si>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r>
      <rPr>
        <sz val="11"/>
        <color rgb="FFFF0000"/>
        <rFont val="Cambria"/>
        <family val="1"/>
      </rPr>
      <t>1. NA</t>
    </r>
    <r>
      <rPr>
        <sz val="11"/>
        <color rgb="FF000000"/>
        <rFont val="Cambria"/>
        <family val="1"/>
      </rPr>
      <t xml:space="preserve">
2. SOM D001020115 - 23. Malware Detection/Protection
3. </t>
    </r>
    <r>
      <rPr>
        <sz val="11"/>
        <color rgb="FF00000A"/>
        <rFont val="Cambria"/>
        <family val="1"/>
      </rPr>
      <t>SRS D001020024 -2.17.2The Application shall provide secure tunnel Communications channel</t>
    </r>
  </si>
  <si>
    <r>
      <rPr>
        <sz val="11"/>
        <color rgb="FFFF0000"/>
        <rFont val="Cambria"/>
        <family val="1"/>
      </rPr>
      <t>1. NA</t>
    </r>
    <r>
      <rPr>
        <sz val="11"/>
        <color rgb="FF00000A"/>
        <rFont val="Cambria"/>
        <family val="1"/>
      </rPr>
      <t xml:space="preserve">
</t>
    </r>
    <r>
      <rPr>
        <sz val="11"/>
        <color rgb="FF000000"/>
        <rFont val="Cambria"/>
        <family val="1"/>
      </rPr>
      <t xml:space="preserve">
2.SRS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 SRS </t>
    </r>
    <r>
      <rPr>
        <sz val="11"/>
        <color rgb="FF00000A"/>
        <rFont val="Cambria"/>
        <family val="1"/>
      </rPr>
      <t>D001020097 – 2.1.2.1.1 Invalid email or password, only 3 attempts left.</t>
    </r>
    <r>
      <rPr>
        <sz val="11"/>
        <color rgb="FF000000"/>
        <rFont val="Cambria"/>
        <family val="1"/>
      </rPr>
      <t xml:space="preserve"> 
4.SRS </t>
    </r>
    <r>
      <rPr>
        <sz val="11"/>
        <color rgb="FF00000A"/>
        <rFont val="Cambria"/>
        <family val="1"/>
      </rPr>
      <t>D001020097 – 2.1.2.1.1 Invalid email or password, only 3 attempts left.</t>
    </r>
    <r>
      <rPr>
        <sz val="11"/>
        <color rgb="FF000000"/>
        <rFont val="Cambria"/>
        <family val="1"/>
      </rPr>
      <t xml:space="preserve"> 
</t>
    </r>
  </si>
  <si>
    <r>
      <t>1.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 The Application shall be validated by using invisible captcha during login.
</t>
    </r>
    <r>
      <rPr>
        <sz val="11"/>
        <color rgb="FFFF0000"/>
        <rFont val="Cambria"/>
        <family val="1"/>
      </rPr>
      <t xml:space="preserve">
2.SRS D001020097 – 2.8.1Application shall use APIs to communicate between browser application and the backend.
SRS D001020023-2.8.1Application shall use APIs to communicate between browser application and the backend.
3.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2.1.2.6 The Application shall be validated by using invisible captcha during login.
4.</t>
    </r>
    <r>
      <rPr>
        <sz val="11"/>
        <color rgb="FFFF0000"/>
        <rFont val="Cambria"/>
        <family val="1"/>
      </rPr>
      <t>SRS D001020097 –</t>
    </r>
    <r>
      <rPr>
        <sz val="11"/>
        <color rgb="FFFF0000"/>
        <rFont val="Times New Roman"/>
        <family val="1"/>
      </rPr>
      <t xml:space="preserve">2.1.7.1.1 Something went wrong with API operation try again / contact API admin.
</t>
    </r>
    <r>
      <rPr>
        <sz val="11"/>
        <color rgb="FFFF0000"/>
        <rFont val="Cambria"/>
        <family val="1"/>
      </rPr>
      <t>SRS D001020023-</t>
    </r>
    <r>
      <rPr>
        <sz val="11"/>
        <color rgb="FFFF0000"/>
        <rFont val="Times New Roman"/>
        <family val="1"/>
      </rPr>
      <t>2.1.4.1.1 Something went wrong with API operation try again / contact API admin.</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</si>
  <si>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FF0000"/>
        <rFont val="Cambria"/>
        <family val="1"/>
      </rPr>
      <t xml:space="preserve">
3.SRS D001020097 – 2.1.2.1.1 Invalid email or password, only 3 attempts left. 
</t>
    </r>
    <r>
      <rPr>
        <sz val="11"/>
        <color rgb="FF000000"/>
        <rFont val="Cambria"/>
        <family val="1"/>
      </rPr>
      <t xml:space="preserve">
4. </t>
    </r>
    <r>
      <rPr>
        <sz val="11"/>
        <color rgb="FF00000A"/>
        <rFont val="Cambria"/>
        <family val="1"/>
      </rPr>
      <t>SRS D001020024 -2.17.2The Application shall provide secure tunnel Communications channel</t>
    </r>
  </si>
  <si>
    <r>
      <rPr>
        <sz val="11"/>
        <color rgb="FFFF0000"/>
        <rFont val="Cambria"/>
        <family val="1"/>
      </rPr>
      <t>1. NA</t>
    </r>
    <r>
      <rPr>
        <sz val="11"/>
        <color rgb="FF00000A"/>
        <rFont val="Cambria"/>
        <family val="1"/>
      </rPr>
      <t xml:space="preserve">
</t>
    </r>
    <r>
      <rPr>
        <sz val="11"/>
        <color rgb="FF000000"/>
        <rFont val="Cambria"/>
        <family val="1"/>
      </rPr>
      <t xml:space="preserve">2.SRS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D001020097 – 2.1.2.1.1 Invalid email or password, only 3 attempts left.</t>
    </r>
    <r>
      <rPr>
        <sz val="11"/>
        <color rgb="FF000000"/>
        <rFont val="Cambria"/>
        <family val="1"/>
      </rPr>
      <t xml:space="preserve"> 
</t>
    </r>
    <r>
      <rPr>
        <sz val="11"/>
        <color rgb="FFFF0000"/>
        <rFont val="Cambria"/>
        <family val="1"/>
      </rPr>
      <t>4. NA
5.NA
6.SRS D001020097 – 2.1.2.1.1 Invalid email or password, only 3 attempts left.</t>
    </r>
    <r>
      <rPr>
        <sz val="11"/>
        <color rgb="FF000000"/>
        <rFont val="Cambria"/>
        <family val="1"/>
      </rPr>
      <t xml:space="preserve"> 
</t>
    </r>
  </si>
  <si>
    <r>
      <t>1.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 The Application shall be validated by using invisible captcha during login.
</t>
    </r>
    <r>
      <rPr>
        <sz val="11"/>
        <color rgb="FFFF0000"/>
        <rFont val="Cambria"/>
        <family val="1"/>
      </rPr>
      <t>2.SRS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 The Application shall be validated by using invisible captcha during login.
</t>
    </r>
    <r>
      <rPr>
        <sz val="11"/>
        <color rgb="FFFF0000"/>
        <rFont val="Cambria"/>
        <family val="1"/>
      </rPr>
      <t xml:space="preserve">3.SRS D001020097 – 2.1.2.1.1 Invalid email or password, only 3 attempts left. 
4. NA
5.NA
6.SRS D001020097 – 2.1.2.1.1 Invalid email or password, only 3 attempts left. </t>
    </r>
  </si>
  <si>
    <r>
      <t xml:space="preserve">1. </t>
    </r>
    <r>
      <rPr>
        <sz val="11"/>
        <color rgb="FF00000A"/>
        <rFont val="Cambria"/>
        <family val="1"/>
      </rPr>
      <t>SRS D001020024 -</t>
    </r>
    <r>
      <rPr>
        <sz val="11"/>
        <color rgb="FF00000A"/>
        <rFont val="Times New Roman"/>
        <family val="1"/>
      </rPr>
      <t xml:space="preserve">2.1.2.2 If the Admin Pin is valid and then the application shall navigate further.
</t>
    </r>
    <r>
      <rPr>
        <sz val="11"/>
        <color rgb="FF000000"/>
        <rFont val="Cambria"/>
        <family val="1"/>
      </rPr>
      <t xml:space="preserve">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
</t>
    </r>
    <r>
      <rPr>
        <sz val="11"/>
        <color rgb="FFFF0000"/>
        <rFont val="Cambria"/>
        <family val="1"/>
      </rPr>
      <t>2.NA
3. NA</t>
    </r>
  </si>
  <si>
    <r>
      <t xml:space="preserve">1. SRS D001020024 -2.17.6The Application shall support the use of anti-malware mechanism
</t>
    </r>
    <r>
      <rPr>
        <sz val="11"/>
        <color rgb="FFFF0000"/>
        <rFont val="Cambria"/>
        <family val="1"/>
        <charset val="1"/>
      </rPr>
      <t xml:space="preserve">2. SOM D001020115 - 23. Malware Detection/Protection
</t>
    </r>
    <r>
      <rPr>
        <sz val="11"/>
        <color rgb="FFFF0000"/>
        <rFont val="Cambria"/>
        <family val="1"/>
      </rPr>
      <t xml:space="preserve">3.NA
</t>
    </r>
    <r>
      <rPr>
        <sz val="11"/>
        <color rgb="FFFF0000"/>
        <rFont val="Cambria"/>
        <family val="1"/>
        <charset val="1"/>
      </rPr>
      <t xml:space="preserve">
4. NA
5.</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2.1.2.1 Application shall allow the user to enter Hospital Code. The code has a maximum of 9 chars and a feature to hide it using asterisk form.</t>
    </r>
  </si>
  <si>
    <r>
      <t xml:space="preserve">1. NA
2. SOM D001020115 - 05. Access control policy and management
</t>
    </r>
    <r>
      <rPr>
        <sz val="11"/>
        <color rgb="FFFF0000"/>
        <rFont val="Cambria"/>
        <family val="1"/>
        <charset val="1"/>
      </rPr>
      <t xml:space="preserve">3. </t>
    </r>
    <r>
      <rPr>
        <sz val="11"/>
        <color rgb="FFFF0000"/>
        <rFont val="Cambria"/>
        <family val="1"/>
      </rPr>
      <t>SRS D001020097 –</t>
    </r>
    <r>
      <rPr>
        <sz val="11"/>
        <color rgb="FF000000"/>
        <rFont val="Cambria"/>
        <family val="1"/>
      </rPr>
      <t xml:space="preserve">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4. NA
5. NA</t>
    </r>
  </si>
  <si>
    <r>
      <t xml:space="preserve">1. </t>
    </r>
    <r>
      <rPr>
        <sz val="11"/>
        <color rgb="FFFF0000"/>
        <rFont val="Cambria"/>
        <family val="1"/>
      </rPr>
      <t xml:space="preserve">SRS D001020024 -2.17.2The Application shall provide secure tunnel Communications channel
</t>
    </r>
    <r>
      <rPr>
        <sz val="11"/>
        <color rgb="FFFF0000"/>
        <rFont val="Cambria"/>
        <family val="1"/>
        <charset val="1"/>
      </rPr>
      <t xml:space="preserve">
2. SOM D001020115 - 16. Transmission confidentiality and integrity
3. SOM D001020115 - 23. Malware Detection/Protection
4. SOM D001020115 - 05. Access control policy and management
5.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2.1.2.1 Application shall allow the user to enter Hospital Code. The code has a maximum of 9 chars and a feature to hide it using asterisk form.</t>
    </r>
  </si>
  <si>
    <r>
      <t xml:space="preserve">1. </t>
    </r>
    <r>
      <rPr>
        <sz val="11"/>
        <color rgb="FFFF0000"/>
        <rFont val="Cambria"/>
        <family val="1"/>
      </rPr>
      <t>SRS D001020097 –</t>
    </r>
    <r>
      <rPr>
        <sz val="11"/>
        <color rgb="FFFF0000"/>
        <rFont val="Times New Roman"/>
        <family val="1"/>
      </rPr>
      <t xml:space="preserve">2.8.1Application shall use APIs to communicate between browser application and the backend.
</t>
    </r>
    <r>
      <rPr>
        <sz val="11"/>
        <color rgb="FFFF0000"/>
        <rFont val="Cambria"/>
        <family val="1"/>
        <charset val="1"/>
      </rPr>
      <t xml:space="preserve">
2.</t>
    </r>
    <r>
      <rPr>
        <sz val="11"/>
        <color rgb="FFFF0000"/>
        <rFont val="Cambria"/>
        <family val="1"/>
      </rPr>
      <t xml:space="preserve"> SRS D001020097 –</t>
    </r>
    <r>
      <rPr>
        <sz val="11"/>
        <color rgb="FFFF0000"/>
        <rFont val="Times New Roman"/>
        <family val="1"/>
      </rPr>
      <t xml:space="preserve">2.8.1Application shall use APIs to communicate between browser application and the backend.
</t>
    </r>
  </si>
  <si>
    <r>
      <t xml:space="preserve">1. SOM D001020115 - 23. Malware Detection/Protection
</t>
    </r>
    <r>
      <rPr>
        <sz val="11"/>
        <color rgb="FF00000A"/>
        <rFont val="Cambria"/>
        <family val="1"/>
      </rPr>
      <t xml:space="preserve">2.SRS D001020024 -2.17.6The Application shall support the use of anti-malware mechanism
</t>
    </r>
    <r>
      <rPr>
        <sz val="11"/>
        <color rgb="FF000000"/>
        <rFont val="Cambria"/>
        <family val="1"/>
      </rPr>
      <t xml:space="preserve">
</t>
    </r>
    <r>
      <rPr>
        <sz val="11"/>
        <color rgb="FFFF0000"/>
        <rFont val="Cambria"/>
        <family val="1"/>
      </rPr>
      <t>3.NA</t>
    </r>
    <r>
      <rPr>
        <sz val="11"/>
        <color rgb="FF000000"/>
        <rFont val="Cambria"/>
        <family val="1"/>
      </rPr>
      <t xml:space="preserve">
4. </t>
    </r>
    <r>
      <rPr>
        <sz val="11"/>
        <color rgb="FF00000A"/>
        <rFont val="Cambria"/>
        <family val="1"/>
      </rPr>
      <t xml:space="preserve">SRS D001020024 -2.17.2The Application shall provide secure tunnel Communications channel
</t>
    </r>
  </si>
  <si>
    <r>
      <t>1. NA
2. SOM D001020115 - 23. Malware Detection/Protection
3.</t>
    </r>
    <r>
      <rPr>
        <sz val="11"/>
        <color rgb="FFFF0000"/>
        <rFont val="Cambria"/>
        <family val="1"/>
      </rPr>
      <t>SRS D001020097 –</t>
    </r>
    <r>
      <rPr>
        <sz val="11"/>
        <color rgb="FFFF0000"/>
        <rFont val="Cambria"/>
        <family val="1"/>
        <charset val="1"/>
      </rPr>
      <t xml:space="preserve">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4.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5.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</si>
  <si>
    <r>
      <t xml:space="preserve">1. NA
2. SOM D001020115 - 23. Malware Detection/Protection
3.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4. </t>
    </r>
    <r>
      <rPr>
        <sz val="11"/>
        <color rgb="FFFF0000"/>
        <rFont val="Cambria"/>
        <family val="1"/>
      </rPr>
      <t xml:space="preserve">SRS D001020097 –  </t>
    </r>
    <r>
      <rPr>
        <sz val="11"/>
        <color rgb="FFFF0000"/>
        <rFont val="Times New Roman"/>
        <family val="1"/>
      </rPr>
      <t xml:space="preserve">2.1.2.1On the Admin Login Screen, the Application shall allow entry of Email and Password which has a maximum of 50 chars and has a feature to hide the code in asterisk form.
</t>
    </r>
    <r>
      <rPr>
        <sz val="11"/>
        <color rgb="FFFF0000"/>
        <rFont val="Cambria"/>
        <family val="1"/>
      </rPr>
      <t xml:space="preserve">SRS D001020024 – </t>
    </r>
    <r>
      <rPr>
        <sz val="11"/>
        <color rgb="FFFF0000"/>
        <rFont val="Times New Roman"/>
        <family val="1"/>
      </rPr>
      <t xml:space="preserve">2.1.2.1 On agreeing to the Terms and Conditions, the application shall allow the user to enter the Admin Pin which has maximum 6 chars and a feature to hide the code.
</t>
    </r>
    <r>
      <rPr>
        <sz val="11"/>
        <color rgb="FFFF0000"/>
        <rFont val="Cambria"/>
        <family val="1"/>
      </rPr>
      <t xml:space="preserve">SRS D001020023- </t>
    </r>
    <r>
      <rPr>
        <sz val="11"/>
        <color rgb="FFFF0000"/>
        <rFont val="Times New Roman"/>
        <family val="1"/>
      </rPr>
      <t xml:space="preserve">2.1.2.1 Application shall allow the user to enter Hospital Code. The code has a maximum of 9 chars and a feature to hide it using asterisk form.
</t>
    </r>
    <r>
      <rPr>
        <sz val="11"/>
        <color rgb="FFFF0000"/>
        <rFont val="Cambria"/>
        <family val="1"/>
        <charset val="1"/>
      </rPr>
      <t xml:space="preserve">
5. NA</t>
    </r>
  </si>
  <si>
    <t>SRS D001020097 – 2.1.2.1.1 Invalid email or password, only 3 attempts left.</t>
  </si>
  <si>
    <t xml:space="preserve">1. SRS D001020097 – 2.1.2.1.1 Invalid email or password, only 3 attempts left.
2.SRS D001020097 – 2.1.2.1.1 Invalid email or password, only 3 attempts left.
</t>
  </si>
  <si>
    <r>
      <t xml:space="preserve">1. </t>
    </r>
    <r>
      <rPr>
        <sz val="11"/>
        <color rgb="FFFF0000"/>
        <rFont val="Cambria"/>
        <family val="1"/>
      </rPr>
      <t>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2.1.2.6The Application shall be validated by using invisible captcha during login.
</t>
    </r>
    <r>
      <rPr>
        <sz val="11"/>
        <color rgb="FFFF0000"/>
        <rFont val="Cambria"/>
        <family val="1"/>
        <charset val="1"/>
      </rPr>
      <t xml:space="preserve">2. </t>
    </r>
    <r>
      <rPr>
        <sz val="11"/>
        <color rgb="FFFF0000"/>
        <rFont val="Cambria"/>
        <family val="1"/>
      </rPr>
      <t xml:space="preserve">SRS D001020097 – 2.1.2.1.1 Invalid email or password, only 3 attempts left. 
</t>
    </r>
    <r>
      <rPr>
        <sz val="11"/>
        <color rgb="FFFF0000"/>
        <rFont val="Cambria"/>
        <family val="1"/>
        <charset val="1"/>
      </rPr>
      <t xml:space="preserve">
3. </t>
    </r>
    <r>
      <rPr>
        <sz val="11"/>
        <color rgb="FFFF0000"/>
        <rFont val="Cambria"/>
        <family val="1"/>
      </rPr>
      <t xml:space="preserve">SRS D001020097 – 2.1.2.1.1 Invalid email or password, only 3 attempts left. </t>
    </r>
  </si>
  <si>
    <t xml:space="preserve">1. NA
2. SRS D001020097 – 2.1.2.1.1 Invalid email or password, only 3 attempts left. 
3. SRS D001020097 – 2.1.2.1.1 Invalid email or password, only 3 attempts left. </t>
  </si>
  <si>
    <r>
      <t xml:space="preserve">1. </t>
    </r>
    <r>
      <rPr>
        <sz val="11"/>
        <color rgb="FFFF0000"/>
        <rFont val="Cambria"/>
        <family val="1"/>
      </rPr>
      <t xml:space="preserve">SRS D001020097 – 2.1.2.1.1 Invalid email or password, only 3 attempts left. 
</t>
    </r>
    <r>
      <rPr>
        <sz val="11"/>
        <color rgb="FFFF0000"/>
        <rFont val="Cambria"/>
        <family val="1"/>
        <charset val="1"/>
      </rPr>
      <t xml:space="preserve">
</t>
    </r>
    <r>
      <rPr>
        <sz val="11"/>
        <color rgb="FFFF0000"/>
        <rFont val="Cambria"/>
        <family val="1"/>
      </rPr>
      <t xml:space="preserve">2. NA
</t>
    </r>
    <r>
      <rPr>
        <sz val="11"/>
        <color rgb="FFFF0000"/>
        <rFont val="Cambria"/>
        <family val="1"/>
        <charset val="1"/>
      </rPr>
      <t xml:space="preserve">
3. </t>
    </r>
    <r>
      <rPr>
        <sz val="11"/>
        <color rgb="FFFF0000"/>
        <rFont val="Cambria"/>
        <family val="1"/>
      </rPr>
      <t xml:space="preserve">SRS D001020097 – 2.1.2.1.1 Invalid email or password, only 3 attempts left. 
</t>
    </r>
    <r>
      <rPr>
        <sz val="11"/>
        <color rgb="FFFF0000"/>
        <rFont val="Cambria"/>
        <family val="1"/>
        <charset val="1"/>
      </rPr>
      <t xml:space="preserve">
4. </t>
    </r>
    <r>
      <rPr>
        <sz val="11"/>
        <color rgb="FFFF0000"/>
        <rFont val="Cambria"/>
        <family val="1"/>
      </rPr>
      <t xml:space="preserve">SRS D001020097 – 2.1.2.1.1 Invalid email or password, only 3 attempts left. </t>
    </r>
  </si>
  <si>
    <r>
      <t>1.</t>
    </r>
    <r>
      <rPr>
        <sz val="11"/>
        <color rgb="FFFF0000"/>
        <rFont val="Cambria"/>
        <family val="1"/>
      </rPr>
      <t xml:space="preserve"> SRS D001020023-</t>
    </r>
    <r>
      <rPr>
        <sz val="11"/>
        <color rgb="FFFF0000"/>
        <rFont val="Times New Roman"/>
        <family val="1"/>
      </rPr>
      <t xml:space="preserve">2.1.2.2 If the Hospital Code is valid, then on pressing the PROCEED button, the application shall be validated by the invisible captcha.
</t>
    </r>
    <r>
      <rPr>
        <sz val="11"/>
        <color rgb="FFFF0000"/>
        <rFont val="Cambria"/>
        <family val="1"/>
      </rPr>
      <t xml:space="preserve">SRS D001020097 –  </t>
    </r>
    <r>
      <rPr>
        <sz val="11"/>
        <color rgb="FFFF0000"/>
        <rFont val="Times New Roman"/>
        <family val="1"/>
      </rPr>
      <t xml:space="preserve">2.1.2.6The Application shall be validated by using invisible captcha during login.
</t>
    </r>
    <r>
      <rPr>
        <sz val="11"/>
        <color rgb="FFFF0000"/>
        <rFont val="Cambria"/>
        <family val="1"/>
        <charset val="1"/>
      </rPr>
      <t xml:space="preserve">
2. </t>
    </r>
    <r>
      <rPr>
        <sz val="11"/>
        <color rgb="FFFF0000"/>
        <rFont val="Cambria"/>
        <family val="1"/>
      </rPr>
      <t xml:space="preserve">SRS D001020097 – 2.1.2.1.1 Invalid email or password, only 3 attempts left. 
</t>
    </r>
    <r>
      <rPr>
        <sz val="11"/>
        <color rgb="FFFF0000"/>
        <rFont val="Cambria"/>
        <family val="1"/>
        <charset val="1"/>
      </rPr>
      <t xml:space="preserve">3. </t>
    </r>
    <r>
      <rPr>
        <sz val="11"/>
        <color rgb="FFFF0000"/>
        <rFont val="Cambria"/>
        <family val="1"/>
      </rPr>
      <t xml:space="preserve">SRS D001020097 – 2.1.2.1.1 Invalid email or password, only 3 attempts left. </t>
    </r>
  </si>
  <si>
    <t>1. NA
2. SRS D001020024 -2.17.2The Application shall provide secure tunnel Communications channel
3. SRS D001020024 -2.17.2The Application shall provide secure tunnel Communications channel</t>
  </si>
  <si>
    <r>
      <rPr>
        <sz val="11"/>
        <color rgb="FFFF0000"/>
        <rFont val="Cambria"/>
        <family val="1"/>
      </rPr>
      <t>1.NA- SOM - (Firewall and HDO )</t>
    </r>
    <r>
      <rPr>
        <sz val="11"/>
        <color rgb="FF000000"/>
        <rFont val="Cambria"/>
        <family val="1"/>
      </rPr>
      <t xml:space="preserve">
 2.SOM D001020115 - 23. Malware Detection/Protection
3. </t>
    </r>
    <r>
      <rPr>
        <sz val="11"/>
        <color rgb="FF00000A"/>
        <rFont val="Cambria"/>
        <family val="1"/>
      </rPr>
      <t>SRS D001020024 -2.17.2The Application shall provide secure tunnel Communications channel</t>
    </r>
  </si>
  <si>
    <r>
      <rPr>
        <sz val="11"/>
        <color rgb="FFFF0000"/>
        <rFont val="Cambria"/>
        <family val="1"/>
      </rPr>
      <t>1.NA
2.NA
3.NA
4.SRS D001020024 -2.17.6The Application shall support the use of anti-malware mechanism</t>
    </r>
    <r>
      <rPr>
        <sz val="11"/>
        <color rgb="FF00000A"/>
        <rFont val="Cambria"/>
        <family val="1"/>
      </rPr>
      <t xml:space="preserve">
</t>
    </r>
    <r>
      <rPr>
        <sz val="11"/>
        <color rgb="FF000000"/>
        <rFont val="Cambria"/>
        <family val="1"/>
      </rPr>
      <t xml:space="preserve">5.SRS </t>
    </r>
    <r>
      <rPr>
        <sz val="11"/>
        <color rgb="FF00000A"/>
        <rFont val="Cambria"/>
        <family val="1"/>
      </rPr>
      <t xml:space="preserve">D001020097 –2.1.7.2
The application shall allow to upgrade the tablet application.
</t>
    </r>
    <r>
      <rPr>
        <sz val="11"/>
        <color rgb="FFFF0000"/>
        <rFont val="Cambria"/>
        <family val="1"/>
      </rPr>
      <t>6.NA</t>
    </r>
    <r>
      <rPr>
        <sz val="11"/>
        <color rgb="FF000000"/>
        <rFont val="Cambria"/>
        <family val="1"/>
      </rPr>
      <t xml:space="preserve">
7.SOM D001020115 - 23. Malware Detection/Protection</t>
    </r>
  </si>
  <si>
    <r>
      <rPr>
        <sz val="11"/>
        <color rgb="FFFF0000"/>
        <rFont val="Cambria"/>
        <family val="1"/>
      </rPr>
      <t xml:space="preserve">1. Installation Manual -Tablet, </t>
    </r>
    <r>
      <rPr>
        <sz val="11"/>
        <color rgb="FF00000A"/>
        <rFont val="Cambria"/>
        <family val="1"/>
      </rPr>
      <t xml:space="preserve">
</t>
    </r>
    <r>
      <rPr>
        <sz val="11"/>
        <color rgb="FF000000"/>
        <rFont val="Cambria"/>
        <family val="1"/>
      </rPr>
      <t xml:space="preserve">2.SRS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3.SRS </t>
    </r>
    <r>
      <rPr>
        <sz val="11"/>
        <color rgb="FF00000A"/>
        <rFont val="Cambria"/>
        <family val="1"/>
      </rPr>
      <t>D001020097 – 2.1.2.1.1 Invalid email or password, only 3 attempts left.</t>
    </r>
    <r>
      <rPr>
        <sz val="11"/>
        <color rgb="FF000000"/>
        <rFont val="Cambria"/>
        <family val="1"/>
      </rPr>
      <t xml:space="preserve"> 
</t>
    </r>
    <r>
      <rPr>
        <sz val="11"/>
        <color rgb="FFFF0000"/>
        <rFont val="Cambria"/>
        <family val="1"/>
      </rPr>
      <t xml:space="preserve">4. NA
5.NA
</t>
    </r>
    <r>
      <rPr>
        <sz val="11"/>
        <color rgb="FF000000"/>
        <rFont val="Cambria"/>
        <family val="1"/>
      </rPr>
      <t xml:space="preserve">6.SRS </t>
    </r>
    <r>
      <rPr>
        <sz val="11"/>
        <color rgb="FF00000A"/>
        <rFont val="Cambria"/>
        <family val="1"/>
      </rPr>
      <t>D001020097 – 2.1.2.1.1 Invalid email or password, only 3 attempts left.</t>
    </r>
    <r>
      <rPr>
        <sz val="11"/>
        <color rgb="FF000000"/>
        <rFont val="Cambria"/>
        <family val="1"/>
      </rPr>
      <t xml:space="preserve"> </t>
    </r>
  </si>
  <si>
    <r>
      <rPr>
        <sz val="11"/>
        <color rgb="FFFF0000"/>
        <rFont val="Cambria"/>
        <family val="1"/>
      </rPr>
      <t>1. SRS D001020097 – 2.1.2.1.1 Invalid email or password, only 3 attempts left.</t>
    </r>
    <r>
      <rPr>
        <sz val="11"/>
        <color rgb="FF000000"/>
        <rFont val="Cambria"/>
        <family val="1"/>
      </rPr>
      <t xml:space="preserve"> 
2. SRS </t>
    </r>
    <r>
      <rPr>
        <sz val="11"/>
        <color rgb="FF00000A"/>
        <rFont val="Cambria"/>
        <family val="1"/>
      </rPr>
      <t>D001020023-</t>
    </r>
    <r>
      <rPr>
        <sz val="11"/>
        <color rgb="FF00000A"/>
        <rFont val="Times New Roman"/>
        <family val="1"/>
      </rPr>
      <t xml:space="preserve">2.1.2.2 If the Hospital Code is valid, then on pressing the PROCEED button, the application shall be validated by the invisible captcha
</t>
    </r>
    <r>
      <rPr>
        <sz val="11"/>
        <color rgb="FF000000"/>
        <rFont val="Cambria"/>
        <family val="1"/>
      </rPr>
      <t xml:space="preserve">SRS </t>
    </r>
    <r>
      <rPr>
        <sz val="11"/>
        <color rgb="FF00000A"/>
        <rFont val="Cambria"/>
        <family val="1"/>
      </rPr>
      <t xml:space="preserve">D001020097 – </t>
    </r>
    <r>
      <rPr>
        <sz val="11"/>
        <color rgb="FF00000A"/>
        <rFont val="Times New Roman"/>
        <family val="1"/>
      </rPr>
      <t xml:space="preserve">2.1.2.6 The Application shall be validated by using invisible captcha during login.
</t>
    </r>
    <r>
      <rPr>
        <sz val="11"/>
        <color rgb="FF000000"/>
        <rFont val="Cambria"/>
        <family val="1"/>
      </rPr>
      <t xml:space="preserve">3. SRS </t>
    </r>
    <r>
      <rPr>
        <sz val="11"/>
        <color rgb="FF00000A"/>
        <rFont val="Cambria"/>
        <family val="1"/>
      </rPr>
      <t>D001020097 – 2.1.2.1.1 Invalid email or password, only 3 attempts left.</t>
    </r>
    <r>
      <rPr>
        <sz val="11"/>
        <color rgb="FF000000"/>
        <rFont val="Cambria"/>
        <family val="1"/>
      </rPr>
      <t xml:space="preserve"> 
</t>
    </r>
    <r>
      <rPr>
        <sz val="11"/>
        <color rgb="FFFF0000"/>
        <rFont val="Cambria"/>
        <family val="1"/>
      </rPr>
      <t>4. SRS D001020097 – 2.1.2.1.1 Invalid email or password, only 3 attempts left.</t>
    </r>
    <r>
      <rPr>
        <sz val="11"/>
        <color rgb="FF000000"/>
        <rFont val="Cambria"/>
        <family val="1"/>
      </rPr>
      <t xml:space="preserve"> 
</t>
    </r>
    <r>
      <rPr>
        <sz val="11"/>
        <color rgb="FFFF0000"/>
        <rFont val="Cambria"/>
        <family val="1"/>
      </rPr>
      <t xml:space="preserve">
5. NA
6. SRS D001020097 – 2.1.2.1.1 Invalid email or password, only 3 attempts left.</t>
    </r>
    <r>
      <rPr>
        <sz val="11"/>
        <color rgb="FF000000"/>
        <rFont val="Cambria"/>
        <family val="1"/>
      </rPr>
      <t xml:space="preserve"> </t>
    </r>
  </si>
  <si>
    <r>
      <t xml:space="preserve">1. SOM D001020115 - 23. Malware Detection/Protection
</t>
    </r>
    <r>
      <rPr>
        <sz val="11"/>
        <color rgb="FF000000"/>
        <rFont val="Cambria"/>
        <family val="1"/>
      </rPr>
      <t xml:space="preserve">2. </t>
    </r>
    <r>
      <rPr>
        <sz val="11"/>
        <color rgb="FF00000A"/>
        <rFont val="Cambria"/>
        <family val="1"/>
      </rPr>
      <t xml:space="preserve">SRS D001020024 -2.17.6The Application shall support the use of anti-malware mechanism
</t>
    </r>
    <r>
      <rPr>
        <sz val="11"/>
        <color rgb="FF000000"/>
        <rFont val="Cambria"/>
        <family val="1"/>
      </rPr>
      <t xml:space="preserve">
3.SRS </t>
    </r>
    <r>
      <rPr>
        <sz val="11"/>
        <color rgb="FF00000A"/>
        <rFont val="Cambria"/>
        <family val="1"/>
      </rPr>
      <t>D001020097 – 2.1.2.1.1 Invalid email or password, only 3 attempts left.</t>
    </r>
    <r>
      <rPr>
        <sz val="11"/>
        <color rgb="FF000000"/>
        <rFont val="Cambria"/>
        <family val="1"/>
      </rPr>
      <t xml:space="preserve"> 
4. </t>
    </r>
    <r>
      <rPr>
        <sz val="11"/>
        <color rgb="FF00000A"/>
        <rFont val="Cambria"/>
        <family val="1"/>
      </rPr>
      <t>SRS D001020024 -2.17.2The Application shall provide secure tunnel Communications channel</t>
    </r>
  </si>
  <si>
    <r>
      <rPr>
        <sz val="11"/>
        <color rgb="FFFF0000"/>
        <rFont val="Cambria"/>
        <family val="1"/>
      </rPr>
      <t>1. Only stryker made/authenticated devices should communicate with smart medic device &amp; tablet</t>
    </r>
    <r>
      <rPr>
        <sz val="11"/>
        <color rgb="FF000000"/>
        <rFont val="Cambria"/>
        <family val="1"/>
        <charset val="1"/>
      </rPr>
      <t xml:space="preserve">
2. Asset should be behind stateful firewall
3.  Use secure tunnel communications channel </t>
    </r>
  </si>
  <si>
    <r>
      <rPr>
        <sz val="11"/>
        <color rgb="FFFF0000"/>
        <rFont val="Cambria"/>
        <family val="1"/>
      </rPr>
      <t>1. Only Stryker/HDO authenticated devices should communicate with smart medic device &amp; tablet</t>
    </r>
    <r>
      <rPr>
        <sz val="11"/>
        <color rgb="FF000000"/>
        <rFont val="Cambria"/>
        <family val="1"/>
        <charset val="1"/>
      </rPr>
      <t xml:space="preserve">
2. Asset should be behind stateful firewall
3. Use secure tunnel communications channel </t>
    </r>
  </si>
  <si>
    <r>
      <t xml:space="preserve">1. Deployed (V&amp;V) secure system configuration model needs to be mentioned in the installation manual.
</t>
    </r>
    <r>
      <rPr>
        <strike/>
        <sz val="11"/>
        <color rgb="FFFF0000"/>
        <rFont val="Cambria"/>
        <family val="1"/>
      </rPr>
      <t>2. Deploy system configuration management tool
3. Implement automated configuration monitoring systems</t>
    </r>
    <r>
      <rPr>
        <sz val="11"/>
        <color rgb="FFFF0000"/>
        <rFont val="Cambria"/>
        <family val="1"/>
      </rPr>
      <t xml:space="preserve">
4. Establish internal and external
information sources for threat
intelligence and vulnerability
data, monitoring them regularly
and taking appropriate action for
high-priority items
5. Use upgraded software, firmware
6 Never create/use credentials with personal details such as date of birth, spouse, or child’s or pet’s name
7. Stateful Firewall</t>
    </r>
  </si>
  <si>
    <r>
      <t xml:space="preserve">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FF0000"/>
        <rFont val="Cambria"/>
        <family val="1"/>
      </rPr>
      <t>4. Maintain Access Logs
5. Maintain Server Security Logs</t>
    </r>
    <r>
      <rPr>
        <sz val="11"/>
        <color rgb="FFFF0000"/>
        <rFont val="Cambria"/>
        <family val="1"/>
        <charset val="1"/>
      </rPr>
      <t xml:space="preserve">
6. Stronger authentication methods</t>
    </r>
  </si>
  <si>
    <r>
      <t xml:space="preserve">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000000"/>
        <rFont val="Cambria"/>
        <family val="1"/>
      </rPr>
      <t>4. Maintain Access Logs
5. Maintain Server Security Logs</t>
    </r>
    <r>
      <rPr>
        <sz val="11"/>
        <color rgb="FF000000"/>
        <rFont val="Cambria"/>
        <family val="1"/>
        <charset val="1"/>
      </rPr>
      <t xml:space="preserve">
6. Stronger authentication methods</t>
    </r>
  </si>
  <si>
    <r>
      <t xml:space="preserve">1. If devices/apps being accessed by login credentials &amp; MFA. Then, strong password policies &amp; management are required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FF0000"/>
        <rFont val="Cambria"/>
        <family val="1"/>
      </rPr>
      <t>4. Maintain Access Logs
5. Maintain Server Security Logs</t>
    </r>
    <r>
      <rPr>
        <sz val="11"/>
        <color rgb="FFFF0000"/>
        <rFont val="Cambria"/>
        <family val="1"/>
        <charset val="1"/>
      </rPr>
      <t xml:space="preserve">
6. Stronger authentication methods</t>
    </r>
  </si>
  <si>
    <r>
      <t xml:space="preserve">1. Anonymization/Pseudomyzation of patient details
2. Data encyrption
3. Audit log - Maintain Access logs (login (attempted &amp; failed), logoff, id change)
4. Audit log - Maintain security logs (such as change/modification of system configuration settings, services, etc.) 
</t>
    </r>
    <r>
      <rPr>
        <strike/>
        <sz val="11"/>
        <color rgb="FF000000"/>
        <rFont val="Cambria"/>
        <family val="1"/>
      </rPr>
      <t>3. Mainitaing Access Logs
4. Maintain Server Security Logs</t>
    </r>
  </si>
  <si>
    <r>
      <t>1. If devices/apps being accessed by login credentials &amp; MFA. Then, strong password policies &amp; management are required
2. Require multi-factor authentication
3 Limit authentication attempts (rate Limiting)</t>
    </r>
    <r>
      <rPr>
        <sz val="11"/>
        <color rgb="FFFF0000"/>
        <rFont val="Cambria"/>
        <family val="1"/>
      </rPr>
      <t xml:space="preserve">
4. Audit log - Maintain Access logs (login (attempted &amp; failed), logoff, id change)
5. Audit log - Maintain security logs (such as change/modification of system configuration settings, services, etc.) 
</t>
    </r>
    <r>
      <rPr>
        <strike/>
        <sz val="11"/>
        <color rgb="FFFF0000"/>
        <rFont val="Cambria"/>
        <family val="1"/>
      </rPr>
      <t>5 Maintain Server Security Logs</t>
    </r>
    <r>
      <rPr>
        <sz val="11"/>
        <color rgb="FFFF0000"/>
        <rFont val="Cambria"/>
        <family val="1"/>
      </rPr>
      <t xml:space="preserve">
</t>
    </r>
    <r>
      <rPr>
        <sz val="11"/>
        <color rgb="FF000000"/>
        <rFont val="Cambria"/>
        <family val="1"/>
        <charset val="1"/>
      </rPr>
      <t>6. Stronger authentication methods</t>
    </r>
  </si>
  <si>
    <r>
      <t xml:space="preserve">1. Strong password strength practices is recommended for admin web app.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000000"/>
        <rFont val="Cambria"/>
        <family val="1"/>
      </rPr>
      <t>4. Maintain Access Logs
5. Maintain Server Security Logs</t>
    </r>
    <r>
      <rPr>
        <sz val="11"/>
        <color rgb="FF000000"/>
        <rFont val="Cambria"/>
        <family val="1"/>
        <charset val="1"/>
      </rPr>
      <t xml:space="preserve">
6. Stronger authentication methods
</t>
    </r>
  </si>
  <si>
    <r>
      <t xml:space="preserve">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000000"/>
        <rFont val="Cambria"/>
        <family val="1"/>
      </rPr>
      <t>4. Maintain Access Logs
5. Maintain Server Security Logs</t>
    </r>
  </si>
  <si>
    <r>
      <t xml:space="preserve">1. Strong password strength practices is recommended in azure
2. Require multi-factor authentication
3. limit authentication attempts (rate Limiting)
4. Audit log - Maintain Access logs (login (attempted &amp; failed), logoff, id change)
5. Audit log - Maintain security logs (such as change/modification of system configuration settings, services, etc.) 
</t>
    </r>
    <r>
      <rPr>
        <strike/>
        <sz val="11"/>
        <color rgb="FF000000"/>
        <rFont val="Cambria"/>
        <family val="1"/>
      </rPr>
      <t>4. Maintain Access Logs
5. Maintain Server Security Logs</t>
    </r>
    <r>
      <rPr>
        <sz val="11"/>
        <color rgb="FF000000"/>
        <rFont val="Cambria"/>
        <family val="1"/>
        <charset val="1"/>
      </rPr>
      <t xml:space="preserve">
6. Stronger authentication methods
</t>
    </r>
  </si>
  <si>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</si>
  <si>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SOM responsibility
1. Statefull Firewall
2. Maintain access control (read/modify) permission list for any sensitive &amp; unencrypted data if present.</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</si>
  <si>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</si>
  <si>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</si>
  <si>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Stryker IT team responsibility
1. Delete any request for personal information
2. Statefull firewall
3. Disable device network discoverable
4. Maintain access control (read/modify) permission list for any sensitive &amp; unencrypted data if present.</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</si>
  <si>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</si>
  <si>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</si>
  <si>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Asset should be behind stateful firewall
2. Anti-virus with updated virus definitions
3. Audit log capturing any abnormal activity identified/reported by the application
4.  Use hardened interfaces (n/w) &amp; secure tunnel communications channel </t>
  </si>
  <si>
    <t xml:space="preserve">1. Asset should be behind stateful firewall
2. Anti-virus with updated virus definitions
3. Audit log capturing any abnormal activity identified/reported by the application identified/reported by the application
4.  Use hardened interfaces (n/w) &amp; secure tunnel communications channel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</si>
</sst>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1"/>
      <color rgb="FF000000"/>
      <name val="Calibri"/>
      <family val="2"/>
      <charset val="1"/>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charset val="1"/>
    </font>
    <font>
      <sz val="11"/>
      <color rgb="FF00000A"/>
      <name val="Cambria"/>
      <family val="1"/>
    </font>
    <font>
      <sz val="11"/>
      <name val="Cambria"/>
      <family val="1"/>
      <charset val="1"/>
    </font>
    <font>
      <sz val="11"/>
      <color rgb="FF000000"/>
      <name val="Cambria"/>
      <family val="1"/>
    </font>
    <font>
      <sz val="11"/>
      <color rgb="FF00000A"/>
      <name val="Times New Roman"/>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sz val="11"/>
      <color rgb="FFFF0000"/>
      <name val="Cambria"/>
      <family val="1"/>
    </font>
    <font>
      <sz val="11"/>
      <color rgb="FFFF0000"/>
      <name val="Times New Roman"/>
      <family val="1"/>
    </font>
    <font>
      <sz val="11"/>
      <color rgb="FFFF0000"/>
      <name val="Cambria"/>
      <family val="1"/>
      <charset val="1"/>
    </font>
    <font>
      <strike/>
      <sz val="11"/>
      <color rgb="FFFF0000"/>
      <name val="Cambria"/>
      <family val="1"/>
    </font>
    <font>
      <strike/>
      <sz val="11"/>
      <color rgb="FF000000"/>
      <name val="Cambria"/>
      <family val="1"/>
    </font>
  </fonts>
  <fills count="23">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3">
    <xf numFmtId="0" fontId="0" fillId="0" borderId="0"/>
    <xf numFmtId="0" fontId="35" fillId="0" borderId="0"/>
    <xf numFmtId="0" fontId="35" fillId="0" borderId="0"/>
  </cellStyleXfs>
  <cellXfs count="272">
    <xf numFmtId="0" fontId="0" fillId="0" borderId="0" xfId="0"/>
    <xf numFmtId="0" fontId="1"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2" fillId="2" borderId="1" xfId="0" applyFont="1" applyFill="1" applyBorder="1" applyAlignment="1">
      <alignment vertical="top"/>
    </xf>
    <xf numFmtId="0" fontId="2" fillId="2" borderId="2" xfId="0" applyFont="1" applyFill="1" applyBorder="1" applyAlignment="1">
      <alignment vertical="top" wrapText="1"/>
    </xf>
    <xf numFmtId="0" fontId="3" fillId="0" borderId="3" xfId="0" applyFont="1" applyBorder="1" applyAlignment="1">
      <alignment horizontal="left" vertical="top" wrapText="1"/>
    </xf>
    <xf numFmtId="0" fontId="2" fillId="2" borderId="4" xfId="0" applyFont="1" applyFill="1" applyBorder="1" applyAlignment="1">
      <alignment vertical="top"/>
    </xf>
    <xf numFmtId="0" fontId="2" fillId="2" borderId="5" xfId="0" applyFont="1" applyFill="1" applyBorder="1" applyAlignment="1">
      <alignment vertical="top" wrapText="1"/>
    </xf>
    <xf numFmtId="0" fontId="4" fillId="3" borderId="3" xfId="0" applyFont="1" applyFill="1" applyBorder="1" applyAlignment="1">
      <alignment horizontal="left" vertical="top"/>
    </xf>
    <xf numFmtId="0" fontId="3" fillId="2" borderId="2" xfId="0" applyFont="1" applyFill="1" applyBorder="1" applyAlignment="1">
      <alignment vertical="top" wrapText="1"/>
    </xf>
    <xf numFmtId="0" fontId="4" fillId="3" borderId="5" xfId="0" applyFont="1" applyFill="1" applyBorder="1" applyAlignment="1">
      <alignment horizontal="center" vertical="top" wrapText="1"/>
    </xf>
    <xf numFmtId="0" fontId="4" fillId="3" borderId="6" xfId="0" applyFont="1" applyFill="1" applyBorder="1" applyAlignment="1">
      <alignment horizontal="center" vertical="top" wrapText="1"/>
    </xf>
    <xf numFmtId="0" fontId="4" fillId="3" borderId="4" xfId="0" applyFont="1" applyFill="1" applyBorder="1" applyAlignment="1">
      <alignment horizontal="center" vertical="top" wrapText="1"/>
    </xf>
    <xf numFmtId="0" fontId="3"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horizontal="left" vertical="top" wrapText="1"/>
    </xf>
    <xf numFmtId="0" fontId="5" fillId="0" borderId="1" xfId="0" applyFont="1" applyBorder="1" applyAlignment="1">
      <alignment horizontal="left" vertical="top" wrapText="1"/>
    </xf>
    <xf numFmtId="0" fontId="5" fillId="0" borderId="3" xfId="0" applyFont="1" applyBorder="1" applyAlignment="1">
      <alignment vertical="top" wrapText="1"/>
    </xf>
    <xf numFmtId="0" fontId="3" fillId="0" borderId="1" xfId="0" applyFont="1" applyBorder="1" applyAlignment="1">
      <alignment vertical="top" wrapText="1"/>
    </xf>
    <xf numFmtId="0" fontId="3" fillId="0" borderId="3" xfId="0" applyFont="1" applyBorder="1" applyAlignment="1">
      <alignment horizontal="center" vertical="top" wrapText="1"/>
    </xf>
    <xf numFmtId="0" fontId="3" fillId="0" borderId="3" xfId="0" applyFont="1" applyBorder="1" applyAlignment="1">
      <alignment vertical="top" wrapText="1"/>
    </xf>
    <xf numFmtId="0" fontId="3" fillId="0" borderId="7" xfId="0" applyFont="1" applyBorder="1" applyAlignment="1">
      <alignment horizontal="center"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6" fillId="0" borderId="0" xfId="0" applyFont="1"/>
    <xf numFmtId="0" fontId="6" fillId="0" borderId="0" xfId="0" applyFont="1" applyAlignment="1">
      <alignment wrapText="1"/>
    </xf>
    <xf numFmtId="0" fontId="0" fillId="0" borderId="0" xfId="0" applyFont="1" applyAlignment="1">
      <alignment vertical="top"/>
    </xf>
    <xf numFmtId="0" fontId="0" fillId="0" borderId="0" xfId="0" applyFont="1" applyAlignment="1">
      <alignment vertical="top" wrapText="1"/>
    </xf>
    <xf numFmtId="0" fontId="3" fillId="0" borderId="0" xfId="0" applyFont="1" applyAlignment="1">
      <alignment vertical="top"/>
    </xf>
    <xf numFmtId="0" fontId="4" fillId="5" borderId="5" xfId="0" applyFont="1" applyFill="1" applyBorder="1" applyAlignment="1">
      <alignment vertical="top"/>
    </xf>
    <xf numFmtId="0" fontId="4" fillId="5" borderId="6" xfId="0" applyFont="1" applyFill="1" applyBorder="1" applyAlignment="1">
      <alignment horizontal="center" vertical="top" wrapText="1"/>
    </xf>
    <xf numFmtId="0" fontId="4" fillId="5" borderId="6" xfId="0" applyFont="1" applyFill="1" applyBorder="1" applyAlignment="1">
      <alignment horizontal="center" vertical="top"/>
    </xf>
    <xf numFmtId="0" fontId="3" fillId="0" borderId="5" xfId="0" applyFont="1" applyBorder="1" applyAlignment="1">
      <alignment vertical="top"/>
    </xf>
    <xf numFmtId="0" fontId="3" fillId="0" borderId="6" xfId="0" applyFont="1" applyBorder="1" applyAlignment="1">
      <alignment vertical="top" wrapText="1"/>
    </xf>
    <xf numFmtId="0" fontId="3" fillId="0" borderId="2" xfId="0" applyFont="1" applyBorder="1" applyAlignment="1">
      <alignment vertical="top"/>
    </xf>
    <xf numFmtId="0" fontId="3" fillId="6" borderId="10" xfId="0" applyFont="1" applyFill="1" applyBorder="1" applyAlignment="1">
      <alignment horizontal="left" vertical="top"/>
    </xf>
    <xf numFmtId="0" fontId="3" fillId="6" borderId="10" xfId="0" applyFont="1" applyFill="1" applyBorder="1" applyAlignment="1">
      <alignment horizontal="left" vertical="top" wrapText="1"/>
    </xf>
    <xf numFmtId="0" fontId="3" fillId="0" borderId="2" xfId="0" applyFont="1" applyBorder="1" applyAlignment="1">
      <alignment vertical="top" wrapText="1"/>
    </xf>
    <xf numFmtId="0" fontId="3" fillId="0" borderId="3" xfId="0" applyFont="1" applyBorder="1" applyAlignment="1">
      <alignment vertical="top"/>
    </xf>
    <xf numFmtId="0" fontId="3" fillId="0" borderId="9" xfId="0" applyFont="1" applyBorder="1" applyAlignment="1">
      <alignment vertical="top" wrapText="1"/>
    </xf>
    <xf numFmtId="0" fontId="3" fillId="0" borderId="7" xfId="0" applyFont="1" applyBorder="1" applyAlignment="1">
      <alignment vertical="top"/>
    </xf>
    <xf numFmtId="0" fontId="3" fillId="4" borderId="9" xfId="0" applyFont="1" applyFill="1" applyBorder="1" applyAlignment="1">
      <alignment vertical="top"/>
    </xf>
    <xf numFmtId="0" fontId="3" fillId="4" borderId="2" xfId="0" applyFont="1" applyFill="1" applyBorder="1" applyAlignment="1">
      <alignment vertical="top"/>
    </xf>
    <xf numFmtId="0" fontId="3" fillId="6" borderId="2" xfId="0" applyFont="1" applyFill="1" applyBorder="1" applyAlignment="1">
      <alignment horizontal="left" vertical="top"/>
    </xf>
    <xf numFmtId="0" fontId="3" fillId="6" borderId="3" xfId="0" applyFont="1" applyFill="1" applyBorder="1" applyAlignment="1">
      <alignment horizontal="left" vertical="top" wrapText="1"/>
    </xf>
    <xf numFmtId="0" fontId="3" fillId="6" borderId="3" xfId="0" applyFont="1" applyFill="1" applyBorder="1" applyAlignment="1">
      <alignment horizontal="left" vertical="top"/>
    </xf>
    <xf numFmtId="0" fontId="0" fillId="0" borderId="0" xfId="0" applyFont="1" applyAlignment="1">
      <alignment horizontal="center" vertical="top"/>
    </xf>
    <xf numFmtId="0" fontId="3" fillId="0" borderId="0" xfId="0" applyFont="1" applyAlignment="1">
      <alignment horizontal="center" vertical="top"/>
    </xf>
    <xf numFmtId="0" fontId="4" fillId="5" borderId="4" xfId="0" applyFont="1" applyFill="1" applyBorder="1" applyAlignment="1">
      <alignment horizontal="center" vertical="top" wrapText="1"/>
    </xf>
    <xf numFmtId="0" fontId="3" fillId="0" borderId="11" xfId="0" applyFont="1" applyBorder="1" applyAlignment="1">
      <alignment horizontal="center" vertical="top" wrapText="1"/>
    </xf>
    <xf numFmtId="0" fontId="3" fillId="0" borderId="3" xfId="2" applyFont="1" applyBorder="1" applyAlignment="1">
      <alignment vertical="top" wrapText="1"/>
    </xf>
    <xf numFmtId="0" fontId="3" fillId="0" borderId="3" xfId="0" applyFont="1" applyBorder="1" applyAlignment="1">
      <alignment horizontal="center" vertical="top"/>
    </xf>
    <xf numFmtId="0" fontId="3" fillId="0" borderId="1" xfId="0" applyFont="1" applyBorder="1" applyAlignment="1">
      <alignment vertical="top"/>
    </xf>
    <xf numFmtId="0" fontId="5" fillId="0" borderId="0" xfId="0" applyFont="1" applyAlignment="1">
      <alignment vertical="top"/>
    </xf>
    <xf numFmtId="0" fontId="3" fillId="4" borderId="11" xfId="0" applyFont="1" applyFill="1" applyBorder="1" applyAlignment="1">
      <alignment horizontal="center" vertical="top" wrapText="1"/>
    </xf>
    <xf numFmtId="0" fontId="3" fillId="4" borderId="3" xfId="0" applyFont="1" applyFill="1" applyBorder="1" applyAlignment="1">
      <alignment vertical="top" wrapText="1"/>
    </xf>
    <xf numFmtId="0" fontId="3" fillId="4" borderId="7" xfId="0" applyFont="1" applyFill="1" applyBorder="1" applyAlignment="1">
      <alignment horizontal="center" vertical="top" wrapText="1"/>
    </xf>
    <xf numFmtId="0" fontId="3" fillId="0" borderId="7" xfId="0" applyFont="1" applyBorder="1" applyAlignment="1">
      <alignment horizontal="center" vertical="top"/>
    </xf>
    <xf numFmtId="0" fontId="3"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0" fillId="0" borderId="0" xfId="0" applyFont="1"/>
    <xf numFmtId="0" fontId="3" fillId="0" borderId="0" xfId="0" applyFont="1" applyAlignment="1">
      <alignment horizontal="center" vertical="center"/>
    </xf>
    <xf numFmtId="0" fontId="3" fillId="0" borderId="0" xfId="0" applyFont="1"/>
    <xf numFmtId="0" fontId="3" fillId="0" borderId="0" xfId="0" applyFont="1" applyAlignment="1">
      <alignment wrapText="1"/>
    </xf>
    <xf numFmtId="0" fontId="2" fillId="7" borderId="7" xfId="0" applyFont="1" applyFill="1" applyBorder="1" applyAlignment="1">
      <alignment vertical="center" wrapText="1"/>
    </xf>
    <xf numFmtId="0" fontId="2" fillId="7" borderId="12" xfId="0" applyFont="1" applyFill="1" applyBorder="1" applyAlignment="1">
      <alignment horizontal="center" vertical="center" wrapText="1"/>
    </xf>
    <xf numFmtId="0" fontId="2" fillId="7" borderId="12" xfId="0" applyFont="1" applyFill="1" applyBorder="1" applyAlignment="1">
      <alignment vertical="center" wrapText="1"/>
    </xf>
    <xf numFmtId="0" fontId="2" fillId="7" borderId="8" xfId="0" applyFont="1" applyFill="1" applyBorder="1" applyAlignment="1">
      <alignment horizontal="center" vertical="center" wrapText="1"/>
    </xf>
    <xf numFmtId="0" fontId="2" fillId="7" borderId="9" xfId="0" applyFont="1" applyFill="1" applyBorder="1" applyAlignment="1">
      <alignment vertical="center" wrapText="1"/>
    </xf>
    <xf numFmtId="0" fontId="4" fillId="10" borderId="3" xfId="0" applyFont="1" applyFill="1" applyBorder="1" applyAlignment="1">
      <alignment horizontal="center" vertical="center" wrapText="1"/>
    </xf>
    <xf numFmtId="0" fontId="4" fillId="7" borderId="6" xfId="0" applyFont="1" applyFill="1" applyBorder="1" applyAlignment="1">
      <alignment vertical="center" wrapText="1"/>
    </xf>
    <xf numFmtId="0" fontId="7" fillId="7" borderId="13"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7" fillId="7" borderId="12"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8" fillId="8" borderId="15" xfId="0" applyFont="1" applyFill="1" applyBorder="1" applyAlignment="1">
      <alignment horizontal="center" vertical="center" textRotation="90" wrapText="1"/>
    </xf>
    <xf numFmtId="0" fontId="4" fillId="8" borderId="15"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8" fillId="10" borderId="9" xfId="0" applyFont="1" applyFill="1" applyBorder="1" applyAlignment="1">
      <alignment horizontal="center" vertical="center" textRotation="90" wrapText="1"/>
    </xf>
    <xf numFmtId="0" fontId="4" fillId="10" borderId="8" xfId="0" applyFont="1" applyFill="1" applyBorder="1" applyAlignment="1">
      <alignment horizontal="center" vertical="center" wrapText="1"/>
    </xf>
    <xf numFmtId="0" fontId="3" fillId="0" borderId="6" xfId="0" applyFont="1" applyBorder="1" applyAlignment="1">
      <alignment horizontal="center" vertical="top"/>
    </xf>
    <xf numFmtId="0" fontId="3" fillId="0" borderId="6" xfId="0" applyFont="1" applyBorder="1" applyAlignment="1">
      <alignment horizontal="center" vertical="center"/>
    </xf>
    <xf numFmtId="0" fontId="3" fillId="11" borderId="6" xfId="0" applyFont="1" applyFill="1" applyBorder="1" applyAlignment="1">
      <alignment vertical="top" wrapText="1"/>
    </xf>
    <xf numFmtId="0" fontId="3" fillId="0" borderId="3" xfId="0" applyFont="1" applyBorder="1" applyAlignment="1">
      <alignment horizontal="center" vertical="center"/>
    </xf>
    <xf numFmtId="0" fontId="3" fillId="11" borderId="3" xfId="0" applyFont="1" applyFill="1" applyBorder="1" applyAlignment="1">
      <alignment vertical="top" wrapText="1"/>
    </xf>
    <xf numFmtId="0" fontId="3" fillId="0" borderId="3" xfId="0" applyFont="1" applyBorder="1" applyAlignment="1">
      <alignment horizontal="center" vertical="center" wrapText="1"/>
    </xf>
    <xf numFmtId="0" fontId="3" fillId="4" borderId="3" xfId="0" applyFont="1" applyFill="1" applyBorder="1" applyAlignment="1">
      <alignment horizontal="center" vertical="center" wrapText="1"/>
    </xf>
    <xf numFmtId="164" fontId="11" fillId="11" borderId="3" xfId="0" applyNumberFormat="1" applyFont="1" applyFill="1" applyBorder="1" applyAlignment="1">
      <alignment horizontal="center" vertical="center" wrapText="1"/>
    </xf>
    <xf numFmtId="2" fontId="11" fillId="11" borderId="3"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14" fillId="0" borderId="3" xfId="0" applyFont="1" applyBorder="1" applyAlignment="1">
      <alignment vertical="top" wrapText="1"/>
    </xf>
    <xf numFmtId="0" fontId="3" fillId="11" borderId="3" xfId="0" applyFont="1" applyFill="1" applyBorder="1" applyAlignment="1">
      <alignment vertical="top" wrapText="1"/>
    </xf>
    <xf numFmtId="0" fontId="3" fillId="12" borderId="3" xfId="0" applyFont="1" applyFill="1" applyBorder="1" applyAlignment="1">
      <alignment horizontal="center" vertical="center"/>
    </xf>
    <xf numFmtId="164" fontId="3" fillId="11" borderId="3" xfId="0" applyNumberFormat="1" applyFont="1" applyFill="1" applyBorder="1" applyAlignment="1">
      <alignment horizontal="center" vertical="center" wrapText="1"/>
    </xf>
    <xf numFmtId="0" fontId="3" fillId="0" borderId="3" xfId="0" applyFont="1" applyBorder="1" applyAlignment="1">
      <alignment horizontal="center" vertical="top" wrapText="1"/>
    </xf>
    <xf numFmtId="0" fontId="3" fillId="4" borderId="3"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3" fillId="4" borderId="6" xfId="0" applyFont="1" applyFill="1" applyBorder="1" applyAlignment="1">
      <alignment horizontal="center" vertical="top"/>
    </xf>
    <xf numFmtId="0" fontId="15" fillId="0" borderId="7" xfId="0" applyFont="1" applyBorder="1" applyAlignment="1">
      <alignment vertical="top" wrapText="1"/>
    </xf>
    <xf numFmtId="0" fontId="15" fillId="0" borderId="3" xfId="0" applyFont="1" applyBorder="1" applyAlignment="1">
      <alignment vertical="top" wrapText="1"/>
    </xf>
    <xf numFmtId="0" fontId="3" fillId="0" borderId="2" xfId="0" applyFont="1" applyBorder="1" applyAlignment="1">
      <alignment horizontal="center" vertical="center" wrapText="1"/>
    </xf>
    <xf numFmtId="0" fontId="15" fillId="0" borderId="3" xfId="0" applyFont="1" applyBorder="1" applyAlignment="1">
      <alignment vertical="top" wrapText="1"/>
    </xf>
    <xf numFmtId="0" fontId="14" fillId="0" borderId="3" xfId="0" applyFont="1" applyBorder="1" applyAlignment="1">
      <alignment vertical="top"/>
    </xf>
    <xf numFmtId="0" fontId="3" fillId="11" borderId="3"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0" borderId="3" xfId="0" applyFont="1" applyBorder="1" applyAlignment="1">
      <alignment vertical="top" wrapText="1"/>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0" fillId="0" borderId="0" xfId="0" applyFont="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top" wrapText="1"/>
    </xf>
    <xf numFmtId="0" fontId="14" fillId="0" borderId="3" xfId="0" applyFont="1" applyBorder="1" applyAlignment="1">
      <alignment vertical="top"/>
    </xf>
    <xf numFmtId="0" fontId="3" fillId="0" borderId="3" xfId="0" applyFont="1" applyBorder="1" applyAlignment="1">
      <alignment vertical="top"/>
    </xf>
    <xf numFmtId="0" fontId="3" fillId="0" borderId="3" xfId="0" applyFont="1" applyBorder="1" applyAlignment="1">
      <alignment horizontal="center" vertical="center" wrapText="1"/>
    </xf>
    <xf numFmtId="164" fontId="11" fillId="0" borderId="3" xfId="0" applyNumberFormat="1" applyFont="1" applyBorder="1" applyAlignment="1">
      <alignment horizontal="center" vertical="center" wrapText="1"/>
    </xf>
    <xf numFmtId="0" fontId="11" fillId="0" borderId="3" xfId="0" applyFont="1" applyBorder="1" applyAlignment="1">
      <alignment horizontal="center" vertical="center" wrapText="1"/>
    </xf>
    <xf numFmtId="0" fontId="0" fillId="0" borderId="0" xfId="0" applyFont="1"/>
    <xf numFmtId="0" fontId="0" fillId="0" borderId="0" xfId="0"/>
    <xf numFmtId="0" fontId="3" fillId="0" borderId="6" xfId="0" applyFont="1" applyBorder="1" applyAlignment="1">
      <alignment horizontal="center" vertical="top"/>
    </xf>
    <xf numFmtId="0" fontId="3" fillId="4" borderId="7" xfId="0" applyFont="1" applyFill="1" applyBorder="1" applyAlignment="1">
      <alignment horizontal="center" vertical="top"/>
    </xf>
    <xf numFmtId="0" fontId="3" fillId="11" borderId="7" xfId="0" applyFont="1" applyFill="1" applyBorder="1" applyAlignment="1">
      <alignment vertical="top" wrapText="1"/>
    </xf>
    <xf numFmtId="0" fontId="3" fillId="12" borderId="7" xfId="0" applyFont="1" applyFill="1" applyBorder="1" applyAlignment="1">
      <alignment horizontal="center" vertical="center"/>
    </xf>
    <xf numFmtId="0" fontId="3" fillId="4" borderId="7" xfId="0" applyFont="1" applyFill="1" applyBorder="1" applyAlignment="1">
      <alignment horizontal="center" vertical="center" wrapText="1"/>
    </xf>
    <xf numFmtId="164" fontId="3" fillId="11" borderId="7" xfId="0" applyNumberFormat="1" applyFont="1" applyFill="1" applyBorder="1" applyAlignment="1">
      <alignment horizontal="center" vertical="center" wrapText="1"/>
    </xf>
    <xf numFmtId="164" fontId="11" fillId="11" borderId="7" xfId="0" applyNumberFormat="1" applyFont="1" applyFill="1" applyBorder="1" applyAlignment="1">
      <alignment horizontal="center" vertical="center" wrapText="1"/>
    </xf>
    <xf numFmtId="164" fontId="11" fillId="4" borderId="7" xfId="0" applyNumberFormat="1" applyFont="1" applyFill="1" applyBorder="1" applyAlignment="1">
      <alignment horizontal="center" vertical="center" wrapText="1"/>
    </xf>
    <xf numFmtId="0" fontId="3" fillId="0" borderId="7" xfId="0" applyFont="1" applyBorder="1" applyAlignment="1">
      <alignment horizontal="center" vertical="top" wrapText="1"/>
    </xf>
    <xf numFmtId="0" fontId="14" fillId="0" borderId="7" xfId="0" applyFont="1" applyBorder="1" applyAlignment="1">
      <alignment vertical="top"/>
    </xf>
    <xf numFmtId="0" fontId="3" fillId="4" borderId="7" xfId="0" applyFont="1" applyFill="1" applyBorder="1" applyAlignment="1">
      <alignment horizontal="center" vertical="center" wrapText="1"/>
    </xf>
    <xf numFmtId="0" fontId="11" fillId="13" borderId="7" xfId="0" applyFont="1" applyFill="1" applyBorder="1" applyAlignment="1">
      <alignment horizontal="center" vertical="center" wrapText="1"/>
    </xf>
    <xf numFmtId="0" fontId="3" fillId="4" borderId="3" xfId="0" applyFont="1" applyFill="1" applyBorder="1" applyAlignment="1">
      <alignment horizontal="center" vertical="top"/>
    </xf>
    <xf numFmtId="164" fontId="11" fillId="4" borderId="3" xfId="0" applyNumberFormat="1" applyFont="1" applyFill="1" applyBorder="1" applyAlignment="1">
      <alignment horizontal="center" vertical="center"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14" fillId="7" borderId="6" xfId="0" applyFont="1" applyFill="1" applyBorder="1" applyAlignment="1">
      <alignment vertical="center" wrapText="1"/>
    </xf>
    <xf numFmtId="0" fontId="18" fillId="7" borderId="13" xfId="0" applyFont="1" applyFill="1" applyBorder="1" applyAlignment="1">
      <alignment vertical="center" wrapText="1"/>
    </xf>
    <xf numFmtId="0" fontId="14" fillId="7" borderId="13" xfId="0" applyFont="1" applyFill="1" applyBorder="1" applyAlignment="1">
      <alignment horizontal="center" vertical="center" wrapText="1"/>
    </xf>
    <xf numFmtId="0" fontId="18" fillId="7" borderId="4" xfId="0" applyFont="1" applyFill="1" applyBorder="1" applyAlignment="1">
      <alignment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vertical="center" wrapText="1"/>
    </xf>
    <xf numFmtId="0" fontId="14" fillId="7" borderId="9"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8" borderId="14" xfId="0"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14" fillId="10" borderId="8" xfId="0" applyFont="1" applyFill="1" applyBorder="1" applyAlignment="1">
      <alignment horizontal="center" vertical="center" wrapText="1"/>
    </xf>
    <xf numFmtId="0" fontId="3" fillId="0" borderId="6" xfId="0" applyFont="1" applyBorder="1" applyAlignment="1">
      <alignment vertical="top"/>
    </xf>
    <xf numFmtId="0" fontId="3" fillId="0" borderId="3" xfId="0" applyFont="1" applyBorder="1" applyAlignment="1">
      <alignment horizontal="center" vertical="top"/>
    </xf>
    <xf numFmtId="0" fontId="3" fillId="0" borderId="3" xfId="0" applyFont="1" applyBorder="1" applyAlignment="1">
      <alignment vertical="top"/>
    </xf>
    <xf numFmtId="0" fontId="3" fillId="12" borderId="3" xfId="0" applyFont="1" applyFill="1" applyBorder="1" applyAlignment="1">
      <alignment vertical="top"/>
    </xf>
    <xf numFmtId="0" fontId="3" fillId="0" borderId="3" xfId="0" applyFont="1" applyBorder="1" applyAlignment="1">
      <alignment vertical="top" wrapText="1"/>
    </xf>
    <xf numFmtId="0" fontId="2" fillId="0" borderId="0" xfId="0" applyFont="1" applyAlignment="1">
      <alignment vertical="center"/>
    </xf>
    <xf numFmtId="0" fontId="20" fillId="14" borderId="17" xfId="0" applyFont="1" applyFill="1" applyBorder="1" applyAlignment="1">
      <alignment horizontal="center" vertical="center"/>
    </xf>
    <xf numFmtId="0" fontId="20" fillId="14" borderId="18" xfId="0" applyFont="1" applyFill="1" applyBorder="1" applyAlignment="1">
      <alignment horizontal="center" vertical="center"/>
    </xf>
    <xf numFmtId="0" fontId="14" fillId="11" borderId="0" xfId="0" applyFont="1" applyFill="1" applyBorder="1" applyAlignment="1">
      <alignment horizontal="center" vertical="center"/>
    </xf>
    <xf numFmtId="2" fontId="14" fillId="0" borderId="0" xfId="0" applyNumberFormat="1" applyFont="1" applyBorder="1" applyAlignment="1">
      <alignment horizontal="center" vertical="center"/>
    </xf>
    <xf numFmtId="0" fontId="2" fillId="15" borderId="16" xfId="0" applyFont="1" applyFill="1" applyBorder="1" applyAlignment="1">
      <alignment horizontal="center" vertical="center"/>
    </xf>
    <xf numFmtId="0" fontId="20" fillId="14" borderId="19" xfId="0" applyFont="1" applyFill="1" applyBorder="1" applyAlignment="1">
      <alignment horizontal="center" vertical="center"/>
    </xf>
    <xf numFmtId="0" fontId="3" fillId="11" borderId="20" xfId="0" applyFont="1" applyFill="1" applyBorder="1" applyAlignment="1">
      <alignment horizontal="center" vertical="center"/>
    </xf>
    <xf numFmtId="2" fontId="3" fillId="0" borderId="20" xfId="0" applyNumberFormat="1" applyFont="1" applyBorder="1" applyAlignment="1">
      <alignment horizontal="center" vertical="center"/>
    </xf>
    <xf numFmtId="0" fontId="3" fillId="0" borderId="21" xfId="0" applyFont="1" applyBorder="1"/>
    <xf numFmtId="0" fontId="3" fillId="0" borderId="22" xfId="0" applyFont="1" applyBorder="1"/>
    <xf numFmtId="0" fontId="3" fillId="0" borderId="0" xfId="0" applyFont="1" applyBorder="1" applyAlignment="1">
      <alignment horizontal="center" vertical="center"/>
    </xf>
    <xf numFmtId="0" fontId="3" fillId="0" borderId="23" xfId="0" applyFont="1" applyBorder="1"/>
    <xf numFmtId="0" fontId="3" fillId="0" borderId="24" xfId="0" applyFont="1" applyBorder="1"/>
    <xf numFmtId="0" fontId="3" fillId="0" borderId="25" xfId="0" applyFont="1" applyBorder="1"/>
    <xf numFmtId="0" fontId="3" fillId="0" borderId="24" xfId="0" applyFont="1" applyBorder="1" applyAlignment="1">
      <alignment horizontal="center" vertical="center"/>
    </xf>
    <xf numFmtId="0" fontId="3" fillId="16" borderId="0" xfId="0" applyFont="1" applyFill="1" applyBorder="1" applyAlignment="1">
      <alignment horizontal="center" vertical="center"/>
    </xf>
    <xf numFmtId="2" fontId="3" fillId="0" borderId="0" xfId="0" applyNumberFormat="1" applyFont="1" applyBorder="1" applyAlignment="1">
      <alignment horizontal="center" vertical="center"/>
    </xf>
    <xf numFmtId="0" fontId="3" fillId="0" borderId="14" xfId="0" applyFont="1" applyBorder="1"/>
    <xf numFmtId="0" fontId="3" fillId="0" borderId="26" xfId="0" applyFont="1" applyBorder="1"/>
    <xf numFmtId="0" fontId="3" fillId="0" borderId="27" xfId="0" applyFont="1" applyBorder="1"/>
    <xf numFmtId="0" fontId="3" fillId="17" borderId="0" xfId="0" applyFont="1" applyFill="1" applyBorder="1" applyAlignment="1">
      <alignment horizontal="center" vertical="center"/>
    </xf>
    <xf numFmtId="0" fontId="3" fillId="18" borderId="0" xfId="0" applyFont="1" applyFill="1" applyBorder="1" applyAlignment="1">
      <alignment horizontal="center" vertical="center"/>
    </xf>
    <xf numFmtId="0" fontId="3" fillId="0" borderId="28" xfId="0" applyFont="1" applyBorder="1"/>
    <xf numFmtId="0" fontId="3" fillId="0" borderId="0" xfId="0" applyFont="1" applyBorder="1"/>
    <xf numFmtId="0" fontId="3" fillId="0" borderId="27" xfId="0" applyFont="1" applyBorder="1" applyAlignment="1">
      <alignment horizontal="center" vertical="center"/>
    </xf>
    <xf numFmtId="0" fontId="21" fillId="19" borderId="0" xfId="0" applyFont="1" applyFill="1" applyBorder="1" applyAlignment="1">
      <alignment horizontal="center" vertical="center"/>
    </xf>
    <xf numFmtId="0" fontId="3" fillId="0" borderId="29" xfId="0" applyFont="1" applyBorder="1"/>
    <xf numFmtId="0" fontId="3" fillId="0" borderId="30" xfId="0" applyFont="1" applyBorder="1"/>
    <xf numFmtId="0" fontId="3" fillId="0" borderId="31" xfId="0" applyFont="1" applyBorder="1" applyAlignment="1">
      <alignment horizontal="center" vertical="center"/>
    </xf>
    <xf numFmtId="0" fontId="3" fillId="0" borderId="32" xfId="0" applyFont="1" applyBorder="1"/>
    <xf numFmtId="0" fontId="3" fillId="0" borderId="33" xfId="0" applyFont="1" applyBorder="1"/>
    <xf numFmtId="0" fontId="3" fillId="0" borderId="34" xfId="0" applyFont="1" applyBorder="1" applyAlignment="1">
      <alignment horizontal="center" vertical="center"/>
    </xf>
    <xf numFmtId="0" fontId="3" fillId="0" borderId="35" xfId="0" applyFont="1" applyBorder="1"/>
    <xf numFmtId="0" fontId="3" fillId="0" borderId="31" xfId="0" applyFont="1" applyBorder="1"/>
    <xf numFmtId="0" fontId="19" fillId="20" borderId="36" xfId="0" applyFont="1" applyFill="1" applyBorder="1"/>
    <xf numFmtId="0" fontId="3" fillId="0" borderId="37" xfId="0" applyFont="1" applyBorder="1"/>
    <xf numFmtId="0" fontId="3" fillId="0" borderId="20" xfId="0" applyFont="1" applyBorder="1"/>
    <xf numFmtId="0" fontId="3" fillId="0" borderId="38" xfId="0" applyFont="1" applyBorder="1"/>
    <xf numFmtId="0" fontId="3" fillId="0" borderId="22" xfId="0" applyFont="1" applyBorder="1" applyAlignment="1">
      <alignment horizontal="center" vertical="center"/>
    </xf>
    <xf numFmtId="0" fontId="22" fillId="0" borderId="0" xfId="0" applyFont="1" applyBorder="1"/>
    <xf numFmtId="0" fontId="3" fillId="0" borderId="14" xfId="0" applyFont="1" applyBorder="1" applyAlignment="1">
      <alignment horizontal="center" vertical="center"/>
    </xf>
    <xf numFmtId="0" fontId="3" fillId="0" borderId="30" xfId="0" applyFont="1" applyBorder="1" applyAlignment="1">
      <alignment horizontal="center" vertical="center"/>
    </xf>
    <xf numFmtId="0" fontId="24" fillId="0" borderId="16" xfId="0" applyFont="1" applyBorder="1" applyAlignment="1">
      <alignment horizontal="center" vertical="center"/>
    </xf>
    <xf numFmtId="0" fontId="3" fillId="0" borderId="16" xfId="0" applyFont="1" applyBorder="1" applyAlignment="1">
      <alignment horizontal="center" vertical="center"/>
    </xf>
    <xf numFmtId="0" fontId="24" fillId="0" borderId="40" xfId="0" applyFont="1" applyBorder="1" applyAlignment="1">
      <alignment horizontal="center" vertical="center"/>
    </xf>
    <xf numFmtId="0" fontId="6" fillId="0" borderId="17" xfId="0" applyFont="1" applyBorder="1" applyAlignment="1">
      <alignment horizontal="center" vertical="center"/>
    </xf>
    <xf numFmtId="0" fontId="6" fillId="0" borderId="0" xfId="0" applyFont="1" applyAlignment="1"/>
    <xf numFmtId="0" fontId="4" fillId="5" borderId="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26" xfId="0" applyFont="1" applyFill="1" applyBorder="1" applyAlignment="1">
      <alignment horizontal="center" vertical="top" wrapText="1"/>
    </xf>
    <xf numFmtId="0" fontId="4" fillId="21" borderId="5" xfId="0" applyFont="1" applyFill="1" applyBorder="1" applyAlignment="1">
      <alignment horizontal="center" vertical="top" wrapText="1"/>
    </xf>
    <xf numFmtId="0" fontId="4" fillId="21" borderId="14" xfId="0" applyFont="1" applyFill="1" applyBorder="1" applyAlignment="1">
      <alignment horizontal="center" vertical="top" wrapText="1"/>
    </xf>
    <xf numFmtId="0" fontId="4" fillId="21" borderId="4" xfId="0" applyFont="1" applyFill="1" applyBorder="1" applyAlignment="1">
      <alignment horizontal="center" vertical="top" wrapText="1"/>
    </xf>
    <xf numFmtId="0" fontId="3" fillId="0" borderId="5" xfId="0" applyFont="1" applyBorder="1" applyAlignment="1">
      <alignment horizontal="center" vertical="top" wrapText="1"/>
    </xf>
    <xf numFmtId="0" fontId="3" fillId="0" borderId="1" xfId="0" applyFont="1" applyBorder="1" applyAlignment="1">
      <alignment horizontal="center" vertical="top"/>
    </xf>
    <xf numFmtId="0" fontId="14" fillId="0" borderId="3" xfId="0" applyFont="1" applyBorder="1" applyAlignment="1">
      <alignment horizontal="left" vertical="top" wrapText="1"/>
    </xf>
    <xf numFmtId="0" fontId="3" fillId="0" borderId="4" xfId="0" applyFont="1" applyBorder="1" applyAlignment="1">
      <alignment horizontal="center" vertical="top" wrapText="1"/>
    </xf>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0" fontId="3" fillId="0" borderId="3" xfId="0" applyFont="1" applyBorder="1" applyAlignment="1">
      <alignment horizontal="left" vertical="top" wrapText="1"/>
    </xf>
    <xf numFmtId="0" fontId="3" fillId="0" borderId="9" xfId="0" applyFont="1" applyBorder="1" applyAlignment="1">
      <alignment horizontal="center" vertical="top" wrapText="1"/>
    </xf>
    <xf numFmtId="0" fontId="3" fillId="0" borderId="7" xfId="0" applyFont="1" applyBorder="1" applyAlignment="1">
      <alignment horizontal="left" vertical="top" wrapText="1"/>
    </xf>
    <xf numFmtId="0" fontId="3" fillId="0" borderId="8" xfId="0" applyFont="1" applyBorder="1" applyAlignment="1">
      <alignment horizontal="center" vertical="top"/>
    </xf>
    <xf numFmtId="0" fontId="3" fillId="0" borderId="9" xfId="0" applyFont="1" applyBorder="1" applyAlignment="1">
      <alignment horizontal="center" vertical="top" wrapText="1"/>
    </xf>
    <xf numFmtId="0" fontId="14" fillId="0" borderId="7" xfId="0" applyFont="1" applyBorder="1" applyAlignment="1">
      <alignment horizontal="left" vertical="top" wrapText="1"/>
    </xf>
    <xf numFmtId="0" fontId="3" fillId="0" borderId="8" xfId="0" applyFont="1" applyBorder="1" applyAlignment="1">
      <alignment horizontal="center" vertical="top" wrapText="1"/>
    </xf>
    <xf numFmtId="0" fontId="26" fillId="5" borderId="3" xfId="0" applyFont="1" applyFill="1" applyBorder="1" applyAlignment="1">
      <alignment horizontal="center" vertical="center" wrapText="1"/>
    </xf>
    <xf numFmtId="0" fontId="27" fillId="5" borderId="3" xfId="0" applyFont="1" applyFill="1" applyBorder="1" applyAlignment="1">
      <alignment horizontal="center" vertical="center" wrapText="1"/>
    </xf>
    <xf numFmtId="0" fontId="26" fillId="5" borderId="2" xfId="0" applyFont="1" applyFill="1" applyBorder="1" applyAlignment="1">
      <alignment horizontal="center" vertical="center" wrapText="1"/>
    </xf>
    <xf numFmtId="0" fontId="28" fillId="0" borderId="11" xfId="0" applyFont="1" applyBorder="1" applyAlignment="1">
      <alignment horizontal="center" vertical="center" wrapText="1"/>
    </xf>
    <xf numFmtId="0" fontId="28" fillId="0" borderId="3" xfId="0" applyFont="1" applyBorder="1" applyAlignment="1">
      <alignment vertical="center" wrapText="1"/>
    </xf>
    <xf numFmtId="0" fontId="28" fillId="0" borderId="3" xfId="0" applyFont="1" applyBorder="1" applyAlignment="1">
      <alignment horizontal="center" vertical="center" wrapText="1"/>
    </xf>
    <xf numFmtId="0" fontId="29" fillId="0" borderId="2" xfId="0" applyFont="1" applyBorder="1" applyAlignment="1">
      <alignment horizontal="center" vertical="center" wrapText="1"/>
    </xf>
    <xf numFmtId="0" fontId="30" fillId="0" borderId="3" xfId="0" applyFont="1" applyBorder="1" applyAlignment="1">
      <alignment horizontal="center" vertical="center" wrapText="1"/>
    </xf>
    <xf numFmtId="0" fontId="31" fillId="0" borderId="3" xfId="0" applyFont="1" applyBorder="1" applyAlignment="1">
      <alignment horizontal="center" vertical="center" wrapText="1"/>
    </xf>
    <xf numFmtId="0" fontId="30" fillId="0" borderId="0" xfId="0" applyFont="1"/>
    <xf numFmtId="0" fontId="0" fillId="0" borderId="3" xfId="0" applyBorder="1"/>
    <xf numFmtId="0" fontId="0" fillId="0" borderId="2" xfId="0" applyBorder="1"/>
    <xf numFmtId="0" fontId="32" fillId="0" borderId="0" xfId="0" applyFont="1" applyAlignment="1">
      <alignment horizontal="center" vertical="center" wrapText="1"/>
    </xf>
    <xf numFmtId="0" fontId="0" fillId="0" borderId="0" xfId="0" applyAlignment="1">
      <alignment horizontal="left" vertical="center" wrapText="1"/>
    </xf>
    <xf numFmtId="0" fontId="33" fillId="22" borderId="40" xfId="0" applyFont="1" applyFill="1" applyBorder="1" applyAlignment="1">
      <alignment horizontal="center" vertical="center" wrapText="1"/>
    </xf>
    <xf numFmtId="0" fontId="34" fillId="22" borderId="16" xfId="0" applyFont="1" applyFill="1" applyBorder="1" applyAlignment="1">
      <alignment horizontal="center" vertical="center"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6" fillId="0" borderId="3" xfId="0" applyFont="1" applyBorder="1" applyAlignment="1">
      <alignment vertical="top" wrapText="1"/>
    </xf>
    <xf numFmtId="0" fontId="38" fillId="0" borderId="3" xfId="0" applyFont="1" applyBorder="1" applyAlignment="1">
      <alignment vertical="top" wrapText="1"/>
    </xf>
    <xf numFmtId="0" fontId="36" fillId="0" borderId="7" xfId="0" applyFont="1" applyBorder="1" applyAlignment="1">
      <alignment vertical="top" wrapText="1"/>
    </xf>
    <xf numFmtId="0" fontId="38" fillId="0" borderId="7" xfId="0" applyFont="1" applyBorder="1" applyAlignment="1">
      <alignment vertical="top" wrapText="1"/>
    </xf>
    <xf numFmtId="0" fontId="3" fillId="4" borderId="3" xfId="0" applyFont="1" applyFill="1" applyBorder="1" applyAlignment="1">
      <alignment vertical="top"/>
    </xf>
    <xf numFmtId="0" fontId="3" fillId="0" borderId="3" xfId="0" applyFont="1" applyBorder="1" applyAlignment="1">
      <alignment horizontal="left" vertical="top" wrapText="1"/>
    </xf>
    <xf numFmtId="0" fontId="6" fillId="0" borderId="0" xfId="0" applyFont="1" applyBorder="1" applyAlignment="1">
      <alignment wrapText="1"/>
    </xf>
    <xf numFmtId="0" fontId="2" fillId="7" borderId="10"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19" fillId="3" borderId="16" xfId="0" applyFont="1" applyFill="1" applyBorder="1" applyAlignment="1">
      <alignment horizontal="center"/>
    </xf>
    <xf numFmtId="0" fontId="20" fillId="14" borderId="17" xfId="0" applyFont="1" applyFill="1" applyBorder="1" applyAlignment="1">
      <alignment horizontal="center" vertical="center"/>
    </xf>
    <xf numFmtId="0" fontId="20" fillId="14" borderId="16" xfId="0" applyFont="1" applyFill="1" applyBorder="1" applyAlignment="1">
      <alignment horizontal="center" vertical="center"/>
    </xf>
    <xf numFmtId="0" fontId="25" fillId="0" borderId="16" xfId="0" applyFont="1" applyBorder="1" applyAlignment="1">
      <alignment horizontal="left" vertical="center" wrapText="1"/>
    </xf>
    <xf numFmtId="0" fontId="3" fillId="0" borderId="0" xfId="0" applyFont="1" applyBorder="1" applyAlignment="1">
      <alignment horizontal="left" vertical="top" wrapText="1"/>
    </xf>
    <xf numFmtId="0" fontId="2" fillId="15" borderId="16" xfId="0" applyFont="1" applyFill="1" applyBorder="1" applyAlignment="1">
      <alignment horizontal="center" vertical="center"/>
    </xf>
    <xf numFmtId="0" fontId="20" fillId="14" borderId="16" xfId="0" applyFont="1" applyFill="1" applyBorder="1" applyAlignment="1">
      <alignment horizontal="left" vertical="center"/>
    </xf>
    <xf numFmtId="0" fontId="25" fillId="0" borderId="39" xfId="0" applyFont="1" applyBorder="1" applyAlignment="1">
      <alignment horizontal="left" vertical="center" wrapText="1"/>
    </xf>
    <xf numFmtId="0" fontId="2" fillId="9" borderId="41" xfId="0" applyFont="1" applyFill="1" applyBorder="1" applyAlignment="1">
      <alignment horizontal="center" vertical="top" wrapText="1"/>
    </xf>
    <xf numFmtId="0" fontId="2" fillId="8" borderId="38" xfId="0" applyFont="1" applyFill="1" applyBorder="1" applyAlignment="1">
      <alignment horizontal="center" vertical="top" wrapText="1"/>
    </xf>
    <xf numFmtId="0" fontId="26" fillId="9" borderId="3" xfId="0" applyFont="1" applyFill="1" applyBorder="1" applyAlignment="1">
      <alignment horizontal="center" vertical="center" wrapText="1"/>
    </xf>
    <xf numFmtId="0" fontId="32" fillId="0" borderId="16" xfId="0" applyFont="1" applyBorder="1" applyAlignment="1">
      <alignment horizontal="center" vertical="center" wrapText="1"/>
    </xf>
  </cellXfs>
  <cellStyles count="3">
    <cellStyle name="Excel Built-in Normal" xfId="2" xr:uid="{00000000-0005-0000-0000-000007000000}"/>
    <cellStyle name="Normal" xfId="0" builtinId="0"/>
    <cellStyle name="Normal 2" xfId="1" xr:uid="{00000000-0005-0000-0000-000006000000}"/>
  </cellStyles>
  <dxfs count="10">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tableColumn id="7" xr3:uid="{00000000-0010-0000-0300-000007000000}" name="Asset"/>
    <tableColumn id="8" xr3:uid="{00000000-0010-0000-0300-000008000000}" name="Impact Description"/>
    <tableColumn id="9" xr3:uid="{00000000-0010-0000-0300-000009000000}" name="Safety Impact _x000a_(Risk ID# or N/A)"/>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topLeftCell="A19" zoomScale="95" zoomScaleNormal="95" workbookViewId="0">
      <selection activeCell="C23" sqref="C23"/>
    </sheetView>
  </sheetViews>
  <sheetFormatPr defaultColWidth="9.1796875" defaultRowHeight="14.5" x14ac:dyDescent="0.35"/>
  <cols>
    <col min="1" max="1" width="7.81640625" style="1" customWidth="1"/>
    <col min="2" max="2" width="30.81640625" style="1" customWidth="1"/>
    <col min="3" max="3" width="40.81640625" style="1" customWidth="1"/>
    <col min="4" max="4" width="51.1796875" style="1" customWidth="1"/>
    <col min="5" max="5" width="16.1796875" style="1" customWidth="1"/>
    <col min="6" max="6" width="14.1796875" style="1" customWidth="1"/>
    <col min="7" max="1024" width="9.1796875" style="1"/>
  </cols>
  <sheetData>
    <row r="1" spans="1:4" s="3" customFormat="1" ht="14" x14ac:dyDescent="0.35">
      <c r="A1" s="2" t="s">
        <v>0</v>
      </c>
    </row>
    <row r="2" spans="1:4" s="3" customFormat="1" ht="14" x14ac:dyDescent="0.35"/>
    <row r="3" spans="1:4" s="3" customFormat="1" ht="14" x14ac:dyDescent="0.35">
      <c r="A3" s="4" t="s">
        <v>1</v>
      </c>
      <c r="B3" s="5"/>
      <c r="C3" s="254"/>
      <c r="D3" s="254"/>
    </row>
    <row r="4" spans="1:4" s="3" customFormat="1" ht="14" x14ac:dyDescent="0.35">
      <c r="A4" s="7" t="s">
        <v>2</v>
      </c>
      <c r="B4" s="8"/>
      <c r="C4" s="254"/>
      <c r="D4" s="254"/>
    </row>
    <row r="5" spans="1:4" s="3" customFormat="1" ht="13.75" customHeight="1" x14ac:dyDescent="0.35">
      <c r="A5" s="7" t="s">
        <v>3</v>
      </c>
      <c r="B5" s="8"/>
      <c r="C5" s="254" t="s">
        <v>4</v>
      </c>
      <c r="D5" s="254"/>
    </row>
    <row r="6" spans="1:4" s="3" customFormat="1" ht="30" customHeight="1" x14ac:dyDescent="0.35">
      <c r="A6" s="9" t="s">
        <v>5</v>
      </c>
      <c r="B6" s="10"/>
      <c r="C6" s="254" t="s">
        <v>6</v>
      </c>
      <c r="D6" s="254"/>
    </row>
    <row r="7" spans="1:4" s="3" customFormat="1" ht="14" x14ac:dyDescent="0.35"/>
    <row r="8" spans="1:4" s="3" customFormat="1" ht="14" x14ac:dyDescent="0.35"/>
    <row r="9" spans="1:4" s="3" customFormat="1" ht="28" x14ac:dyDescent="0.35">
      <c r="A9" s="11" t="s">
        <v>7</v>
      </c>
      <c r="B9" s="12" t="s">
        <v>8</v>
      </c>
      <c r="C9" s="12" t="s">
        <v>9</v>
      </c>
      <c r="D9" s="13" t="s">
        <v>10</v>
      </c>
    </row>
    <row r="10" spans="1:4" s="3" customFormat="1" ht="56" x14ac:dyDescent="0.35">
      <c r="A10" s="14" t="s">
        <v>11</v>
      </c>
      <c r="B10" s="15" t="s">
        <v>12</v>
      </c>
      <c r="C10" s="16" t="s">
        <v>13</v>
      </c>
      <c r="D10" s="17" t="s">
        <v>14</v>
      </c>
    </row>
    <row r="11" spans="1:4" s="3" customFormat="1" ht="28" x14ac:dyDescent="0.35">
      <c r="A11" s="14" t="s">
        <v>15</v>
      </c>
      <c r="B11" s="15" t="s">
        <v>16</v>
      </c>
      <c r="C11" s="16" t="s">
        <v>17</v>
      </c>
      <c r="D11" s="17" t="s">
        <v>18</v>
      </c>
    </row>
    <row r="12" spans="1:4" s="3" customFormat="1" ht="42" x14ac:dyDescent="0.35">
      <c r="A12" s="14" t="s">
        <v>19</v>
      </c>
      <c r="B12" s="15" t="s">
        <v>20</v>
      </c>
      <c r="C12" s="16" t="s">
        <v>21</v>
      </c>
      <c r="D12" s="17" t="s">
        <v>22</v>
      </c>
    </row>
    <row r="13" spans="1:4" s="3" customFormat="1" ht="28" x14ac:dyDescent="0.35">
      <c r="A13" s="14" t="s">
        <v>23</v>
      </c>
      <c r="B13" s="15" t="s">
        <v>16</v>
      </c>
      <c r="C13" s="16" t="s">
        <v>24</v>
      </c>
      <c r="D13" s="17" t="s">
        <v>25</v>
      </c>
    </row>
    <row r="14" spans="1:4" s="3" customFormat="1" ht="42" x14ac:dyDescent="0.35">
      <c r="A14" s="14" t="s">
        <v>26</v>
      </c>
      <c r="B14" s="15" t="s">
        <v>20</v>
      </c>
      <c r="C14" s="16" t="s">
        <v>27</v>
      </c>
      <c r="D14" s="17" t="s">
        <v>28</v>
      </c>
    </row>
    <row r="15" spans="1:4" s="3" customFormat="1" ht="28" x14ac:dyDescent="0.35">
      <c r="A15" s="14" t="s">
        <v>29</v>
      </c>
      <c r="B15" s="15" t="s">
        <v>16</v>
      </c>
      <c r="C15" s="18" t="s">
        <v>30</v>
      </c>
      <c r="D15" s="17" t="s">
        <v>31</v>
      </c>
    </row>
    <row r="16" spans="1:4" s="3" customFormat="1" ht="28" x14ac:dyDescent="0.35">
      <c r="A16" s="14" t="s">
        <v>32</v>
      </c>
      <c r="B16" s="15" t="s">
        <v>16</v>
      </c>
      <c r="C16" s="16" t="s">
        <v>33</v>
      </c>
      <c r="D16" s="19" t="s">
        <v>34</v>
      </c>
    </row>
    <row r="17" spans="1:4" s="3" customFormat="1" ht="28" x14ac:dyDescent="0.35">
      <c r="A17" s="14" t="s">
        <v>35</v>
      </c>
      <c r="B17" s="20" t="s">
        <v>20</v>
      </c>
      <c r="C17" s="21" t="s">
        <v>36</v>
      </c>
      <c r="D17" s="19" t="s">
        <v>37</v>
      </c>
    </row>
    <row r="18" spans="1:4" s="3" customFormat="1" ht="28" x14ac:dyDescent="0.35">
      <c r="A18" s="14" t="s">
        <v>38</v>
      </c>
      <c r="B18" s="20" t="s">
        <v>16</v>
      </c>
      <c r="C18" s="21" t="s">
        <v>39</v>
      </c>
      <c r="D18" s="19" t="s">
        <v>40</v>
      </c>
    </row>
    <row r="19" spans="1:4" s="3" customFormat="1" ht="28" x14ac:dyDescent="0.35">
      <c r="A19" s="14" t="s">
        <v>41</v>
      </c>
      <c r="B19" s="20" t="s">
        <v>16</v>
      </c>
      <c r="C19" s="21" t="s">
        <v>42</v>
      </c>
      <c r="D19" s="19" t="s">
        <v>43</v>
      </c>
    </row>
    <row r="20" spans="1:4" s="3" customFormat="1" ht="28" x14ac:dyDescent="0.35">
      <c r="A20" s="14" t="s">
        <v>44</v>
      </c>
      <c r="B20" s="20" t="s">
        <v>16</v>
      </c>
      <c r="C20" s="21" t="s">
        <v>45</v>
      </c>
      <c r="D20" s="19" t="s">
        <v>46</v>
      </c>
    </row>
    <row r="21" spans="1:4" s="3" customFormat="1" ht="28" x14ac:dyDescent="0.35">
      <c r="A21" s="14" t="s">
        <v>47</v>
      </c>
      <c r="B21" s="20" t="s">
        <v>16</v>
      </c>
      <c r="C21" s="21" t="s">
        <v>48</v>
      </c>
      <c r="D21" s="19" t="s">
        <v>49</v>
      </c>
    </row>
    <row r="22" spans="1:4" s="3" customFormat="1" ht="14" x14ac:dyDescent="0.35">
      <c r="A22" s="14" t="s">
        <v>50</v>
      </c>
      <c r="B22" s="20" t="s">
        <v>16</v>
      </c>
      <c r="C22" s="21" t="s">
        <v>51</v>
      </c>
      <c r="D22" s="19" t="s">
        <v>52</v>
      </c>
    </row>
    <row r="23" spans="1:4" s="3" customFormat="1" ht="28" x14ac:dyDescent="0.35">
      <c r="A23" s="14" t="s">
        <v>53</v>
      </c>
      <c r="B23" s="22" t="s">
        <v>16</v>
      </c>
      <c r="C23" s="23" t="s">
        <v>54</v>
      </c>
      <c r="D23" s="24" t="s">
        <v>55</v>
      </c>
    </row>
    <row r="24" spans="1:4" ht="28" x14ac:dyDescent="0.35">
      <c r="A24" s="103" t="s">
        <v>56</v>
      </c>
      <c r="B24" s="119" t="s">
        <v>16</v>
      </c>
      <c r="C24" s="160" t="s">
        <v>57</v>
      </c>
      <c r="D24" s="19" t="s">
        <v>58</v>
      </c>
    </row>
    <row r="37" spans="1:8" x14ac:dyDescent="0.35">
      <c r="A37" s="25" t="s">
        <v>59</v>
      </c>
    </row>
    <row r="38" spans="1:8" ht="34.5" customHeight="1" x14ac:dyDescent="0.35">
      <c r="B38" s="255" t="s">
        <v>60</v>
      </c>
      <c r="C38" s="255"/>
      <c r="D38" s="26"/>
      <c r="E38" s="26"/>
      <c r="F38" s="26"/>
      <c r="G38" s="26"/>
      <c r="H38" s="26"/>
    </row>
    <row r="40" spans="1:8" x14ac:dyDescent="0.35">
      <c r="B40" s="3" t="s">
        <v>61</v>
      </c>
    </row>
  </sheetData>
  <mergeCells count="5">
    <mergeCell ref="C3:D3"/>
    <mergeCell ref="C4:D4"/>
    <mergeCell ref="C5:D5"/>
    <mergeCell ref="C6:D6"/>
    <mergeCell ref="B38:C38"/>
  </mergeCells>
  <pageMargins left="0.70833333333333304" right="0.70833333333333304" top="1.575" bottom="0.74861111111111101" header="0.31527777777777799" footer="0.31527777777777799"/>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6"/>
  <sheetViews>
    <sheetView tabSelected="1" topLeftCell="A34" zoomScale="95" zoomScaleNormal="95" workbookViewId="0">
      <selection activeCell="D41" sqref="D41"/>
    </sheetView>
  </sheetViews>
  <sheetFormatPr defaultColWidth="9.1796875" defaultRowHeight="14.5" x14ac:dyDescent="0.35"/>
  <cols>
    <col min="1" max="1" width="31.81640625" style="27" customWidth="1"/>
    <col min="2" max="2" width="58.54296875" style="28" customWidth="1"/>
    <col min="3" max="3" width="20.81640625" style="27" customWidth="1"/>
    <col min="4" max="4" width="42.81640625" style="27" customWidth="1"/>
    <col min="5" max="1024" width="9.1796875" style="27"/>
  </cols>
  <sheetData>
    <row r="1" spans="1:4" s="29" customFormat="1" ht="15" customHeight="1" x14ac:dyDescent="0.35">
      <c r="A1" s="2" t="s">
        <v>62</v>
      </c>
      <c r="B1" s="3"/>
    </row>
    <row r="2" spans="1:4" s="29" customFormat="1" ht="15" customHeight="1" x14ac:dyDescent="0.35">
      <c r="A2" s="2"/>
      <c r="B2" s="3"/>
    </row>
    <row r="3" spans="1:4" s="29" customFormat="1" ht="14" hidden="1" x14ac:dyDescent="0.35">
      <c r="B3" s="3"/>
    </row>
    <row r="4" spans="1:4" s="29" customFormat="1" ht="14" x14ac:dyDescent="0.35">
      <c r="A4" s="30" t="s">
        <v>63</v>
      </c>
      <c r="B4" s="31" t="s">
        <v>64</v>
      </c>
      <c r="C4" s="32" t="s">
        <v>65</v>
      </c>
      <c r="D4" s="32" t="s">
        <v>66</v>
      </c>
    </row>
    <row r="5" spans="1:4" s="29" customFormat="1" ht="28" x14ac:dyDescent="0.35">
      <c r="A5" s="33" t="s">
        <v>67</v>
      </c>
      <c r="B5" s="34" t="s">
        <v>68</v>
      </c>
      <c r="C5" s="21" t="s">
        <v>69</v>
      </c>
      <c r="D5" s="21" t="s">
        <v>70</v>
      </c>
    </row>
    <row r="6" spans="1:4" s="29" customFormat="1" ht="42" x14ac:dyDescent="0.35">
      <c r="A6" s="35" t="s">
        <v>71</v>
      </c>
      <c r="B6" s="34" t="s">
        <v>72</v>
      </c>
      <c r="C6" s="21" t="s">
        <v>69</v>
      </c>
      <c r="D6" s="21" t="s">
        <v>70</v>
      </c>
    </row>
    <row r="7" spans="1:4" s="29" customFormat="1" ht="28" x14ac:dyDescent="0.35">
      <c r="A7" s="35" t="s">
        <v>73</v>
      </c>
      <c r="B7" s="21" t="s">
        <v>74</v>
      </c>
      <c r="C7" s="21" t="s">
        <v>69</v>
      </c>
      <c r="D7" s="21" t="s">
        <v>70</v>
      </c>
    </row>
    <row r="8" spans="1:4" s="29" customFormat="1" ht="14" x14ac:dyDescent="0.35">
      <c r="A8" s="35" t="s">
        <v>75</v>
      </c>
      <c r="B8" s="21" t="s">
        <v>76</v>
      </c>
      <c r="C8" s="21" t="s">
        <v>69</v>
      </c>
      <c r="D8" s="21" t="s">
        <v>70</v>
      </c>
    </row>
    <row r="9" spans="1:4" s="29" customFormat="1" ht="14" x14ac:dyDescent="0.35">
      <c r="A9" s="35" t="s">
        <v>77</v>
      </c>
      <c r="B9" s="21" t="s">
        <v>78</v>
      </c>
      <c r="C9" s="21" t="s">
        <v>69</v>
      </c>
      <c r="D9" s="21" t="s">
        <v>70</v>
      </c>
    </row>
    <row r="10" spans="1:4" s="29" customFormat="1" ht="14" x14ac:dyDescent="0.35">
      <c r="A10" s="36" t="s">
        <v>79</v>
      </c>
      <c r="B10" s="37"/>
      <c r="C10" s="36"/>
      <c r="D10" s="36"/>
    </row>
    <row r="11" spans="1:4" s="29" customFormat="1" ht="14" x14ac:dyDescent="0.35">
      <c r="A11" s="38" t="s">
        <v>80</v>
      </c>
      <c r="B11" s="38" t="s">
        <v>81</v>
      </c>
      <c r="C11" s="21" t="s">
        <v>69</v>
      </c>
      <c r="D11" s="21" t="s">
        <v>70</v>
      </c>
    </row>
    <row r="12" spans="1:4" s="29" customFormat="1" ht="28" x14ac:dyDescent="0.35">
      <c r="A12" s="38" t="s">
        <v>82</v>
      </c>
      <c r="B12" s="21" t="s">
        <v>83</v>
      </c>
      <c r="C12" s="21" t="s">
        <v>69</v>
      </c>
      <c r="D12" s="21" t="s">
        <v>70</v>
      </c>
    </row>
    <row r="13" spans="1:4" s="29" customFormat="1" ht="28" x14ac:dyDescent="0.35">
      <c r="A13" s="38" t="s">
        <v>84</v>
      </c>
      <c r="B13" s="21" t="s">
        <v>85</v>
      </c>
      <c r="C13" s="21" t="s">
        <v>69</v>
      </c>
      <c r="D13" s="21" t="s">
        <v>70</v>
      </c>
    </row>
    <row r="14" spans="1:4" s="29" customFormat="1" ht="14" x14ac:dyDescent="0.35">
      <c r="A14" s="38" t="s">
        <v>86</v>
      </c>
      <c r="B14" s="21" t="s">
        <v>87</v>
      </c>
      <c r="C14" s="21" t="s">
        <v>69</v>
      </c>
      <c r="D14" s="21" t="s">
        <v>70</v>
      </c>
    </row>
    <row r="15" spans="1:4" s="29" customFormat="1" ht="28" x14ac:dyDescent="0.35">
      <c r="A15" s="38" t="s">
        <v>88</v>
      </c>
      <c r="B15" s="21" t="s">
        <v>89</v>
      </c>
      <c r="C15" s="21" t="s">
        <v>69</v>
      </c>
      <c r="D15" s="21" t="s">
        <v>70</v>
      </c>
    </row>
    <row r="16" spans="1:4" s="29" customFormat="1" ht="28" x14ac:dyDescent="0.35">
      <c r="A16" s="38" t="s">
        <v>90</v>
      </c>
      <c r="B16" s="21" t="s">
        <v>91</v>
      </c>
      <c r="C16" s="21" t="s">
        <v>69</v>
      </c>
      <c r="D16" s="21" t="s">
        <v>70</v>
      </c>
    </row>
    <row r="17" spans="1:4" s="29" customFormat="1" ht="14" x14ac:dyDescent="0.35">
      <c r="A17" s="36" t="s">
        <v>92</v>
      </c>
      <c r="B17" s="37"/>
      <c r="C17" s="36"/>
      <c r="D17" s="36"/>
    </row>
    <row r="18" spans="1:4" s="29" customFormat="1" ht="28" x14ac:dyDescent="0.35">
      <c r="A18" s="38" t="s">
        <v>93</v>
      </c>
      <c r="B18" s="21" t="s">
        <v>94</v>
      </c>
      <c r="C18" s="21" t="s">
        <v>69</v>
      </c>
      <c r="D18" s="21" t="s">
        <v>70</v>
      </c>
    </row>
    <row r="19" spans="1:4" s="29" customFormat="1" ht="14" x14ac:dyDescent="0.35">
      <c r="A19" s="38" t="s">
        <v>95</v>
      </c>
      <c r="B19" s="21" t="s">
        <v>96</v>
      </c>
      <c r="C19" s="21" t="s">
        <v>69</v>
      </c>
      <c r="D19" s="21" t="s">
        <v>70</v>
      </c>
    </row>
    <row r="20" spans="1:4" s="29" customFormat="1" ht="14" x14ac:dyDescent="0.35">
      <c r="A20" s="38" t="s">
        <v>97</v>
      </c>
      <c r="B20" s="21" t="s">
        <v>98</v>
      </c>
      <c r="C20" s="21" t="s">
        <v>69</v>
      </c>
      <c r="D20" s="21" t="s">
        <v>70</v>
      </c>
    </row>
    <row r="21" spans="1:4" s="29" customFormat="1" ht="14" x14ac:dyDescent="0.35">
      <c r="A21" s="38" t="s">
        <v>99</v>
      </c>
      <c r="B21" s="21" t="s">
        <v>100</v>
      </c>
      <c r="C21" s="21" t="s">
        <v>69</v>
      </c>
      <c r="D21" s="21" t="s">
        <v>70</v>
      </c>
    </row>
    <row r="22" spans="1:4" s="29" customFormat="1" ht="14" x14ac:dyDescent="0.35">
      <c r="A22" s="36" t="s">
        <v>101</v>
      </c>
      <c r="B22" s="37"/>
      <c r="C22" s="36"/>
      <c r="D22" s="36"/>
    </row>
    <row r="23" spans="1:4" s="29" customFormat="1" ht="14" x14ac:dyDescent="0.35">
      <c r="A23" s="38" t="s">
        <v>102</v>
      </c>
      <c r="B23" s="21" t="s">
        <v>103</v>
      </c>
      <c r="C23" s="21" t="s">
        <v>69</v>
      </c>
      <c r="D23" s="39" t="s">
        <v>70</v>
      </c>
    </row>
    <row r="24" spans="1:4" s="29" customFormat="1" ht="14" x14ac:dyDescent="0.35">
      <c r="A24" s="38" t="s">
        <v>104</v>
      </c>
      <c r="B24" s="21" t="s">
        <v>105</v>
      </c>
      <c r="C24" s="21" t="s">
        <v>69</v>
      </c>
      <c r="D24" s="39" t="s">
        <v>70</v>
      </c>
    </row>
    <row r="25" spans="1:4" s="29" customFormat="1" ht="28" x14ac:dyDescent="0.35">
      <c r="A25" s="38" t="s">
        <v>106</v>
      </c>
      <c r="B25" s="21" t="s">
        <v>107</v>
      </c>
      <c r="C25" s="21" t="s">
        <v>69</v>
      </c>
      <c r="D25" s="39" t="s">
        <v>70</v>
      </c>
    </row>
    <row r="26" spans="1:4" s="29" customFormat="1" ht="14" x14ac:dyDescent="0.35">
      <c r="A26" s="38" t="s">
        <v>108</v>
      </c>
      <c r="B26" s="21" t="s">
        <v>109</v>
      </c>
      <c r="C26" s="21" t="s">
        <v>69</v>
      </c>
      <c r="D26" s="39" t="s">
        <v>70</v>
      </c>
    </row>
    <row r="27" spans="1:4" s="29" customFormat="1" ht="14" x14ac:dyDescent="0.35">
      <c r="A27" s="36" t="s">
        <v>110</v>
      </c>
      <c r="B27" s="37"/>
      <c r="C27" s="36"/>
      <c r="D27" s="36"/>
    </row>
    <row r="28" spans="1:4" s="29" customFormat="1" ht="28" x14ac:dyDescent="0.35">
      <c r="A28" s="38" t="s">
        <v>111</v>
      </c>
      <c r="B28" s="21" t="s">
        <v>112</v>
      </c>
      <c r="C28" s="21" t="s">
        <v>69</v>
      </c>
      <c r="D28" s="39" t="s">
        <v>70</v>
      </c>
    </row>
    <row r="29" spans="1:4" s="29" customFormat="1" ht="28" x14ac:dyDescent="0.35">
      <c r="A29" s="38" t="s">
        <v>113</v>
      </c>
      <c r="B29" s="21" t="s">
        <v>114</v>
      </c>
      <c r="C29" s="21" t="s">
        <v>69</v>
      </c>
      <c r="D29" s="39" t="s">
        <v>70</v>
      </c>
    </row>
    <row r="30" spans="1:4" s="29" customFormat="1" ht="14" x14ac:dyDescent="0.35">
      <c r="A30" s="38" t="s">
        <v>115</v>
      </c>
      <c r="B30" s="23" t="s">
        <v>116</v>
      </c>
      <c r="C30" s="21" t="s">
        <v>69</v>
      </c>
      <c r="D30" s="39" t="s">
        <v>70</v>
      </c>
    </row>
    <row r="31" spans="1:4" s="29" customFormat="1" ht="14" x14ac:dyDescent="0.35">
      <c r="A31" s="40" t="s">
        <v>117</v>
      </c>
      <c r="B31" s="23" t="s">
        <v>118</v>
      </c>
      <c r="C31" s="21" t="s">
        <v>69</v>
      </c>
      <c r="D31" s="41" t="s">
        <v>70</v>
      </c>
    </row>
    <row r="32" spans="1:4" s="29" customFormat="1" ht="14" x14ac:dyDescent="0.35">
      <c r="A32" s="38" t="s">
        <v>119</v>
      </c>
      <c r="B32" s="21" t="s">
        <v>120</v>
      </c>
      <c r="C32" s="21" t="s">
        <v>69</v>
      </c>
      <c r="D32" s="41" t="s">
        <v>70</v>
      </c>
    </row>
    <row r="33" spans="1:8" s="29" customFormat="1" ht="23.5" customHeight="1" x14ac:dyDescent="0.35">
      <c r="A33" s="38" t="s">
        <v>121</v>
      </c>
      <c r="B33" s="21" t="s">
        <v>122</v>
      </c>
      <c r="C33" s="21" t="s">
        <v>69</v>
      </c>
      <c r="D33" s="41" t="s">
        <v>70</v>
      </c>
    </row>
    <row r="34" spans="1:8" s="29" customFormat="1" ht="14" x14ac:dyDescent="0.35">
      <c r="A34" s="36" t="s">
        <v>123</v>
      </c>
      <c r="B34" s="37"/>
      <c r="C34" s="36"/>
      <c r="D34" s="36"/>
    </row>
    <row r="35" spans="1:8" s="29" customFormat="1" ht="28" x14ac:dyDescent="0.35">
      <c r="A35" s="42" t="s">
        <v>124</v>
      </c>
      <c r="B35" s="23" t="s">
        <v>125</v>
      </c>
      <c r="C35" s="23" t="s">
        <v>69</v>
      </c>
      <c r="D35" s="41" t="s">
        <v>70</v>
      </c>
    </row>
    <row r="36" spans="1:8" s="29" customFormat="1" ht="28" x14ac:dyDescent="0.35">
      <c r="A36" s="43" t="s">
        <v>126</v>
      </c>
      <c r="B36" s="21" t="s">
        <v>127</v>
      </c>
      <c r="C36" s="21" t="s">
        <v>69</v>
      </c>
      <c r="D36" s="39" t="s">
        <v>70</v>
      </c>
    </row>
    <row r="37" spans="1:8" s="29" customFormat="1" ht="14" x14ac:dyDescent="0.35">
      <c r="A37" s="43" t="s">
        <v>128</v>
      </c>
      <c r="B37" s="21" t="s">
        <v>129</v>
      </c>
      <c r="C37" s="21" t="s">
        <v>69</v>
      </c>
      <c r="D37" s="39" t="s">
        <v>70</v>
      </c>
    </row>
    <row r="38" spans="1:8" s="29" customFormat="1" ht="14" x14ac:dyDescent="0.35">
      <c r="A38" s="43" t="s">
        <v>130</v>
      </c>
      <c r="B38" s="21" t="s">
        <v>131</v>
      </c>
      <c r="C38" s="21" t="s">
        <v>69</v>
      </c>
      <c r="D38" s="39" t="s">
        <v>70</v>
      </c>
    </row>
    <row r="39" spans="1:8" s="29" customFormat="1" ht="14" x14ac:dyDescent="0.35">
      <c r="A39" s="44" t="s">
        <v>132</v>
      </c>
      <c r="B39" s="45"/>
      <c r="C39" s="46"/>
      <c r="D39" s="46"/>
    </row>
    <row r="40" spans="1:8" s="29" customFormat="1" ht="14" x14ac:dyDescent="0.25">
      <c r="A40" s="43" t="s">
        <v>133</v>
      </c>
      <c r="B40" s="21" t="s">
        <v>134</v>
      </c>
      <c r="C40" s="21" t="s">
        <v>69</v>
      </c>
      <c r="D40" s="39" t="s">
        <v>70</v>
      </c>
      <c r="E40" s="26"/>
      <c r="F40" s="26"/>
      <c r="G40" s="26"/>
      <c r="H40" s="26"/>
    </row>
    <row r="41" spans="1:8" s="29" customFormat="1" ht="28" x14ac:dyDescent="0.35">
      <c r="A41" s="43" t="s">
        <v>135</v>
      </c>
      <c r="B41" s="21" t="s">
        <v>136</v>
      </c>
      <c r="C41" s="21" t="s">
        <v>69</v>
      </c>
      <c r="D41" s="39" t="s">
        <v>70</v>
      </c>
    </row>
    <row r="42" spans="1:8" x14ac:dyDescent="0.35">
      <c r="A42" s="44" t="s">
        <v>137</v>
      </c>
      <c r="B42" s="45"/>
      <c r="C42" s="46"/>
      <c r="D42" s="46"/>
    </row>
    <row r="43" spans="1:8" ht="28" x14ac:dyDescent="0.35">
      <c r="A43" s="253" t="s">
        <v>138</v>
      </c>
      <c r="B43" s="160" t="s">
        <v>139</v>
      </c>
      <c r="C43" s="160" t="s">
        <v>69</v>
      </c>
      <c r="D43" s="158" t="s">
        <v>70</v>
      </c>
    </row>
    <row r="44" spans="1:8" x14ac:dyDescent="0.35">
      <c r="A44" s="25" t="s">
        <v>59</v>
      </c>
      <c r="B44" s="3"/>
      <c r="C44" s="29"/>
      <c r="D44" s="29"/>
    </row>
    <row r="45" spans="1:8" ht="43" x14ac:dyDescent="0.35">
      <c r="A45" s="29"/>
      <c r="B45" s="26" t="s">
        <v>60</v>
      </c>
      <c r="C45" s="26"/>
      <c r="D45" s="26"/>
    </row>
    <row r="46" spans="1:8" x14ac:dyDescent="0.35">
      <c r="A46" s="29"/>
      <c r="B46" s="3"/>
      <c r="C46" s="29"/>
      <c r="D46" s="29"/>
    </row>
  </sheetData>
  <pageMargins left="0.7" right="0.7" top="1.34930555555556"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14:formula2>
            <xm:f>0</xm:f>
          </x14:formula2>
          <xm:sqref>C5:C9 C11:C16 C18:C21 C23:C26 C28:C33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65"/>
  <sheetViews>
    <sheetView topLeftCell="A13" zoomScale="95" zoomScaleNormal="95" workbookViewId="0">
      <selection activeCell="B17" sqref="B17"/>
    </sheetView>
  </sheetViews>
  <sheetFormatPr defaultColWidth="9.1796875" defaultRowHeight="14.5" x14ac:dyDescent="0.35"/>
  <cols>
    <col min="1" max="1" width="6.1796875" style="27" customWidth="1"/>
    <col min="2" max="2" width="38.1796875" style="27" customWidth="1"/>
    <col min="3" max="3" width="49.453125" style="27" customWidth="1"/>
    <col min="4" max="4" width="27.81640625" style="27" customWidth="1"/>
    <col min="5" max="5" width="15.1796875" style="47" customWidth="1"/>
    <col min="6" max="6" width="24.81640625" style="27" customWidth="1"/>
    <col min="7" max="1024" width="9.1796875" style="27"/>
  </cols>
  <sheetData>
    <row r="1" spans="1:6" s="29" customFormat="1" ht="14" x14ac:dyDescent="0.35">
      <c r="A1" s="2" t="s">
        <v>140</v>
      </c>
      <c r="E1" s="48"/>
    </row>
    <row r="2" spans="1:6" s="29" customFormat="1" ht="14" x14ac:dyDescent="0.35">
      <c r="E2" s="48"/>
    </row>
    <row r="3" spans="1:6" s="29" customFormat="1" ht="28" x14ac:dyDescent="0.35">
      <c r="A3" s="31" t="s">
        <v>141</v>
      </c>
      <c r="B3" s="31" t="s">
        <v>142</v>
      </c>
      <c r="C3" s="31" t="s">
        <v>143</v>
      </c>
      <c r="D3" s="31" t="s">
        <v>144</v>
      </c>
      <c r="E3" s="31" t="s">
        <v>145</v>
      </c>
      <c r="F3" s="49" t="s">
        <v>146</v>
      </c>
    </row>
    <row r="4" spans="1:6" s="54" customFormat="1" ht="112" x14ac:dyDescent="0.35">
      <c r="A4" s="50" t="s">
        <v>147</v>
      </c>
      <c r="B4" s="21" t="s">
        <v>148</v>
      </c>
      <c r="C4" s="51" t="s">
        <v>149</v>
      </c>
      <c r="D4" s="20" t="s">
        <v>150</v>
      </c>
      <c r="E4" s="52" t="s">
        <v>69</v>
      </c>
      <c r="F4" s="53" t="s">
        <v>70</v>
      </c>
    </row>
    <row r="5" spans="1:6" s="29" customFormat="1" ht="70" x14ac:dyDescent="0.35">
      <c r="A5" s="50" t="s">
        <v>151</v>
      </c>
      <c r="B5" s="21" t="s">
        <v>152</v>
      </c>
      <c r="C5" s="51" t="s">
        <v>153</v>
      </c>
      <c r="D5" s="20" t="s">
        <v>154</v>
      </c>
      <c r="E5" s="52" t="s">
        <v>69</v>
      </c>
      <c r="F5" s="53" t="s">
        <v>70</v>
      </c>
    </row>
    <row r="6" spans="1:6" s="29" customFormat="1" ht="70" x14ac:dyDescent="0.35">
      <c r="A6" s="50" t="s">
        <v>155</v>
      </c>
      <c r="B6" s="21" t="s">
        <v>156</v>
      </c>
      <c r="C6" s="21" t="s">
        <v>157</v>
      </c>
      <c r="D6" s="20" t="s">
        <v>154</v>
      </c>
      <c r="E6" s="52" t="s">
        <v>69</v>
      </c>
      <c r="F6" s="53" t="s">
        <v>70</v>
      </c>
    </row>
    <row r="7" spans="1:6" s="29" customFormat="1" ht="42" x14ac:dyDescent="0.35">
      <c r="A7" s="55" t="s">
        <v>158</v>
      </c>
      <c r="B7" s="56" t="s">
        <v>159</v>
      </c>
      <c r="C7" s="56" t="s">
        <v>160</v>
      </c>
      <c r="D7" s="20" t="s">
        <v>154</v>
      </c>
      <c r="E7" s="52" t="s">
        <v>69</v>
      </c>
      <c r="F7" s="53" t="s">
        <v>70</v>
      </c>
    </row>
    <row r="8" spans="1:6" s="29" customFormat="1" ht="42" x14ac:dyDescent="0.35">
      <c r="A8" s="50" t="s">
        <v>161</v>
      </c>
      <c r="B8" s="56" t="s">
        <v>162</v>
      </c>
      <c r="C8" s="56" t="s">
        <v>163</v>
      </c>
      <c r="D8" s="20" t="s">
        <v>154</v>
      </c>
      <c r="E8" s="52" t="s">
        <v>69</v>
      </c>
      <c r="F8" s="53" t="s">
        <v>70</v>
      </c>
    </row>
    <row r="9" spans="1:6" s="29" customFormat="1" ht="28" x14ac:dyDescent="0.35">
      <c r="A9" s="50" t="s">
        <v>164</v>
      </c>
      <c r="B9" s="56" t="s">
        <v>165</v>
      </c>
      <c r="C9" s="56" t="s">
        <v>166</v>
      </c>
      <c r="D9" s="20" t="s">
        <v>154</v>
      </c>
      <c r="E9" s="52" t="s">
        <v>69</v>
      </c>
      <c r="F9" s="53" t="s">
        <v>70</v>
      </c>
    </row>
    <row r="10" spans="1:6" s="29" customFormat="1" ht="28" x14ac:dyDescent="0.35">
      <c r="A10" s="50" t="s">
        <v>167</v>
      </c>
      <c r="B10" s="56" t="s">
        <v>168</v>
      </c>
      <c r="C10" s="56" t="s">
        <v>169</v>
      </c>
      <c r="D10" s="20" t="s">
        <v>150</v>
      </c>
      <c r="E10" s="52" t="s">
        <v>69</v>
      </c>
      <c r="F10" s="53" t="s">
        <v>70</v>
      </c>
    </row>
    <row r="11" spans="1:6" s="29" customFormat="1" ht="140" x14ac:dyDescent="0.35">
      <c r="A11" s="50" t="s">
        <v>170</v>
      </c>
      <c r="B11" s="56" t="s">
        <v>171</v>
      </c>
      <c r="C11" s="56" t="s">
        <v>172</v>
      </c>
      <c r="D11" s="20" t="s">
        <v>154</v>
      </c>
      <c r="E11" s="52" t="s">
        <v>69</v>
      </c>
      <c r="F11" s="53" t="s">
        <v>70</v>
      </c>
    </row>
    <row r="12" spans="1:6" s="29" customFormat="1" ht="28" x14ac:dyDescent="0.35">
      <c r="A12" s="50" t="s">
        <v>173</v>
      </c>
      <c r="B12" s="56" t="s">
        <v>174</v>
      </c>
      <c r="C12" s="56" t="s">
        <v>175</v>
      </c>
      <c r="D12" s="20" t="s">
        <v>150</v>
      </c>
      <c r="E12" s="52" t="s">
        <v>69</v>
      </c>
      <c r="F12" s="53" t="s">
        <v>70</v>
      </c>
    </row>
    <row r="13" spans="1:6" s="29" customFormat="1" ht="28" x14ac:dyDescent="0.35">
      <c r="A13" s="50" t="s">
        <v>176</v>
      </c>
      <c r="B13" s="56" t="s">
        <v>177</v>
      </c>
      <c r="C13" s="56" t="s">
        <v>178</v>
      </c>
      <c r="D13" s="20" t="s">
        <v>150</v>
      </c>
      <c r="E13" s="52" t="s">
        <v>69</v>
      </c>
      <c r="F13" s="53" t="s">
        <v>70</v>
      </c>
    </row>
    <row r="14" spans="1:6" s="29" customFormat="1" ht="42" x14ac:dyDescent="0.35">
      <c r="A14" s="50" t="s">
        <v>179</v>
      </c>
      <c r="B14" s="56" t="s">
        <v>180</v>
      </c>
      <c r="C14" s="56" t="s">
        <v>181</v>
      </c>
      <c r="D14" s="20" t="s">
        <v>154</v>
      </c>
      <c r="E14" s="52" t="s">
        <v>69</v>
      </c>
      <c r="F14" s="53" t="s">
        <v>70</v>
      </c>
    </row>
    <row r="15" spans="1:6" s="29" customFormat="1" ht="28" x14ac:dyDescent="0.35">
      <c r="A15" s="50" t="s">
        <v>182</v>
      </c>
      <c r="B15" s="21" t="s">
        <v>183</v>
      </c>
      <c r="C15" s="39" t="s">
        <v>184</v>
      </c>
      <c r="D15" s="52" t="s">
        <v>150</v>
      </c>
      <c r="E15" s="52" t="s">
        <v>69</v>
      </c>
      <c r="F15" s="53" t="s">
        <v>70</v>
      </c>
    </row>
    <row r="16" spans="1:6" s="29" customFormat="1" ht="42" x14ac:dyDescent="0.35">
      <c r="A16" s="57" t="s">
        <v>185</v>
      </c>
      <c r="B16" s="23" t="s">
        <v>186</v>
      </c>
      <c r="C16" s="3" t="s">
        <v>187</v>
      </c>
      <c r="D16" s="20" t="s">
        <v>154</v>
      </c>
      <c r="E16" s="58" t="s">
        <v>69</v>
      </c>
      <c r="F16" s="59" t="s">
        <v>70</v>
      </c>
    </row>
    <row r="17" spans="1:6" s="29" customFormat="1" ht="56" x14ac:dyDescent="0.35">
      <c r="A17" s="57" t="s">
        <v>188</v>
      </c>
      <c r="B17" s="21" t="s">
        <v>189</v>
      </c>
      <c r="C17" s="56" t="s">
        <v>190</v>
      </c>
      <c r="D17" s="20" t="s">
        <v>154</v>
      </c>
      <c r="E17" s="58" t="s">
        <v>69</v>
      </c>
      <c r="F17" s="59" t="s">
        <v>70</v>
      </c>
    </row>
    <row r="18" spans="1:6" s="29" customFormat="1" ht="14" x14ac:dyDescent="0.25">
      <c r="A18" s="25" t="s">
        <v>59</v>
      </c>
      <c r="E18" s="48"/>
    </row>
    <row r="19" spans="1:6" s="29" customFormat="1" ht="31.5" customHeight="1" x14ac:dyDescent="0.25">
      <c r="B19" s="255" t="s">
        <v>60</v>
      </c>
      <c r="C19" s="255"/>
      <c r="D19" s="255"/>
      <c r="E19" s="26"/>
      <c r="F19" s="26"/>
    </row>
    <row r="20" spans="1:6" s="29" customFormat="1" ht="14" x14ac:dyDescent="0.35">
      <c r="E20" s="48"/>
    </row>
    <row r="21" spans="1:6" s="29" customFormat="1" ht="14" x14ac:dyDescent="0.35">
      <c r="E21" s="48"/>
    </row>
    <row r="22" spans="1:6" s="29" customFormat="1" ht="14" x14ac:dyDescent="0.35">
      <c r="E22" s="48"/>
    </row>
    <row r="23" spans="1:6" s="29" customFormat="1" ht="14" x14ac:dyDescent="0.35">
      <c r="E23" s="48"/>
    </row>
    <row r="24" spans="1:6" s="29" customFormat="1" ht="14" x14ac:dyDescent="0.35">
      <c r="E24" s="48"/>
    </row>
    <row r="25" spans="1:6" s="29" customFormat="1" ht="14" x14ac:dyDescent="0.35">
      <c r="E25" s="48"/>
    </row>
    <row r="26" spans="1:6" s="29" customFormat="1" ht="14" x14ac:dyDescent="0.35">
      <c r="E26" s="48"/>
    </row>
    <row r="27" spans="1:6" s="29" customFormat="1" ht="14" x14ac:dyDescent="0.35">
      <c r="E27" s="48"/>
    </row>
    <row r="28" spans="1:6" s="29" customFormat="1" ht="14" x14ac:dyDescent="0.35">
      <c r="E28" s="48"/>
    </row>
    <row r="29" spans="1:6" s="29" customFormat="1" ht="14" x14ac:dyDescent="0.35">
      <c r="E29" s="48"/>
    </row>
    <row r="30" spans="1:6" s="29" customFormat="1" ht="14" x14ac:dyDescent="0.35">
      <c r="E30" s="48"/>
    </row>
    <row r="31" spans="1:6" s="29" customFormat="1" ht="14" x14ac:dyDescent="0.35">
      <c r="E31" s="48"/>
    </row>
    <row r="32" spans="1:6" s="29" customFormat="1" ht="14" x14ac:dyDescent="0.35">
      <c r="E32" s="48"/>
    </row>
    <row r="33" spans="5:5" s="29" customFormat="1" ht="14" x14ac:dyDescent="0.35">
      <c r="E33" s="48"/>
    </row>
    <row r="34" spans="5:5" s="29" customFormat="1" ht="14" x14ac:dyDescent="0.35">
      <c r="E34" s="48"/>
    </row>
    <row r="35" spans="5:5" s="29" customFormat="1" ht="14" x14ac:dyDescent="0.35">
      <c r="E35" s="48"/>
    </row>
    <row r="36" spans="5:5" s="29" customFormat="1" ht="14" x14ac:dyDescent="0.35">
      <c r="E36" s="48"/>
    </row>
    <row r="37" spans="5:5" s="29" customFormat="1" ht="14" x14ac:dyDescent="0.35">
      <c r="E37" s="48"/>
    </row>
    <row r="38" spans="5:5" s="29" customFormat="1" ht="14" x14ac:dyDescent="0.35">
      <c r="E38" s="48"/>
    </row>
    <row r="39" spans="5:5" s="29" customFormat="1" ht="14" x14ac:dyDescent="0.35">
      <c r="E39" s="48"/>
    </row>
    <row r="40" spans="5:5" s="29" customFormat="1" ht="14" x14ac:dyDescent="0.35">
      <c r="E40" s="48"/>
    </row>
    <row r="41" spans="5:5" s="29" customFormat="1" ht="14" x14ac:dyDescent="0.35">
      <c r="E41" s="48"/>
    </row>
    <row r="42" spans="5:5" s="29" customFormat="1" ht="14" x14ac:dyDescent="0.35">
      <c r="E42" s="48"/>
    </row>
    <row r="43" spans="5:5" s="29" customFormat="1" ht="14" x14ac:dyDescent="0.35">
      <c r="E43" s="48"/>
    </row>
    <row r="44" spans="5:5" s="29" customFormat="1" ht="14" x14ac:dyDescent="0.35">
      <c r="E44" s="48"/>
    </row>
    <row r="45" spans="5:5" s="29" customFormat="1" ht="14" x14ac:dyDescent="0.35">
      <c r="E45" s="48"/>
    </row>
    <row r="46" spans="5:5" s="29" customFormat="1" ht="14" x14ac:dyDescent="0.35">
      <c r="E46" s="48"/>
    </row>
    <row r="47" spans="5:5" s="29" customFormat="1" ht="14" x14ac:dyDescent="0.35">
      <c r="E47" s="48"/>
    </row>
    <row r="48" spans="5:5" s="29" customFormat="1" ht="14" x14ac:dyDescent="0.35">
      <c r="E48" s="48"/>
    </row>
    <row r="49" spans="1:6" s="29" customFormat="1" ht="14" x14ac:dyDescent="0.35">
      <c r="E49" s="48"/>
    </row>
    <row r="50" spans="1:6" s="29" customFormat="1" ht="14" x14ac:dyDescent="0.35">
      <c r="E50" s="48"/>
    </row>
    <row r="51" spans="1:6" s="29" customFormat="1" ht="14" x14ac:dyDescent="0.35">
      <c r="E51" s="48"/>
    </row>
    <row r="52" spans="1:6" s="29" customFormat="1" ht="14" x14ac:dyDescent="0.35">
      <c r="E52" s="48"/>
    </row>
    <row r="53" spans="1:6" s="29" customFormat="1" ht="14" x14ac:dyDescent="0.35">
      <c r="E53" s="48"/>
    </row>
    <row r="54" spans="1:6" s="29" customFormat="1" ht="14" x14ac:dyDescent="0.35">
      <c r="E54" s="48"/>
    </row>
    <row r="55" spans="1:6" s="29" customFormat="1" ht="14" x14ac:dyDescent="0.35">
      <c r="E55" s="48"/>
    </row>
    <row r="56" spans="1:6" s="29" customFormat="1" ht="14" x14ac:dyDescent="0.35">
      <c r="E56" s="48"/>
    </row>
    <row r="57" spans="1:6" s="29" customFormat="1" ht="14" x14ac:dyDescent="0.35">
      <c r="E57" s="48"/>
    </row>
    <row r="58" spans="1:6" s="29" customFormat="1" ht="14" x14ac:dyDescent="0.35">
      <c r="E58" s="48"/>
    </row>
    <row r="59" spans="1:6" s="29" customFormat="1" ht="14" x14ac:dyDescent="0.35">
      <c r="E59" s="48"/>
    </row>
    <row r="60" spans="1:6" s="29" customFormat="1" ht="14" x14ac:dyDescent="0.35">
      <c r="E60" s="48"/>
    </row>
    <row r="61" spans="1:6" s="29" customFormat="1" ht="14" x14ac:dyDescent="0.35">
      <c r="E61" s="48"/>
    </row>
    <row r="62" spans="1:6" s="29" customFormat="1" ht="14" x14ac:dyDescent="0.35">
      <c r="E62" s="48"/>
    </row>
    <row r="63" spans="1:6" s="29" customFormat="1" ht="14" x14ac:dyDescent="0.35">
      <c r="E63" s="48"/>
    </row>
    <row r="64" spans="1:6" x14ac:dyDescent="0.35">
      <c r="A64" s="29"/>
      <c r="B64" s="29"/>
      <c r="C64" s="29"/>
      <c r="D64" s="29"/>
      <c r="E64" s="48"/>
      <c r="F64" s="29"/>
    </row>
    <row r="65" spans="1:6" x14ac:dyDescent="0.35">
      <c r="A65" s="29"/>
      <c r="B65" s="29"/>
      <c r="C65" s="29"/>
      <c r="D65" s="29"/>
      <c r="E65" s="48"/>
      <c r="F65" s="29"/>
    </row>
  </sheetData>
  <mergeCells count="1">
    <mergeCell ref="B19:D19"/>
  </mergeCells>
  <pageMargins left="0.7" right="0.7" top="1.25416666666667"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14:formula2>
            <xm:f>0</xm:f>
          </x14:formula2>
          <xm:sqref>E4:E17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topLeftCell="A4" zoomScale="90" zoomScaleNormal="90" workbookViewId="0">
      <selection activeCell="AA78" sqref="AA78"/>
    </sheetView>
  </sheetViews>
  <sheetFormatPr defaultColWidth="9.1796875" defaultRowHeight="14.5" x14ac:dyDescent="0.35"/>
  <cols>
    <col min="2" max="2" width="4.81640625" style="60" customWidth="1"/>
    <col min="3" max="3" width="25.54296875" customWidth="1"/>
    <col min="4" max="4" width="5" style="60" customWidth="1"/>
    <col min="5" max="5" width="29" style="61" customWidth="1"/>
    <col min="6" max="6" width="6.1796875" style="60" customWidth="1"/>
    <col min="7" max="7" width="28.81640625" style="61" customWidth="1"/>
    <col min="8" max="8" width="44.1796875" customWidth="1"/>
    <col min="9" max="9" width="25.453125" customWidth="1"/>
    <col min="10" max="12" width="9.1796875" style="60"/>
    <col min="13" max="17" width="15.81640625" customWidth="1"/>
    <col min="18" max="20" width="15.81640625" hidden="1" customWidth="1"/>
    <col min="21" max="21" width="15.81640625" customWidth="1"/>
    <col min="22" max="22" width="15.1796875" customWidth="1"/>
    <col min="23" max="23" width="17.453125" hidden="1" customWidth="1"/>
    <col min="24" max="25" width="12.1796875" customWidth="1"/>
    <col min="26" max="26" width="35.81640625" style="61" customWidth="1"/>
    <col min="27" max="27" width="32.81640625" customWidth="1"/>
    <col min="28" max="28" width="23.1796875" customWidth="1"/>
    <col min="32" max="36" width="15.81640625" customWidth="1"/>
    <col min="37" max="39" width="15.81640625" hidden="1" customWidth="1"/>
    <col min="40" max="42" width="15.81640625" customWidth="1"/>
    <col min="43" max="43" width="40.81640625" style="62" customWidth="1"/>
    <col min="44" max="44" width="13.1796875" style="62" customWidth="1"/>
    <col min="45" max="45" width="24.81640625" customWidth="1"/>
  </cols>
  <sheetData>
    <row r="1" spans="1:45" s="64" customFormat="1" ht="14" x14ac:dyDescent="0.3">
      <c r="A1" s="2" t="s">
        <v>191</v>
      </c>
      <c r="B1" s="63"/>
      <c r="D1" s="63"/>
      <c r="E1" s="65"/>
      <c r="F1" s="63"/>
      <c r="G1" s="65"/>
      <c r="J1" s="63"/>
      <c r="K1" s="63"/>
      <c r="L1" s="63"/>
      <c r="Z1" s="65"/>
    </row>
    <row r="2" spans="1:45" s="64" customFormat="1" ht="14" x14ac:dyDescent="0.3">
      <c r="A2" s="64" t="s">
        <v>192</v>
      </c>
      <c r="B2" s="63"/>
      <c r="D2" s="63"/>
      <c r="E2" s="65"/>
      <c r="F2" s="63"/>
      <c r="G2" s="65"/>
      <c r="J2" s="63"/>
      <c r="K2" s="63"/>
      <c r="L2" s="63"/>
      <c r="Z2" s="65"/>
    </row>
    <row r="3" spans="1:45" s="64" customFormat="1" ht="23.25" customHeight="1" x14ac:dyDescent="0.3">
      <c r="A3" s="66"/>
      <c r="B3" s="67"/>
      <c r="C3" s="68"/>
      <c r="D3" s="69"/>
      <c r="E3" s="70"/>
      <c r="F3" s="256" t="s">
        <v>193</v>
      </c>
      <c r="G3" s="256"/>
      <c r="H3" s="256"/>
      <c r="I3" s="256"/>
      <c r="J3" s="257" t="s">
        <v>194</v>
      </c>
      <c r="K3" s="257"/>
      <c r="L3" s="257"/>
      <c r="M3" s="257"/>
      <c r="N3" s="257"/>
      <c r="O3" s="257"/>
      <c r="P3" s="257"/>
      <c r="Q3" s="257"/>
      <c r="R3" s="257"/>
      <c r="S3" s="257"/>
      <c r="T3" s="257"/>
      <c r="U3" s="257"/>
      <c r="V3" s="257"/>
      <c r="W3" s="257"/>
      <c r="X3" s="257"/>
      <c r="Y3" s="257"/>
      <c r="Z3" s="258" t="s">
        <v>195</v>
      </c>
      <c r="AA3" s="258"/>
      <c r="AB3" s="258"/>
      <c r="AC3" s="259" t="s">
        <v>196</v>
      </c>
      <c r="AD3" s="259"/>
      <c r="AE3" s="259"/>
      <c r="AF3" s="259"/>
      <c r="AG3" s="259"/>
      <c r="AH3" s="259"/>
      <c r="AI3" s="259"/>
      <c r="AJ3" s="259"/>
      <c r="AK3" s="259"/>
      <c r="AL3" s="259"/>
      <c r="AM3" s="259"/>
      <c r="AN3" s="259"/>
      <c r="AO3" s="259"/>
      <c r="AP3" s="259"/>
      <c r="AQ3" s="259"/>
      <c r="AR3" s="65"/>
      <c r="AS3" s="65"/>
    </row>
    <row r="4" spans="1:45" s="64" customFormat="1" ht="88.5" customHeight="1" x14ac:dyDescent="0.3">
      <c r="A4" s="72" t="s">
        <v>197</v>
      </c>
      <c r="B4" s="73" t="s">
        <v>198</v>
      </c>
      <c r="C4" s="74" t="s">
        <v>199</v>
      </c>
      <c r="D4" s="75" t="s">
        <v>200</v>
      </c>
      <c r="E4" s="76" t="s">
        <v>201</v>
      </c>
      <c r="F4" s="77" t="s">
        <v>202</v>
      </c>
      <c r="G4" s="78" t="s">
        <v>9</v>
      </c>
      <c r="H4" s="78" t="s">
        <v>203</v>
      </c>
      <c r="I4" s="79" t="s">
        <v>204</v>
      </c>
      <c r="J4" s="80" t="s">
        <v>205</v>
      </c>
      <c r="K4" s="80" t="s">
        <v>206</v>
      </c>
      <c r="L4" s="80" t="s">
        <v>207</v>
      </c>
      <c r="M4" s="81" t="s">
        <v>208</v>
      </c>
      <c r="N4" s="81" t="s">
        <v>209</v>
      </c>
      <c r="O4" s="81" t="s">
        <v>210</v>
      </c>
      <c r="P4" s="81" t="s">
        <v>211</v>
      </c>
      <c r="Q4" s="81" t="s">
        <v>212</v>
      </c>
      <c r="R4" s="81" t="s">
        <v>213</v>
      </c>
      <c r="S4" s="81" t="s">
        <v>214</v>
      </c>
      <c r="T4" s="81" t="s">
        <v>215</v>
      </c>
      <c r="U4" s="81" t="s">
        <v>216</v>
      </c>
      <c r="V4" s="82" t="s">
        <v>217</v>
      </c>
      <c r="W4" s="82" t="s">
        <v>218</v>
      </c>
      <c r="X4" s="83" t="s">
        <v>219</v>
      </c>
      <c r="Y4" s="84" t="s">
        <v>220</v>
      </c>
      <c r="Z4" s="85" t="s">
        <v>221</v>
      </c>
      <c r="AA4" s="85" t="s">
        <v>222</v>
      </c>
      <c r="AB4" s="85" t="s">
        <v>223</v>
      </c>
      <c r="AC4" s="86" t="s">
        <v>224</v>
      </c>
      <c r="AD4" s="86" t="s">
        <v>225</v>
      </c>
      <c r="AE4" s="86" t="s">
        <v>226</v>
      </c>
      <c r="AF4" s="71" t="s">
        <v>227</v>
      </c>
      <c r="AG4" s="71" t="s">
        <v>228</v>
      </c>
      <c r="AH4" s="71" t="s">
        <v>229</v>
      </c>
      <c r="AI4" s="71" t="s">
        <v>230</v>
      </c>
      <c r="AJ4" s="71" t="s">
        <v>231</v>
      </c>
      <c r="AK4" s="71" t="s">
        <v>232</v>
      </c>
      <c r="AL4" s="71" t="s">
        <v>233</v>
      </c>
      <c r="AM4" s="71" t="s">
        <v>234</v>
      </c>
      <c r="AN4" s="71" t="s">
        <v>235</v>
      </c>
      <c r="AO4" s="71" t="s">
        <v>236</v>
      </c>
      <c r="AP4" s="71" t="s">
        <v>237</v>
      </c>
      <c r="AQ4" s="87" t="s">
        <v>238</v>
      </c>
      <c r="AR4" s="65"/>
      <c r="AS4" s="65"/>
    </row>
    <row r="5" spans="1:45" s="29" customFormat="1" ht="196" x14ac:dyDescent="0.35">
      <c r="A5" s="88">
        <v>1</v>
      </c>
      <c r="B5" s="89" t="s">
        <v>147</v>
      </c>
      <c r="C5" s="90" t="str">
        <f>IF(VLOOKUP(Table4[[#This Row],[T ID]],Table5[#All],5,FALSE())="No","Not in scope",VLOOKUP(Table4[[#This Row],[T ID]],Table5[#All],2,FALSE()))</f>
        <v>Deliver undirected malware
(CAPEC-185)</v>
      </c>
      <c r="D5" s="60" t="s">
        <v>95</v>
      </c>
      <c r="E5" s="90" t="str">
        <f>IF(VLOOKUP(Table4[[#This Row],[V ID]],Vulnerabilities[#All],3,FALSE())="No","Not in scope",VLOOKUP(Table4[[#This Row],[V ID]],Vulnerabilities[#All],2,FALSE()))</f>
        <v>Unprotected external USB Port on the tablet/devices.</v>
      </c>
      <c r="F5" s="91" t="s">
        <v>11</v>
      </c>
      <c r="G5" s="92" t="str">
        <f>VLOOKUP(Table4[[#This Row],[A ID]],Assets[#All],3,FALSE())</f>
        <v>Tablet Resources - web cam, microphone, OTG devices, Removable USB, Tablet Application, Network interfaces (Bluetooth, Wifi)</v>
      </c>
      <c r="H5" s="21" t="s">
        <v>239</v>
      </c>
      <c r="I5" s="21"/>
      <c r="J5" s="93" t="s">
        <v>240</v>
      </c>
      <c r="K5" s="93" t="s">
        <v>240</v>
      </c>
      <c r="L5" s="93" t="s">
        <v>240</v>
      </c>
      <c r="M5" s="94" t="s">
        <v>241</v>
      </c>
      <c r="N5" s="94" t="s">
        <v>240</v>
      </c>
      <c r="O5" s="94" t="s">
        <v>240</v>
      </c>
      <c r="P5" s="94" t="s">
        <v>242</v>
      </c>
      <c r="Q5" s="94" t="s">
        <v>243</v>
      </c>
      <c r="R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5">
        <f>(1 - ((1 - VLOOKUP(Table4[[#This Row],[Confidentiality]],'Reference - CVSSv3.0'!$B$15:$C$17,2,FALSE())) * (1 - VLOOKUP(Table4[[#This Row],[Integrity]],'Reference - CVSSv3.0'!$B$15:$C$17,2,FALSE())) *  (1 - VLOOKUP(Table4[[#This Row],[Availability]],'Reference - CVSSv3.0'!$B$15:$C$17,2,FALSE()))))</f>
        <v>0.52544799999999992</v>
      </c>
      <c r="T5" s="95">
        <f>IF(Table4[[#This Row],[Scope]]="Unchanged",6.42*Table4[[#This Row],[ISC Base]],IF(Table4[[#This Row],[Scope]]="Changed",7.52*(Table4[[#This Row],[ISC Base]] - 0.029) - 3.25 * POWER(Table4[[#This Row],[ISC Base]] - 0.02,15),NA()))</f>
        <v>3.3733761599999994</v>
      </c>
      <c r="U5"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9" t="s">
        <v>240</v>
      </c>
      <c r="W5" s="96">
        <f>VLOOKUP(Table4[[#This Row],[Threat Event Initiation]],NIST_Scale_LOAI[],2,FALSE())</f>
        <v>0.2</v>
      </c>
      <c r="X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21" t="s">
        <v>431</v>
      </c>
      <c r="AA5" s="21" t="s">
        <v>244</v>
      </c>
      <c r="AB5" s="98"/>
      <c r="AC5" s="93" t="s">
        <v>240</v>
      </c>
      <c r="AD5" s="93" t="s">
        <v>245</v>
      </c>
      <c r="AE5" s="93" t="s">
        <v>245</v>
      </c>
      <c r="AF5" s="94" t="s">
        <v>246</v>
      </c>
      <c r="AG5" s="94" t="s">
        <v>240</v>
      </c>
      <c r="AH5" s="94" t="s">
        <v>245</v>
      </c>
      <c r="AI5" s="94" t="s">
        <v>245</v>
      </c>
      <c r="AJ5" s="94" t="s">
        <v>247</v>
      </c>
      <c r="AK5" s="9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3.8870427750000003</v>
      </c>
      <c r="AL5" s="95">
        <f>(1 - ((1 - VLOOKUP(Table4[[#This Row],[ConfidentialityP]],'Reference - CVSSv3.0'!$B$15:$C$17,2,FALSE())) * (1 - VLOOKUP(Table4[[#This Row],[IntegrityP]],'Reference - CVSSv3.0'!$B$15:$C$17,2,FALSE())) *  (1 - VLOOKUP(Table4[[#This Row],[AvailabilityP]],'Reference - CVSSv3.0'!$B$15:$C$17,2,FALSE()))))</f>
        <v>0.21999999999999997</v>
      </c>
      <c r="AM5" s="95">
        <f>IF(Table4[[#This Row],[ScopeP]]="Unchanged",6.42*Table4[[#This Row],[ISC BaseP]],IF(Table4[[#This Row],[ScopeP]]="Changed",7.52*(Table4[[#This Row],[ISC BaseP]] - 0.029) - 3.25 * POWER(Table4[[#This Row],[ISC BaseP]] - 0.02,15),NA()))</f>
        <v>1.4363199998935039</v>
      </c>
      <c r="AN5" s="95">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9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2.4</v>
      </c>
      <c r="AP5" s="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39" t="s">
        <v>192</v>
      </c>
    </row>
    <row r="6" spans="1:45" s="29" customFormat="1" ht="196" x14ac:dyDescent="0.35">
      <c r="A6" s="88">
        <v>2</v>
      </c>
      <c r="B6" s="89" t="s">
        <v>147</v>
      </c>
      <c r="C6" s="99" t="str">
        <f>IF(VLOOKUP(Table4[[#This Row],[T ID]],Table5[#All],5,FALSE())="No","Not in scope",VLOOKUP(Table4[[#This Row],[T ID]],Table5[#All],2,FALSE()))</f>
        <v>Deliver undirected malware
(CAPEC-185)</v>
      </c>
      <c r="D6" s="60" t="s">
        <v>95</v>
      </c>
      <c r="E6" s="99" t="str">
        <f>IF(VLOOKUP(Table4[[#This Row],[V ID]],Vulnerabilities[#All],3,FALSE())="No","Not in scope",VLOOKUP(Table4[[#This Row],[V ID]],Vulnerabilities[#All],2,FALSE()))</f>
        <v>Unprotected external USB Port on the tablet/devices.</v>
      </c>
      <c r="F6" s="100" t="s">
        <v>19</v>
      </c>
      <c r="G6" s="99" t="str">
        <f>VLOOKUP(Table4[[#This Row],[A ID]],Assets[#All],3,FALSE())</f>
        <v>Smart medic (Stryker device) System Component</v>
      </c>
      <c r="H6" s="21" t="s">
        <v>239</v>
      </c>
      <c r="I6" s="21"/>
      <c r="J6" s="93" t="s">
        <v>240</v>
      </c>
      <c r="K6" s="93" t="s">
        <v>240</v>
      </c>
      <c r="L6" s="93" t="s">
        <v>240</v>
      </c>
      <c r="M6" s="94" t="s">
        <v>241</v>
      </c>
      <c r="N6" s="94" t="s">
        <v>240</v>
      </c>
      <c r="O6" s="94" t="s">
        <v>240</v>
      </c>
      <c r="P6" s="94" t="s">
        <v>242</v>
      </c>
      <c r="Q6" s="94" t="s">
        <v>243</v>
      </c>
      <c r="R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5">
        <f>(1 - ((1 - VLOOKUP(Table4[[#This Row],[Confidentiality]],'Reference - CVSSv3.0'!$B$15:$C$17,2,FALSE())) * (1 - VLOOKUP(Table4[[#This Row],[Integrity]],'Reference - CVSSv3.0'!$B$15:$C$17,2,FALSE())) *  (1 - VLOOKUP(Table4[[#This Row],[Availability]],'Reference - CVSSv3.0'!$B$15:$C$17,2,FALSE()))))</f>
        <v>0.52544799999999992</v>
      </c>
      <c r="T6" s="95">
        <f>IF(Table4[[#This Row],[Scope]]="Unchanged",6.42*Table4[[#This Row],[ISC Base]],IF(Table4[[#This Row],[Scope]]="Changed",7.52*(Table4[[#This Row],[ISC Base]] - 0.029) - 3.25 * POWER(Table4[[#This Row],[ISC Base]] - 0.02,15),NA()))</f>
        <v>3.3733761599999994</v>
      </c>
      <c r="U6"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9" t="s">
        <v>240</v>
      </c>
      <c r="W6" s="95">
        <f>VLOOKUP(Table4[[#This Row],[Threat Event Initiation]],NIST_Scale_LOAI[],2,FALSE())</f>
        <v>0.2</v>
      </c>
      <c r="X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21" t="s">
        <v>431</v>
      </c>
      <c r="AA6" s="21" t="s">
        <v>248</v>
      </c>
      <c r="AB6" s="98"/>
      <c r="AC6" s="39"/>
      <c r="AD6" s="39"/>
      <c r="AE6" s="39"/>
      <c r="AF6" s="94"/>
      <c r="AG6" s="94"/>
      <c r="AH6" s="94"/>
      <c r="AI6" s="94"/>
      <c r="AJ6" s="103"/>
      <c r="AK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5" t="e">
        <f>(1 - ((1 - VLOOKUP(Table4[[#This Row],[ConfidentialityP]],'Reference - CVSSv3.0'!$B$15:$C$17,2,FALSE())) * (1 - VLOOKUP(Table4[[#This Row],[IntegrityP]],'Reference - CVSSv3.0'!$B$15:$C$17,2,FALSE())) *  (1 - VLOOKUP(Table4[[#This Row],[AvailabilityP]],'Reference - CVSSv3.0'!$B$15:$C$17,2,FALSE()))))</f>
        <v>#N/A</v>
      </c>
      <c r="AM6" s="95" t="e">
        <f>IF(Table4[[#This Row],[ScopeP]]="Unchanged",6.42*Table4[[#This Row],[ISC BaseP]],IF(Table4[[#This Row],[ScopeP]]="Changed",7.52*(Table4[[#This Row],[ISC BaseP]] - 0.029) - 3.25 * POWER(Table4[[#This Row],[ISC BaseP]] - 0.02,15),NA()))</f>
        <v>#N/A</v>
      </c>
      <c r="AN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9"/>
    </row>
    <row r="7" spans="1:45" s="29" customFormat="1" ht="196" x14ac:dyDescent="0.35">
      <c r="A7" s="88">
        <v>3</v>
      </c>
      <c r="B7" s="89" t="s">
        <v>147</v>
      </c>
      <c r="C7" s="99" t="str">
        <f>IF(VLOOKUP(Table4[[#This Row],[T ID]],Table5[#All],5,FALSE())="No","Not in scope",VLOOKUP(Table4[[#This Row],[T ID]],Table5[#All],2,FALSE()))</f>
        <v>Deliver undirected malware
(CAPEC-185)</v>
      </c>
      <c r="D7" s="60" t="s">
        <v>71</v>
      </c>
      <c r="E7" s="99" t="str">
        <f>IF(VLOOKUP(Table4[[#This Row],[V ID]],Vulnerabilities[#All],3,FALSE())="No","Not in scope",VLOOKUP(Table4[[#This Row],[V ID]],Vulnerabilities[#All],2,FALSE()))</f>
        <v>External communications and exposure for communciation channels from and to application and devices like tablet and smartmedic device.</v>
      </c>
      <c r="F7" s="100" t="s">
        <v>19</v>
      </c>
      <c r="G7" s="99" t="str">
        <f>VLOOKUP(Table4[[#This Row],[A ID]],Assets[#All],3,FALSE())</f>
        <v>Smart medic (Stryker device) System Component</v>
      </c>
      <c r="H7" s="21" t="s">
        <v>239</v>
      </c>
      <c r="I7" s="21"/>
      <c r="J7" s="93" t="s">
        <v>240</v>
      </c>
      <c r="K7" s="93" t="s">
        <v>240</v>
      </c>
      <c r="L7" s="93" t="s">
        <v>240</v>
      </c>
      <c r="M7" s="94" t="s">
        <v>246</v>
      </c>
      <c r="N7" s="94" t="s">
        <v>240</v>
      </c>
      <c r="O7" s="94" t="s">
        <v>240</v>
      </c>
      <c r="P7" s="94" t="s">
        <v>242</v>
      </c>
      <c r="Q7" s="94" t="s">
        <v>243</v>
      </c>
      <c r="R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5">
        <f>(1 - ((1 - VLOOKUP(Table4[[#This Row],[Confidentiality]],'Reference - CVSSv3.0'!$B$15:$C$17,2,FALSE())) * (1 - VLOOKUP(Table4[[#This Row],[Integrity]],'Reference - CVSSv3.0'!$B$15:$C$17,2,FALSE())) *  (1 - VLOOKUP(Table4[[#This Row],[Availability]],'Reference - CVSSv3.0'!$B$15:$C$17,2,FALSE()))))</f>
        <v>0.52544799999999992</v>
      </c>
      <c r="T7" s="95">
        <f>IF(Table4[[#This Row],[Scope]]="Unchanged",6.42*Table4[[#This Row],[ISC Base]],IF(Table4[[#This Row],[Scope]]="Changed",7.52*(Table4[[#This Row],[ISC Base]] - 0.029) - 3.25 * POWER(Table4[[#This Row],[ISC Base]] - 0.02,15),NA()))</f>
        <v>3.3733761599999994</v>
      </c>
      <c r="U7"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9" t="s">
        <v>240</v>
      </c>
      <c r="W7" s="95">
        <f>VLOOKUP(Table4[[#This Row],[Threat Event Initiation]],NIST_Scale_LOAI[],2,FALSE())</f>
        <v>0.2</v>
      </c>
      <c r="X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1" t="s">
        <v>431</v>
      </c>
      <c r="AA7" s="21" t="s">
        <v>248</v>
      </c>
      <c r="AB7" s="98"/>
      <c r="AC7" s="39"/>
      <c r="AD7" s="39"/>
      <c r="AE7" s="39"/>
      <c r="AF7" s="94"/>
      <c r="AG7" s="94"/>
      <c r="AH7" s="94"/>
      <c r="AI7" s="94"/>
      <c r="AJ7" s="103"/>
      <c r="AK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5" t="e">
        <f>(1 - ((1 - VLOOKUP(Table4[[#This Row],[ConfidentialityP]],'Reference - CVSSv3.0'!$B$15:$C$17,2,FALSE())) * (1 - VLOOKUP(Table4[[#This Row],[IntegrityP]],'Reference - CVSSv3.0'!$B$15:$C$17,2,FALSE())) *  (1 - VLOOKUP(Table4[[#This Row],[AvailabilityP]],'Reference - CVSSv3.0'!$B$15:$C$17,2,FALSE()))))</f>
        <v>#N/A</v>
      </c>
      <c r="AM7" s="95" t="e">
        <f>IF(Table4[[#This Row],[ScopeP]]="Unchanged",6.42*Table4[[#This Row],[ISC BaseP]],IF(Table4[[#This Row],[ScopeP]]="Changed",7.52*(Table4[[#This Row],[ISC BaseP]] - 0.029) - 3.25 * POWER(Table4[[#This Row],[ISC BaseP]] - 0.02,15),NA()))</f>
        <v>#N/A</v>
      </c>
      <c r="AN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9"/>
    </row>
    <row r="8" spans="1:45" s="29" customFormat="1" ht="196" x14ac:dyDescent="0.35">
      <c r="A8" s="88">
        <v>4</v>
      </c>
      <c r="B8" s="89" t="s">
        <v>147</v>
      </c>
      <c r="C8" s="99" t="str">
        <f>IF(VLOOKUP(Table4[[#This Row],[T ID]],Table5[#All],5,FALSE())="No","Not in scope",VLOOKUP(Table4[[#This Row],[T ID]],Table5[#All],2,FALSE()))</f>
        <v>Deliver undirected malware
(CAPEC-185)</v>
      </c>
      <c r="D8" s="60" t="s">
        <v>71</v>
      </c>
      <c r="E8" s="99" t="str">
        <f>IF(VLOOKUP(Table4[[#This Row],[V ID]],Vulnerabilities[#All],3,FALSE())="No","Not in scope",VLOOKUP(Table4[[#This Row],[V ID]],Vulnerabilities[#All],2,FALSE()))</f>
        <v>External communications and exposure for communciation channels from and to application and devices like tablet and smartmedic device.</v>
      </c>
      <c r="F8" s="91" t="s">
        <v>11</v>
      </c>
      <c r="G8" s="99" t="str">
        <f>VLOOKUP(Table4[[#This Row],[A ID]],Assets[#All],3,FALSE())</f>
        <v>Tablet Resources - web cam, microphone, OTG devices, Removable USB, Tablet Application, Network interfaces (Bluetooth, Wifi)</v>
      </c>
      <c r="H8" s="21" t="s">
        <v>239</v>
      </c>
      <c r="I8" s="21"/>
      <c r="J8" s="93" t="s">
        <v>240</v>
      </c>
      <c r="K8" s="93" t="s">
        <v>240</v>
      </c>
      <c r="L8" s="93" t="s">
        <v>240</v>
      </c>
      <c r="M8" s="94" t="s">
        <v>246</v>
      </c>
      <c r="N8" s="94" t="s">
        <v>240</v>
      </c>
      <c r="O8" s="94" t="s">
        <v>240</v>
      </c>
      <c r="P8" s="94" t="s">
        <v>242</v>
      </c>
      <c r="Q8" s="94" t="s">
        <v>243</v>
      </c>
      <c r="R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5">
        <f>(1 - ((1 - VLOOKUP(Table4[[#This Row],[Confidentiality]],'Reference - CVSSv3.0'!$B$15:$C$17,2,FALSE())) * (1 - VLOOKUP(Table4[[#This Row],[Integrity]],'Reference - CVSSv3.0'!$B$15:$C$17,2,FALSE())) *  (1 - VLOOKUP(Table4[[#This Row],[Availability]],'Reference - CVSSv3.0'!$B$15:$C$17,2,FALSE()))))</f>
        <v>0.52544799999999992</v>
      </c>
      <c r="T8" s="95">
        <f>IF(Table4[[#This Row],[Scope]]="Unchanged",6.42*Table4[[#This Row],[ISC Base]],IF(Table4[[#This Row],[Scope]]="Changed",7.52*(Table4[[#This Row],[ISC Base]] - 0.029) - 3.25 * POWER(Table4[[#This Row],[ISC Base]] - 0.02,15),NA()))</f>
        <v>3.3733761599999994</v>
      </c>
      <c r="U8"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9" t="s">
        <v>240</v>
      </c>
      <c r="W8" s="95">
        <f>VLOOKUP(Table4[[#This Row],[Threat Event Initiation]],NIST_Scale_LOAI[],2,FALSE())</f>
        <v>0.2</v>
      </c>
      <c r="X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 t="s">
        <v>431</v>
      </c>
      <c r="AA8" s="21" t="s">
        <v>248</v>
      </c>
      <c r="AB8" s="98"/>
      <c r="AC8" s="39"/>
      <c r="AD8" s="39"/>
      <c r="AE8" s="39"/>
      <c r="AF8" s="94"/>
      <c r="AG8" s="94"/>
      <c r="AH8" s="94"/>
      <c r="AI8" s="94"/>
      <c r="AJ8" s="103"/>
      <c r="AK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5" t="e">
        <f>(1 - ((1 - VLOOKUP(Table4[[#This Row],[ConfidentialityP]],'Reference - CVSSv3.0'!$B$15:$C$17,2,FALSE())) * (1 - VLOOKUP(Table4[[#This Row],[IntegrityP]],'Reference - CVSSv3.0'!$B$15:$C$17,2,FALSE())) *  (1 - VLOOKUP(Table4[[#This Row],[AvailabilityP]],'Reference - CVSSv3.0'!$B$15:$C$17,2,FALSE()))))</f>
        <v>#N/A</v>
      </c>
      <c r="AM8" s="95" t="e">
        <f>IF(Table4[[#This Row],[ScopeP]]="Unchanged",6.42*Table4[[#This Row],[ISC BaseP]],IF(Table4[[#This Row],[ScopeP]]="Changed",7.52*(Table4[[#This Row],[ISC BaseP]] - 0.029) - 3.25 * POWER(Table4[[#This Row],[ISC BaseP]] - 0.02,15),NA()))</f>
        <v>#N/A</v>
      </c>
      <c r="AN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9"/>
    </row>
    <row r="9" spans="1:45" s="29" customFormat="1" ht="196" x14ac:dyDescent="0.35">
      <c r="A9" s="88">
        <v>5</v>
      </c>
      <c r="B9" s="89" t="s">
        <v>147</v>
      </c>
      <c r="C9" s="99" t="str">
        <f>IF(VLOOKUP(Table4[[#This Row],[T ID]],Table5[#All],5,FALSE())="No","Not in scope",VLOOKUP(Table4[[#This Row],[T ID]],Table5[#All],2,FALSE()))</f>
        <v>Deliver undirected malware
(CAPEC-185)</v>
      </c>
      <c r="D9" s="60" t="s">
        <v>115</v>
      </c>
      <c r="E9" s="99" t="str">
        <f>IF(VLOOKUP(Table4[[#This Row],[V ID]],Vulnerabilities[#All],3,FALSE())="No","Not in scope",VLOOKUP(Table4[[#This Row],[V ID]],Vulnerabilities[#All],2,FALSE()))</f>
        <v>Legacy system identification if any</v>
      </c>
      <c r="F9" s="100" t="s">
        <v>19</v>
      </c>
      <c r="G9" s="99" t="str">
        <f>VLOOKUP(Table4[[#This Row],[A ID]],Assets[#All],3,FALSE())</f>
        <v>Smart medic (Stryker device) System Component</v>
      </c>
      <c r="H9" s="21" t="s">
        <v>239</v>
      </c>
      <c r="I9" s="21"/>
      <c r="J9" s="93" t="s">
        <v>240</v>
      </c>
      <c r="K9" s="93" t="s">
        <v>240</v>
      </c>
      <c r="L9" s="93" t="s">
        <v>240</v>
      </c>
      <c r="M9" s="94" t="s">
        <v>241</v>
      </c>
      <c r="N9" s="94" t="s">
        <v>240</v>
      </c>
      <c r="O9" s="94" t="s">
        <v>240</v>
      </c>
      <c r="P9" s="94" t="s">
        <v>245</v>
      </c>
      <c r="Q9" s="94" t="s">
        <v>243</v>
      </c>
      <c r="R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5">
        <f>(1 - ((1 - VLOOKUP(Table4[[#This Row],[Confidentiality]],'Reference - CVSSv3.0'!$B$15:$C$17,2,FALSE())) * (1 - VLOOKUP(Table4[[#This Row],[Integrity]],'Reference - CVSSv3.0'!$B$15:$C$17,2,FALSE())) *  (1 - VLOOKUP(Table4[[#This Row],[Availability]],'Reference - CVSSv3.0'!$B$15:$C$17,2,FALSE()))))</f>
        <v>0.52544799999999992</v>
      </c>
      <c r="T9" s="95">
        <f>IF(Table4[[#This Row],[Scope]]="Unchanged",6.42*Table4[[#This Row],[ISC Base]],IF(Table4[[#This Row],[Scope]]="Changed",7.52*(Table4[[#This Row],[ISC Base]] - 0.029) - 3.25 * POWER(Table4[[#This Row],[ISC Base]] - 0.02,15),NA()))</f>
        <v>3.3733761599999994</v>
      </c>
      <c r="U9"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9" t="s">
        <v>240</v>
      </c>
      <c r="W9" s="95">
        <f>VLOOKUP(Table4[[#This Row],[Threat Event Initiation]],NIST_Scale_LOAI[],2,FALSE())</f>
        <v>0.2</v>
      </c>
      <c r="X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1" t="s">
        <v>431</v>
      </c>
      <c r="AA9" s="21" t="s">
        <v>248</v>
      </c>
      <c r="AB9" s="98"/>
      <c r="AC9" s="39"/>
      <c r="AD9" s="39"/>
      <c r="AE9" s="39"/>
      <c r="AF9" s="94"/>
      <c r="AG9" s="94"/>
      <c r="AH9" s="94"/>
      <c r="AI9" s="94"/>
      <c r="AJ9" s="103"/>
      <c r="AK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5" t="e">
        <f>(1 - ((1 - VLOOKUP(Table4[[#This Row],[ConfidentialityP]],'Reference - CVSSv3.0'!$B$15:$C$17,2,FALSE())) * (1 - VLOOKUP(Table4[[#This Row],[IntegrityP]],'Reference - CVSSv3.0'!$B$15:$C$17,2,FALSE())) *  (1 - VLOOKUP(Table4[[#This Row],[AvailabilityP]],'Reference - CVSSv3.0'!$B$15:$C$17,2,FALSE()))))</f>
        <v>#N/A</v>
      </c>
      <c r="AM9" s="95" t="e">
        <f>IF(Table4[[#This Row],[ScopeP]]="Unchanged",6.42*Table4[[#This Row],[ISC BaseP]],IF(Table4[[#This Row],[ScopeP]]="Changed",7.52*(Table4[[#This Row],[ISC BaseP]] - 0.029) - 3.25 * POWER(Table4[[#This Row],[ISC BaseP]] - 0.02,15),NA()))</f>
        <v>#N/A</v>
      </c>
      <c r="AN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9"/>
    </row>
    <row r="10" spans="1:45" s="29" customFormat="1" ht="196" x14ac:dyDescent="0.35">
      <c r="A10" s="88">
        <v>6</v>
      </c>
      <c r="B10" s="89" t="s">
        <v>147</v>
      </c>
      <c r="C10" s="99" t="str">
        <f>IF(VLOOKUP(Table4[[#This Row],[T ID]],Table5[#All],5,FALSE())="No","Not in scope",VLOOKUP(Table4[[#This Row],[T ID]],Table5[#All],2,FALSE()))</f>
        <v>Deliver undirected malware
(CAPEC-185)</v>
      </c>
      <c r="D10" s="60" t="s">
        <v>115</v>
      </c>
      <c r="E10" s="99" t="str">
        <f>IF(VLOOKUP(Table4[[#This Row],[V ID]],Vulnerabilities[#All],3,FALSE())="No","Not in scope",VLOOKUP(Table4[[#This Row],[V ID]],Vulnerabilities[#All],2,FALSE()))</f>
        <v>Legacy system identification if any</v>
      </c>
      <c r="F10" s="91" t="s">
        <v>11</v>
      </c>
      <c r="G10" s="99" t="str">
        <f>VLOOKUP(Table4[[#This Row],[A ID]],Assets[#All],3,FALSE())</f>
        <v>Tablet Resources - web cam, microphone, OTG devices, Removable USB, Tablet Application, Network interfaces (Bluetooth, Wifi)</v>
      </c>
      <c r="H10" s="21" t="s">
        <v>239</v>
      </c>
      <c r="I10" s="21"/>
      <c r="J10" s="93" t="s">
        <v>240</v>
      </c>
      <c r="K10" s="93" t="s">
        <v>240</v>
      </c>
      <c r="L10" s="93" t="s">
        <v>240</v>
      </c>
      <c r="M10" s="94" t="s">
        <v>241</v>
      </c>
      <c r="N10" s="94" t="s">
        <v>240</v>
      </c>
      <c r="O10" s="94" t="s">
        <v>240</v>
      </c>
      <c r="P10" s="94" t="s">
        <v>245</v>
      </c>
      <c r="Q10" s="94" t="s">
        <v>243</v>
      </c>
      <c r="R1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5">
        <f>(1 - ((1 - VLOOKUP(Table4[[#This Row],[Confidentiality]],'Reference - CVSSv3.0'!$B$15:$C$17,2,FALSE())) * (1 - VLOOKUP(Table4[[#This Row],[Integrity]],'Reference - CVSSv3.0'!$B$15:$C$17,2,FALSE())) *  (1 - VLOOKUP(Table4[[#This Row],[Availability]],'Reference - CVSSv3.0'!$B$15:$C$17,2,FALSE()))))</f>
        <v>0.52544799999999992</v>
      </c>
      <c r="T10" s="95">
        <f>IF(Table4[[#This Row],[Scope]]="Unchanged",6.42*Table4[[#This Row],[ISC Base]],IF(Table4[[#This Row],[Scope]]="Changed",7.52*(Table4[[#This Row],[ISC Base]] - 0.029) - 3.25 * POWER(Table4[[#This Row],[ISC Base]] - 0.02,15),NA()))</f>
        <v>3.3733761599999994</v>
      </c>
      <c r="U1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9" t="s">
        <v>240</v>
      </c>
      <c r="W10" s="95">
        <f>VLOOKUP(Table4[[#This Row],[Threat Event Initiation]],NIST_Scale_LOAI[],2,FALSE())</f>
        <v>0.2</v>
      </c>
      <c r="X1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1" t="s">
        <v>431</v>
      </c>
      <c r="AA10" s="21" t="s">
        <v>386</v>
      </c>
      <c r="AB10" s="98"/>
      <c r="AC10" s="39"/>
      <c r="AD10" s="39"/>
      <c r="AE10" s="39"/>
      <c r="AF10" s="94"/>
      <c r="AG10" s="94"/>
      <c r="AH10" s="94"/>
      <c r="AI10" s="94"/>
      <c r="AJ10" s="103"/>
      <c r="AK1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5" t="e">
        <f>(1 - ((1 - VLOOKUP(Table4[[#This Row],[ConfidentialityP]],'Reference - CVSSv3.0'!$B$15:$C$17,2,FALSE())) * (1 - VLOOKUP(Table4[[#This Row],[IntegrityP]],'Reference - CVSSv3.0'!$B$15:$C$17,2,FALSE())) *  (1 - VLOOKUP(Table4[[#This Row],[AvailabilityP]],'Reference - CVSSv3.0'!$B$15:$C$17,2,FALSE()))))</f>
        <v>#N/A</v>
      </c>
      <c r="AM10" s="95" t="e">
        <f>IF(Table4[[#This Row],[ScopeP]]="Unchanged",6.42*Table4[[#This Row],[ISC BaseP]],IF(Table4[[#This Row],[ScopeP]]="Changed",7.52*(Table4[[#This Row],[ISC BaseP]] - 0.029) - 3.25 * POWER(Table4[[#This Row],[ISC BaseP]] - 0.02,15),NA()))</f>
        <v>#N/A</v>
      </c>
      <c r="AN1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9"/>
    </row>
    <row r="11" spans="1:45" s="29" customFormat="1" ht="196" x14ac:dyDescent="0.35">
      <c r="A11" s="88">
        <v>7</v>
      </c>
      <c r="B11" s="89" t="s">
        <v>147</v>
      </c>
      <c r="C11" s="99" t="str">
        <f>IF(VLOOKUP(Table4[[#This Row],[T ID]],Table5[#All],5,FALSE())="No","Not in scope",VLOOKUP(Table4[[#This Row],[T ID]],Table5[#All],2,FALSE()))</f>
        <v>Deliver undirected malware
(CAPEC-185)</v>
      </c>
      <c r="D11" s="60" t="s">
        <v>84</v>
      </c>
      <c r="E11" s="99" t="str">
        <f>IF(VLOOKUP(Table4[[#This Row],[V ID]],Vulnerabilities[#All],3,FALSE())="No","Not in scope",VLOOKUP(Table4[[#This Row],[V ID]],Vulnerabilities[#All],2,FALSE()))</f>
        <v>Ineffective patch management of firware, OS and applications thoughout the information system plan</v>
      </c>
      <c r="F11" s="100" t="s">
        <v>26</v>
      </c>
      <c r="G11" s="99" t="str">
        <f>VLOOKUP(Table4[[#This Row],[A ID]],Assets[#All],3,FALSE())</f>
        <v>Device Maintainence tool (Hardware/Software)</v>
      </c>
      <c r="H11" s="21" t="s">
        <v>239</v>
      </c>
      <c r="I11" s="21"/>
      <c r="J11" s="93" t="s">
        <v>240</v>
      </c>
      <c r="K11" s="93" t="s">
        <v>240</v>
      </c>
      <c r="L11" s="93" t="s">
        <v>240</v>
      </c>
      <c r="M11" s="94" t="s">
        <v>249</v>
      </c>
      <c r="N11" s="94" t="s">
        <v>240</v>
      </c>
      <c r="O11" s="94" t="s">
        <v>240</v>
      </c>
      <c r="P11" s="94" t="s">
        <v>245</v>
      </c>
      <c r="Q11" s="94" t="s">
        <v>243</v>
      </c>
      <c r="R1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5">
        <f>(1 - ((1 - VLOOKUP(Table4[[#This Row],[Confidentiality]],'Reference - CVSSv3.0'!$B$15:$C$17,2,FALSE())) * (1 - VLOOKUP(Table4[[#This Row],[Integrity]],'Reference - CVSSv3.0'!$B$15:$C$17,2,FALSE())) *  (1 - VLOOKUP(Table4[[#This Row],[Availability]],'Reference - CVSSv3.0'!$B$15:$C$17,2,FALSE()))))</f>
        <v>0.52544799999999992</v>
      </c>
      <c r="T11" s="95">
        <f>IF(Table4[[#This Row],[Scope]]="Unchanged",6.42*Table4[[#This Row],[ISC Base]],IF(Table4[[#This Row],[Scope]]="Changed",7.52*(Table4[[#This Row],[ISC Base]] - 0.029) - 3.25 * POWER(Table4[[#This Row],[ISC Base]] - 0.02,15),NA()))</f>
        <v>3.3733761599999994</v>
      </c>
      <c r="U1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9" t="s">
        <v>240</v>
      </c>
      <c r="W11" s="95">
        <f>VLOOKUP(Table4[[#This Row],[Threat Event Initiation]],NIST_Scale_LOAI[],2,FALSE())</f>
        <v>0.2</v>
      </c>
      <c r="X1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1" t="s">
        <v>431</v>
      </c>
      <c r="AA11" s="21" t="s">
        <v>386</v>
      </c>
      <c r="AB11" s="98"/>
      <c r="AC11" s="39"/>
      <c r="AD11" s="39"/>
      <c r="AE11" s="39"/>
      <c r="AF11" s="94"/>
      <c r="AG11" s="94"/>
      <c r="AH11" s="94"/>
      <c r="AI11" s="94"/>
      <c r="AJ11" s="103"/>
      <c r="AK1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5" t="e">
        <f>(1 - ((1 - VLOOKUP(Table4[[#This Row],[ConfidentialityP]],'Reference - CVSSv3.0'!$B$15:$C$17,2,FALSE())) * (1 - VLOOKUP(Table4[[#This Row],[IntegrityP]],'Reference - CVSSv3.0'!$B$15:$C$17,2,FALSE())) *  (1 - VLOOKUP(Table4[[#This Row],[AvailabilityP]],'Reference - CVSSv3.0'!$B$15:$C$17,2,FALSE()))))</f>
        <v>#N/A</v>
      </c>
      <c r="AM11" s="95" t="e">
        <f>IF(Table4[[#This Row],[ScopeP]]="Unchanged",6.42*Table4[[#This Row],[ISC BaseP]],IF(Table4[[#This Row],[ScopeP]]="Changed",7.52*(Table4[[#This Row],[ISC BaseP]] - 0.029) - 3.25 * POWER(Table4[[#This Row],[ISC BaseP]] - 0.02,15),NA()))</f>
        <v>#N/A</v>
      </c>
      <c r="AN1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9"/>
    </row>
    <row r="12" spans="1:45" s="29" customFormat="1" ht="196" x14ac:dyDescent="0.35">
      <c r="A12" s="88">
        <v>8</v>
      </c>
      <c r="B12" s="89" t="s">
        <v>147</v>
      </c>
      <c r="C12" s="99" t="str">
        <f>IF(VLOOKUP(Table4[[#This Row],[T ID]],Table5[#All],5,FALSE())="No","Not in scope",VLOOKUP(Table4[[#This Row],[T ID]],Table5[#All],2,FALSE()))</f>
        <v>Deliver undirected malware
(CAPEC-185)</v>
      </c>
      <c r="D12" s="60" t="s">
        <v>84</v>
      </c>
      <c r="E12" s="99" t="str">
        <f>IF(VLOOKUP(Table4[[#This Row],[V ID]],Vulnerabilities[#All],3,FALSE())="No","Not in scope",VLOOKUP(Table4[[#This Row],[V ID]],Vulnerabilities[#All],2,FALSE()))</f>
        <v>Ineffective patch management of firware, OS and applications thoughout the information system plan</v>
      </c>
      <c r="F12" s="91" t="s">
        <v>11</v>
      </c>
      <c r="G12" s="99" t="str">
        <f>VLOOKUP(Table4[[#This Row],[A ID]],Assets[#All],3,FALSE())</f>
        <v>Tablet Resources - web cam, microphone, OTG devices, Removable USB, Tablet Application, Network interfaces (Bluetooth, Wifi)</v>
      </c>
      <c r="H12" s="21" t="s">
        <v>239</v>
      </c>
      <c r="I12" s="21"/>
      <c r="J12" s="93" t="s">
        <v>240</v>
      </c>
      <c r="K12" s="93" t="s">
        <v>240</v>
      </c>
      <c r="L12" s="93" t="s">
        <v>240</v>
      </c>
      <c r="M12" s="94" t="s">
        <v>249</v>
      </c>
      <c r="N12" s="94" t="s">
        <v>240</v>
      </c>
      <c r="O12" s="94" t="s">
        <v>240</v>
      </c>
      <c r="P12" s="94" t="s">
        <v>245</v>
      </c>
      <c r="Q12" s="94" t="s">
        <v>243</v>
      </c>
      <c r="R1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5">
        <f>(1 - ((1 - VLOOKUP(Table4[[#This Row],[Confidentiality]],'Reference - CVSSv3.0'!$B$15:$C$17,2,FALSE())) * (1 - VLOOKUP(Table4[[#This Row],[Integrity]],'Reference - CVSSv3.0'!$B$15:$C$17,2,FALSE())) *  (1 - VLOOKUP(Table4[[#This Row],[Availability]],'Reference - CVSSv3.0'!$B$15:$C$17,2,FALSE()))))</f>
        <v>0.52544799999999992</v>
      </c>
      <c r="T12" s="95">
        <f>IF(Table4[[#This Row],[Scope]]="Unchanged",6.42*Table4[[#This Row],[ISC Base]],IF(Table4[[#This Row],[Scope]]="Changed",7.52*(Table4[[#This Row],[ISC Base]] - 0.029) - 3.25 * POWER(Table4[[#This Row],[ISC Base]] - 0.02,15),NA()))</f>
        <v>3.3733761599999994</v>
      </c>
      <c r="U1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9" t="s">
        <v>240</v>
      </c>
      <c r="W12" s="95">
        <f>VLOOKUP(Table4[[#This Row],[Threat Event Initiation]],NIST_Scale_LOAI[],2,FALSE())</f>
        <v>0.2</v>
      </c>
      <c r="X1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21" t="s">
        <v>431</v>
      </c>
      <c r="AA12" s="21" t="s">
        <v>248</v>
      </c>
      <c r="AB12" s="98"/>
      <c r="AC12" s="39"/>
      <c r="AD12" s="39"/>
      <c r="AE12" s="39"/>
      <c r="AF12" s="94"/>
      <c r="AG12" s="94"/>
      <c r="AH12" s="94"/>
      <c r="AI12" s="94"/>
      <c r="AJ12" s="103"/>
      <c r="AK1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5" t="e">
        <f>(1 - ((1 - VLOOKUP(Table4[[#This Row],[ConfidentialityP]],'Reference - CVSSv3.0'!$B$15:$C$17,2,FALSE())) * (1 - VLOOKUP(Table4[[#This Row],[IntegrityP]],'Reference - CVSSv3.0'!$B$15:$C$17,2,FALSE())) *  (1 - VLOOKUP(Table4[[#This Row],[AvailabilityP]],'Reference - CVSSv3.0'!$B$15:$C$17,2,FALSE()))))</f>
        <v>#N/A</v>
      </c>
      <c r="AM12" s="95" t="e">
        <f>IF(Table4[[#This Row],[ScopeP]]="Unchanged",6.42*Table4[[#This Row],[ISC BaseP]],IF(Table4[[#This Row],[ScopeP]]="Changed",7.52*(Table4[[#This Row],[ISC BaseP]] - 0.029) - 3.25 * POWER(Table4[[#This Row],[ISC BaseP]] - 0.02,15),NA()))</f>
        <v>#N/A</v>
      </c>
      <c r="AN1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9"/>
    </row>
    <row r="13" spans="1:45" s="29" customFormat="1" ht="196" x14ac:dyDescent="0.35">
      <c r="A13" s="88">
        <v>9</v>
      </c>
      <c r="B13" s="89" t="s">
        <v>147</v>
      </c>
      <c r="C13" s="99" t="str">
        <f>IF(VLOOKUP(Table4[[#This Row],[T ID]],Table5[#All],5,FALSE())="No","Not in scope",VLOOKUP(Table4[[#This Row],[T ID]],Table5[#All],2,FALSE()))</f>
        <v>Deliver undirected malware
(CAPEC-185)</v>
      </c>
      <c r="D13" s="60" t="s">
        <v>84</v>
      </c>
      <c r="E13" s="99" t="str">
        <f>IF(VLOOKUP(Table4[[#This Row],[V ID]],Vulnerabilities[#All],3,FALSE())="No","Not in scope",VLOOKUP(Table4[[#This Row],[V ID]],Vulnerabilities[#All],2,FALSE()))</f>
        <v>Ineffective patch management of firware, OS and applications thoughout the information system plan</v>
      </c>
      <c r="F13" s="100" t="s">
        <v>19</v>
      </c>
      <c r="G13" s="99" t="str">
        <f>VLOOKUP(Table4[[#This Row],[A ID]],Assets[#All],3,FALSE())</f>
        <v>Smart medic (Stryker device) System Component</v>
      </c>
      <c r="H13" s="21" t="s">
        <v>239</v>
      </c>
      <c r="I13" s="21"/>
      <c r="J13" s="93" t="s">
        <v>240</v>
      </c>
      <c r="K13" s="93" t="s">
        <v>240</v>
      </c>
      <c r="L13" s="93" t="s">
        <v>240</v>
      </c>
      <c r="M13" s="94" t="s">
        <v>249</v>
      </c>
      <c r="N13" s="94" t="s">
        <v>240</v>
      </c>
      <c r="O13" s="94" t="s">
        <v>240</v>
      </c>
      <c r="P13" s="94" t="s">
        <v>245</v>
      </c>
      <c r="Q13" s="94" t="s">
        <v>243</v>
      </c>
      <c r="R1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5">
        <f>(1 - ((1 - VLOOKUP(Table4[[#This Row],[Confidentiality]],'Reference - CVSSv3.0'!$B$15:$C$17,2,FALSE())) * (1 - VLOOKUP(Table4[[#This Row],[Integrity]],'Reference - CVSSv3.0'!$B$15:$C$17,2,FALSE())) *  (1 - VLOOKUP(Table4[[#This Row],[Availability]],'Reference - CVSSv3.0'!$B$15:$C$17,2,FALSE()))))</f>
        <v>0.52544799999999992</v>
      </c>
      <c r="T13" s="95">
        <f>IF(Table4[[#This Row],[Scope]]="Unchanged",6.42*Table4[[#This Row],[ISC Base]],IF(Table4[[#This Row],[Scope]]="Changed",7.52*(Table4[[#This Row],[ISC Base]] - 0.029) - 3.25 * POWER(Table4[[#This Row],[ISC Base]] - 0.02,15),NA()))</f>
        <v>3.3733761599999994</v>
      </c>
      <c r="U13"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9" t="s">
        <v>240</v>
      </c>
      <c r="W13" s="95">
        <f>VLOOKUP(Table4[[#This Row],[Threat Event Initiation]],NIST_Scale_LOAI[],2,FALSE())</f>
        <v>0.2</v>
      </c>
      <c r="X1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1" t="s">
        <v>431</v>
      </c>
      <c r="AA13" s="21" t="s">
        <v>248</v>
      </c>
      <c r="AB13" s="98"/>
      <c r="AC13" s="39"/>
      <c r="AD13" s="39"/>
      <c r="AE13" s="39"/>
      <c r="AF13" s="94"/>
      <c r="AG13" s="94"/>
      <c r="AH13" s="94"/>
      <c r="AI13" s="94"/>
      <c r="AJ13" s="103"/>
      <c r="AK1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5" t="e">
        <f>(1 - ((1 - VLOOKUP(Table4[[#This Row],[ConfidentialityP]],'Reference - CVSSv3.0'!$B$15:$C$17,2,FALSE())) * (1 - VLOOKUP(Table4[[#This Row],[IntegrityP]],'Reference - CVSSv3.0'!$B$15:$C$17,2,FALSE())) *  (1 - VLOOKUP(Table4[[#This Row],[AvailabilityP]],'Reference - CVSSv3.0'!$B$15:$C$17,2,FALSE()))))</f>
        <v>#N/A</v>
      </c>
      <c r="AM13" s="95" t="e">
        <f>IF(Table4[[#This Row],[ScopeP]]="Unchanged",6.42*Table4[[#This Row],[ISC BaseP]],IF(Table4[[#This Row],[ScopeP]]="Changed",7.52*(Table4[[#This Row],[ISC BaseP]] - 0.029) - 3.25 * POWER(Table4[[#This Row],[ISC BaseP]] - 0.02,15),NA()))</f>
        <v>#N/A</v>
      </c>
      <c r="AN1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9"/>
    </row>
    <row r="14" spans="1:45" s="29" customFormat="1" ht="196" x14ac:dyDescent="0.35">
      <c r="A14" s="88">
        <v>10</v>
      </c>
      <c r="B14" s="89" t="s">
        <v>147</v>
      </c>
      <c r="C14" s="99" t="str">
        <f>IF(VLOOKUP(Table4[[#This Row],[T ID]],Table5[#All],5,FALSE())="No","Not in scope",VLOOKUP(Table4[[#This Row],[T ID]],Table5[#All],2,FALSE()))</f>
        <v>Deliver undirected malware
(CAPEC-185)</v>
      </c>
      <c r="D14" s="60" t="s">
        <v>86</v>
      </c>
      <c r="E14" s="99" t="str">
        <f>IF(VLOOKUP(Table4[[#This Row],[V ID]],Vulnerabilities[#All],3,FALSE())="No","Not in scope",VLOOKUP(Table4[[#This Row],[V ID]],Vulnerabilities[#All],2,FALSE()))</f>
        <v xml:space="preserve">Lack of plan for periodic Software Vulnerability Management </v>
      </c>
      <c r="F14" s="100" t="s">
        <v>26</v>
      </c>
      <c r="G14" s="99" t="str">
        <f>VLOOKUP(Table4[[#This Row],[A ID]],Assets[#All],3,FALSE())</f>
        <v>Device Maintainence tool (Hardware/Software)</v>
      </c>
      <c r="H14" s="21" t="s">
        <v>239</v>
      </c>
      <c r="I14" s="21"/>
      <c r="J14" s="93" t="s">
        <v>240</v>
      </c>
      <c r="K14" s="93" t="s">
        <v>240</v>
      </c>
      <c r="L14" s="93" t="s">
        <v>240</v>
      </c>
      <c r="M14" s="94" t="s">
        <v>249</v>
      </c>
      <c r="N14" s="94" t="s">
        <v>240</v>
      </c>
      <c r="O14" s="94" t="s">
        <v>240</v>
      </c>
      <c r="P14" s="94" t="s">
        <v>245</v>
      </c>
      <c r="Q14" s="94" t="s">
        <v>243</v>
      </c>
      <c r="R1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5">
        <f>(1 - ((1 - VLOOKUP(Table4[[#This Row],[Confidentiality]],'Reference - CVSSv3.0'!$B$15:$C$17,2,FALSE())) * (1 - VLOOKUP(Table4[[#This Row],[Integrity]],'Reference - CVSSv3.0'!$B$15:$C$17,2,FALSE())) *  (1 - VLOOKUP(Table4[[#This Row],[Availability]],'Reference - CVSSv3.0'!$B$15:$C$17,2,FALSE()))))</f>
        <v>0.52544799999999992</v>
      </c>
      <c r="T14" s="95">
        <f>IF(Table4[[#This Row],[Scope]]="Unchanged",6.42*Table4[[#This Row],[ISC Base]],IF(Table4[[#This Row],[Scope]]="Changed",7.52*(Table4[[#This Row],[ISC Base]] - 0.029) - 3.25 * POWER(Table4[[#This Row],[ISC Base]] - 0.02,15),NA()))</f>
        <v>3.3733761599999994</v>
      </c>
      <c r="U14"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9" t="s">
        <v>240</v>
      </c>
      <c r="W14" s="95">
        <f>VLOOKUP(Table4[[#This Row],[Threat Event Initiation]],NIST_Scale_LOAI[],2,FALSE())</f>
        <v>0.2</v>
      </c>
      <c r="X1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1" t="s">
        <v>431</v>
      </c>
      <c r="AA14" s="21" t="s">
        <v>248</v>
      </c>
      <c r="AB14" s="98"/>
      <c r="AC14" s="39"/>
      <c r="AD14" s="39"/>
      <c r="AE14" s="39"/>
      <c r="AF14" s="94"/>
      <c r="AG14" s="94"/>
      <c r="AH14" s="94"/>
      <c r="AI14" s="94"/>
      <c r="AJ14" s="103"/>
      <c r="AK1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5" t="e">
        <f>(1 - ((1 - VLOOKUP(Table4[[#This Row],[ConfidentialityP]],'Reference - CVSSv3.0'!$B$15:$C$17,2,FALSE())) * (1 - VLOOKUP(Table4[[#This Row],[IntegrityP]],'Reference - CVSSv3.0'!$B$15:$C$17,2,FALSE())) *  (1 - VLOOKUP(Table4[[#This Row],[AvailabilityP]],'Reference - CVSSv3.0'!$B$15:$C$17,2,FALSE()))))</f>
        <v>#N/A</v>
      </c>
      <c r="AM14" s="95" t="e">
        <f>IF(Table4[[#This Row],[ScopeP]]="Unchanged",6.42*Table4[[#This Row],[ISC BaseP]],IF(Table4[[#This Row],[ScopeP]]="Changed",7.52*(Table4[[#This Row],[ISC BaseP]] - 0.029) - 3.25 * POWER(Table4[[#This Row],[ISC BaseP]] - 0.02,15),NA()))</f>
        <v>#N/A</v>
      </c>
      <c r="AN1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9"/>
    </row>
    <row r="15" spans="1:45" s="29" customFormat="1" ht="196" x14ac:dyDescent="0.35">
      <c r="A15" s="88">
        <v>11</v>
      </c>
      <c r="B15" s="89" t="s">
        <v>147</v>
      </c>
      <c r="C15" s="99" t="str">
        <f>IF(VLOOKUP(Table4[[#This Row],[T ID]],Table5[#All],5,FALSE())="No","Not in scope",VLOOKUP(Table4[[#This Row],[T ID]],Table5[#All],2,FALSE()))</f>
        <v>Deliver undirected malware
(CAPEC-185)</v>
      </c>
      <c r="D15" s="60" t="s">
        <v>86</v>
      </c>
      <c r="E15" s="99" t="str">
        <f>IF(VLOOKUP(Table4[[#This Row],[V ID]],Vulnerabilities[#All],3,FALSE())="No","Not in scope",VLOOKUP(Table4[[#This Row],[V ID]],Vulnerabilities[#All],2,FALSE()))</f>
        <v xml:space="preserve">Lack of plan for periodic Software Vulnerability Management </v>
      </c>
      <c r="F15" s="91" t="s">
        <v>11</v>
      </c>
      <c r="G15" s="99" t="str">
        <f>VLOOKUP(Table4[[#This Row],[A ID]],Assets[#All],3,FALSE())</f>
        <v>Tablet Resources - web cam, microphone, OTG devices, Removable USB, Tablet Application, Network interfaces (Bluetooth, Wifi)</v>
      </c>
      <c r="H15" s="21" t="s">
        <v>239</v>
      </c>
      <c r="I15" s="21"/>
      <c r="J15" s="93" t="s">
        <v>240</v>
      </c>
      <c r="K15" s="93" t="s">
        <v>240</v>
      </c>
      <c r="L15" s="93" t="s">
        <v>240</v>
      </c>
      <c r="M15" s="94" t="s">
        <v>249</v>
      </c>
      <c r="N15" s="94" t="s">
        <v>240</v>
      </c>
      <c r="O15" s="94" t="s">
        <v>240</v>
      </c>
      <c r="P15" s="94" t="s">
        <v>245</v>
      </c>
      <c r="Q15" s="94" t="s">
        <v>243</v>
      </c>
      <c r="R1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5">
        <f>(1 - ((1 - VLOOKUP(Table4[[#This Row],[Confidentiality]],'Reference - CVSSv3.0'!$B$15:$C$17,2,FALSE())) * (1 - VLOOKUP(Table4[[#This Row],[Integrity]],'Reference - CVSSv3.0'!$B$15:$C$17,2,FALSE())) *  (1 - VLOOKUP(Table4[[#This Row],[Availability]],'Reference - CVSSv3.0'!$B$15:$C$17,2,FALSE()))))</f>
        <v>0.52544799999999992</v>
      </c>
      <c r="T15" s="95">
        <f>IF(Table4[[#This Row],[Scope]]="Unchanged",6.42*Table4[[#This Row],[ISC Base]],IF(Table4[[#This Row],[Scope]]="Changed",7.52*(Table4[[#This Row],[ISC Base]] - 0.029) - 3.25 * POWER(Table4[[#This Row],[ISC Base]] - 0.02,15),NA()))</f>
        <v>3.3733761599999994</v>
      </c>
      <c r="U15"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9" t="s">
        <v>240</v>
      </c>
      <c r="W15" s="95">
        <f>VLOOKUP(Table4[[#This Row],[Threat Event Initiation]],NIST_Scale_LOAI[],2,FALSE())</f>
        <v>0.2</v>
      </c>
      <c r="X1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21" t="s">
        <v>431</v>
      </c>
      <c r="AA15" s="21" t="s">
        <v>248</v>
      </c>
      <c r="AB15" s="98"/>
      <c r="AC15" s="39"/>
      <c r="AD15" s="39"/>
      <c r="AE15" s="39"/>
      <c r="AF15" s="94"/>
      <c r="AG15" s="94"/>
      <c r="AH15" s="94"/>
      <c r="AI15" s="94"/>
      <c r="AJ15" s="103"/>
      <c r="AK1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5" t="e">
        <f>(1 - ((1 - VLOOKUP(Table4[[#This Row],[ConfidentialityP]],'Reference - CVSSv3.0'!$B$15:$C$17,2,FALSE())) * (1 - VLOOKUP(Table4[[#This Row],[IntegrityP]],'Reference - CVSSv3.0'!$B$15:$C$17,2,FALSE())) *  (1 - VLOOKUP(Table4[[#This Row],[AvailabilityP]],'Reference - CVSSv3.0'!$B$15:$C$17,2,FALSE()))))</f>
        <v>#N/A</v>
      </c>
      <c r="AM15" s="95" t="e">
        <f>IF(Table4[[#This Row],[ScopeP]]="Unchanged",6.42*Table4[[#This Row],[ISC BaseP]],IF(Table4[[#This Row],[ScopeP]]="Changed",7.52*(Table4[[#This Row],[ISC BaseP]] - 0.029) - 3.25 * POWER(Table4[[#This Row],[ISC BaseP]] - 0.02,15),NA()))</f>
        <v>#N/A</v>
      </c>
      <c r="AN1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9"/>
    </row>
    <row r="16" spans="1:45" s="29" customFormat="1" ht="196" x14ac:dyDescent="0.35">
      <c r="A16" s="88">
        <v>12</v>
      </c>
      <c r="B16" s="89" t="s">
        <v>147</v>
      </c>
      <c r="C16" s="99" t="str">
        <f>IF(VLOOKUP(Table4[[#This Row],[T ID]],Table5[#All],5,FALSE())="No","Not in scope",VLOOKUP(Table4[[#This Row],[T ID]],Table5[#All],2,FALSE()))</f>
        <v>Deliver undirected malware
(CAPEC-185)</v>
      </c>
      <c r="D16" s="60" t="s">
        <v>86</v>
      </c>
      <c r="E16" s="99" t="str">
        <f>IF(VLOOKUP(Table4[[#This Row],[V ID]],Vulnerabilities[#All],3,FALSE())="No","Not in scope",VLOOKUP(Table4[[#This Row],[V ID]],Vulnerabilities[#All],2,FALSE()))</f>
        <v xml:space="preserve">Lack of plan for periodic Software Vulnerability Management </v>
      </c>
      <c r="F16" s="100" t="s">
        <v>19</v>
      </c>
      <c r="G16" s="99" t="str">
        <f>VLOOKUP(Table4[[#This Row],[A ID]],Assets[#All],3,FALSE())</f>
        <v>Smart medic (Stryker device) System Component</v>
      </c>
      <c r="H16" s="21" t="s">
        <v>239</v>
      </c>
      <c r="I16" s="21"/>
      <c r="J16" s="93" t="s">
        <v>240</v>
      </c>
      <c r="K16" s="93" t="s">
        <v>240</v>
      </c>
      <c r="L16" s="93" t="s">
        <v>240</v>
      </c>
      <c r="M16" s="94" t="s">
        <v>249</v>
      </c>
      <c r="N16" s="94" t="s">
        <v>240</v>
      </c>
      <c r="O16" s="94" t="s">
        <v>240</v>
      </c>
      <c r="P16" s="94" t="s">
        <v>245</v>
      </c>
      <c r="Q16" s="94" t="s">
        <v>243</v>
      </c>
      <c r="R1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5">
        <f>(1 - ((1 - VLOOKUP(Table4[[#This Row],[Confidentiality]],'Reference - CVSSv3.0'!$B$15:$C$17,2,FALSE())) * (1 - VLOOKUP(Table4[[#This Row],[Integrity]],'Reference - CVSSv3.0'!$B$15:$C$17,2,FALSE())) *  (1 - VLOOKUP(Table4[[#This Row],[Availability]],'Reference - CVSSv3.0'!$B$15:$C$17,2,FALSE()))))</f>
        <v>0.52544799999999992</v>
      </c>
      <c r="T16" s="95">
        <f>IF(Table4[[#This Row],[Scope]]="Unchanged",6.42*Table4[[#This Row],[ISC Base]],IF(Table4[[#This Row],[Scope]]="Changed",7.52*(Table4[[#This Row],[ISC Base]] - 0.029) - 3.25 * POWER(Table4[[#This Row],[ISC Base]] - 0.02,15),NA()))</f>
        <v>3.3733761599999994</v>
      </c>
      <c r="U16"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9" t="s">
        <v>240</v>
      </c>
      <c r="W16" s="95">
        <f>VLOOKUP(Table4[[#This Row],[Threat Event Initiation]],NIST_Scale_LOAI[],2,FALSE())</f>
        <v>0.2</v>
      </c>
      <c r="X1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 t="s">
        <v>431</v>
      </c>
      <c r="AA16" s="21" t="s">
        <v>386</v>
      </c>
      <c r="AB16" s="98"/>
      <c r="AC16" s="39"/>
      <c r="AD16" s="39"/>
      <c r="AE16" s="39"/>
      <c r="AF16" s="94"/>
      <c r="AG16" s="94"/>
      <c r="AH16" s="94"/>
      <c r="AI16" s="94"/>
      <c r="AJ16" s="103"/>
      <c r="AK1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5" t="e">
        <f>(1 - ((1 - VLOOKUP(Table4[[#This Row],[ConfidentialityP]],'Reference - CVSSv3.0'!$B$15:$C$17,2,FALSE())) * (1 - VLOOKUP(Table4[[#This Row],[IntegrityP]],'Reference - CVSSv3.0'!$B$15:$C$17,2,FALSE())) *  (1 - VLOOKUP(Table4[[#This Row],[AvailabilityP]],'Reference - CVSSv3.0'!$B$15:$C$17,2,FALSE()))))</f>
        <v>#N/A</v>
      </c>
      <c r="AM16" s="95" t="e">
        <f>IF(Table4[[#This Row],[ScopeP]]="Unchanged",6.42*Table4[[#This Row],[ISC BaseP]],IF(Table4[[#This Row],[ScopeP]]="Changed",7.52*(Table4[[#This Row],[ISC BaseP]] - 0.029) - 3.25 * POWER(Table4[[#This Row],[ISC BaseP]] - 0.02,15),NA()))</f>
        <v>#N/A</v>
      </c>
      <c r="AN1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9"/>
    </row>
    <row r="17" spans="1:43" s="29" customFormat="1" ht="196" x14ac:dyDescent="0.35">
      <c r="A17" s="88">
        <v>13</v>
      </c>
      <c r="B17" s="89" t="s">
        <v>147</v>
      </c>
      <c r="C17" s="99" t="str">
        <f>IF(VLOOKUP(Table4[[#This Row],[T ID]],Table5[#All],5,FALSE())="No","Not in scope",VLOOKUP(Table4[[#This Row],[T ID]],Table5[#All],2,FALSE()))</f>
        <v>Deliver undirected malware
(CAPEC-185)</v>
      </c>
      <c r="D17" s="60" t="s">
        <v>93</v>
      </c>
      <c r="E17" s="99" t="str">
        <f>IF(VLOOKUP(Table4[[#This Row],[V ID]],Vulnerabilities[#All],3,FALSE())="No","Not in scope",VLOOKUP(Table4[[#This Row],[V ID]],Vulnerabilities[#All],2,FALSE()))</f>
        <v>Unprotected network port(s) on network devices and connection points</v>
      </c>
      <c r="F17" s="100" t="s">
        <v>11</v>
      </c>
      <c r="G17" s="99" t="str">
        <f>VLOOKUP(Table4[[#This Row],[A ID]],Assets[#All],3,FALSE())</f>
        <v>Tablet Resources - web cam, microphone, OTG devices, Removable USB, Tablet Application, Network interfaces (Bluetooth, Wifi)</v>
      </c>
      <c r="H17" s="21" t="s">
        <v>239</v>
      </c>
      <c r="I17" s="21"/>
      <c r="J17" s="93" t="s">
        <v>245</v>
      </c>
      <c r="K17" s="93" t="s">
        <v>245</v>
      </c>
      <c r="L17" s="93" t="s">
        <v>250</v>
      </c>
      <c r="M17" s="94" t="s">
        <v>246</v>
      </c>
      <c r="N17" s="94" t="s">
        <v>240</v>
      </c>
      <c r="O17" s="94" t="s">
        <v>250</v>
      </c>
      <c r="P17" s="94" t="s">
        <v>245</v>
      </c>
      <c r="Q17" s="94" t="s">
        <v>243</v>
      </c>
      <c r="R1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5">
        <f>(1 - ((1 - VLOOKUP(Table4[[#This Row],[Confidentiality]],'Reference - CVSSv3.0'!$B$15:$C$17,2,FALSE())) * (1 - VLOOKUP(Table4[[#This Row],[Integrity]],'Reference - CVSSv3.0'!$B$15:$C$17,2,FALSE())) *  (1 - VLOOKUP(Table4[[#This Row],[Availability]],'Reference - CVSSv3.0'!$B$15:$C$17,2,FALSE()))))</f>
        <v>0.56000000000000005</v>
      </c>
      <c r="T17" s="95">
        <f>IF(Table4[[#This Row],[Scope]]="Unchanged",6.42*Table4[[#This Row],[ISC Base]],IF(Table4[[#This Row],[Scope]]="Changed",7.52*(Table4[[#This Row],[ISC Base]] - 0.029) - 3.25 * POWER(Table4[[#This Row],[ISC Base]] - 0.02,15),NA()))</f>
        <v>3.5952000000000002</v>
      </c>
      <c r="U17"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9" t="s">
        <v>240</v>
      </c>
      <c r="W17" s="95">
        <f>VLOOKUP(Table4[[#This Row],[Threat Event Initiation]],NIST_Scale_LOAI[],2,FALSE())</f>
        <v>0.2</v>
      </c>
      <c r="X1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1" t="s">
        <v>431</v>
      </c>
      <c r="AA17" s="21" t="s">
        <v>386</v>
      </c>
      <c r="AB17" s="98"/>
      <c r="AC17" s="39"/>
      <c r="AD17" s="39"/>
      <c r="AE17" s="39"/>
      <c r="AF17" s="94"/>
      <c r="AG17" s="94"/>
      <c r="AH17" s="94"/>
      <c r="AI17" s="94"/>
      <c r="AJ17" s="103"/>
      <c r="AK1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5" t="e">
        <f>(1 - ((1 - VLOOKUP(Table4[[#This Row],[ConfidentialityP]],'Reference - CVSSv3.0'!$B$15:$C$17,2,FALSE())) * (1 - VLOOKUP(Table4[[#This Row],[IntegrityP]],'Reference - CVSSv3.0'!$B$15:$C$17,2,FALSE())) *  (1 - VLOOKUP(Table4[[#This Row],[AvailabilityP]],'Reference - CVSSv3.0'!$B$15:$C$17,2,FALSE()))))</f>
        <v>#N/A</v>
      </c>
      <c r="AM17" s="95" t="e">
        <f>IF(Table4[[#This Row],[ScopeP]]="Unchanged",6.42*Table4[[#This Row],[ISC BaseP]],IF(Table4[[#This Row],[ScopeP]]="Changed",7.52*(Table4[[#This Row],[ISC BaseP]] - 0.029) - 3.25 * POWER(Table4[[#This Row],[ISC BaseP]] - 0.02,15),NA()))</f>
        <v>#N/A</v>
      </c>
      <c r="AN1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9"/>
    </row>
    <row r="18" spans="1:43" s="29" customFormat="1" ht="196" x14ac:dyDescent="0.35">
      <c r="A18" s="88">
        <v>14</v>
      </c>
      <c r="B18" s="89" t="s">
        <v>147</v>
      </c>
      <c r="C18" s="99" t="str">
        <f>IF(VLOOKUP(Table4[[#This Row],[T ID]],Table5[#All],5,FALSE())="No","Not in scope",VLOOKUP(Table4[[#This Row],[T ID]],Table5[#All],2,FALSE()))</f>
        <v>Deliver undirected malware
(CAPEC-185)</v>
      </c>
      <c r="D18" s="60" t="s">
        <v>93</v>
      </c>
      <c r="E18" s="99" t="str">
        <f>IF(VLOOKUP(Table4[[#This Row],[V ID]],Vulnerabilities[#All],3,FALSE())="No","Not in scope",VLOOKUP(Table4[[#This Row],[V ID]],Vulnerabilities[#All],2,FALSE()))</f>
        <v>Unprotected network port(s) on network devices and connection points</v>
      </c>
      <c r="F18" s="100" t="s">
        <v>19</v>
      </c>
      <c r="G18" s="99" t="str">
        <f>VLOOKUP(Table4[[#This Row],[A ID]],Assets[#All],3,FALSE())</f>
        <v>Smart medic (Stryker device) System Component</v>
      </c>
      <c r="H18" s="21" t="s">
        <v>239</v>
      </c>
      <c r="I18" s="21"/>
      <c r="J18" s="93" t="s">
        <v>245</v>
      </c>
      <c r="K18" s="93" t="s">
        <v>245</v>
      </c>
      <c r="L18" s="93" t="s">
        <v>250</v>
      </c>
      <c r="M18" s="94" t="s">
        <v>246</v>
      </c>
      <c r="N18" s="94" t="s">
        <v>240</v>
      </c>
      <c r="O18" s="94" t="s">
        <v>250</v>
      </c>
      <c r="P18" s="94" t="s">
        <v>245</v>
      </c>
      <c r="Q18" s="94" t="s">
        <v>243</v>
      </c>
      <c r="R1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5">
        <f>(1 - ((1 - VLOOKUP(Table4[[#This Row],[Confidentiality]],'Reference - CVSSv3.0'!$B$15:$C$17,2,FALSE())) * (1 - VLOOKUP(Table4[[#This Row],[Integrity]],'Reference - CVSSv3.0'!$B$15:$C$17,2,FALSE())) *  (1 - VLOOKUP(Table4[[#This Row],[Availability]],'Reference - CVSSv3.0'!$B$15:$C$17,2,FALSE()))))</f>
        <v>0.56000000000000005</v>
      </c>
      <c r="T18" s="95">
        <f>IF(Table4[[#This Row],[Scope]]="Unchanged",6.42*Table4[[#This Row],[ISC Base]],IF(Table4[[#This Row],[Scope]]="Changed",7.52*(Table4[[#This Row],[ISC Base]] - 0.029) - 3.25 * POWER(Table4[[#This Row],[ISC Base]] - 0.02,15),NA()))</f>
        <v>3.5952000000000002</v>
      </c>
      <c r="U18"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9" t="s">
        <v>240</v>
      </c>
      <c r="W18" s="95">
        <f>VLOOKUP(Table4[[#This Row],[Threat Event Initiation]],NIST_Scale_LOAI[],2,FALSE())</f>
        <v>0.2</v>
      </c>
      <c r="X1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 t="s">
        <v>431</v>
      </c>
      <c r="AA18" s="21" t="s">
        <v>248</v>
      </c>
      <c r="AB18" s="98"/>
      <c r="AC18" s="39"/>
      <c r="AD18" s="39"/>
      <c r="AE18" s="39"/>
      <c r="AF18" s="94"/>
      <c r="AG18" s="94"/>
      <c r="AH18" s="94"/>
      <c r="AI18" s="94"/>
      <c r="AJ18" s="103"/>
      <c r="AK1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5" t="e">
        <f>(1 - ((1 - VLOOKUP(Table4[[#This Row],[ConfidentialityP]],'Reference - CVSSv3.0'!$B$15:$C$17,2,FALSE())) * (1 - VLOOKUP(Table4[[#This Row],[IntegrityP]],'Reference - CVSSv3.0'!$B$15:$C$17,2,FALSE())) *  (1 - VLOOKUP(Table4[[#This Row],[AvailabilityP]],'Reference - CVSSv3.0'!$B$15:$C$17,2,FALSE()))))</f>
        <v>#N/A</v>
      </c>
      <c r="AM18" s="95" t="e">
        <f>IF(Table4[[#This Row],[ScopeP]]="Unchanged",6.42*Table4[[#This Row],[ISC BaseP]],IF(Table4[[#This Row],[ScopeP]]="Changed",7.52*(Table4[[#This Row],[ISC BaseP]] - 0.029) - 3.25 * POWER(Table4[[#This Row],[ISC BaseP]] - 0.02,15),NA()))</f>
        <v>#N/A</v>
      </c>
      <c r="AN1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9"/>
    </row>
    <row r="19" spans="1:43" s="29" customFormat="1" ht="196" x14ac:dyDescent="0.35">
      <c r="A19" s="88">
        <v>15</v>
      </c>
      <c r="B19" s="89" t="s">
        <v>147</v>
      </c>
      <c r="C19" s="99" t="str">
        <f>IF(VLOOKUP(Table4[[#This Row],[T ID]],Table5[#All],5,FALSE())="No","Not in scope",VLOOKUP(Table4[[#This Row],[T ID]],Table5[#All],2,FALSE()))</f>
        <v>Deliver undirected malware
(CAPEC-185)</v>
      </c>
      <c r="D19" s="60" t="s">
        <v>102</v>
      </c>
      <c r="E19" s="99" t="str">
        <f>IF(VLOOKUP(Table4[[#This Row],[V ID]],Vulnerabilities[#All],3,FALSE())="No","Not in scope",VLOOKUP(Table4[[#This Row],[V ID]],Vulnerabilities[#All],2,FALSE()))</f>
        <v>Unencrypted data at rest in all possible locations</v>
      </c>
      <c r="F19" s="100" t="s">
        <v>11</v>
      </c>
      <c r="G19" s="99" t="str">
        <f>VLOOKUP(Table4[[#This Row],[A ID]],Assets[#All],3,FALSE())</f>
        <v>Tablet Resources - web cam, microphone, OTG devices, Removable USB, Tablet Application, Network interfaces (Bluetooth, Wifi)</v>
      </c>
      <c r="H19" s="21" t="s">
        <v>239</v>
      </c>
      <c r="I19" s="21"/>
      <c r="J19" s="93" t="s">
        <v>240</v>
      </c>
      <c r="K19" s="93" t="s">
        <v>240</v>
      </c>
      <c r="L19" s="93" t="s">
        <v>240</v>
      </c>
      <c r="M19" s="94" t="s">
        <v>249</v>
      </c>
      <c r="N19" s="94" t="s">
        <v>240</v>
      </c>
      <c r="O19" s="94" t="s">
        <v>240</v>
      </c>
      <c r="P19" s="94" t="s">
        <v>245</v>
      </c>
      <c r="Q19" s="94" t="s">
        <v>243</v>
      </c>
      <c r="R1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5">
        <f>(1 - ((1 - VLOOKUP(Table4[[#This Row],[Confidentiality]],'Reference - CVSSv3.0'!$B$15:$C$17,2,FALSE())) * (1 - VLOOKUP(Table4[[#This Row],[Integrity]],'Reference - CVSSv3.0'!$B$15:$C$17,2,FALSE())) *  (1 - VLOOKUP(Table4[[#This Row],[Availability]],'Reference - CVSSv3.0'!$B$15:$C$17,2,FALSE()))))</f>
        <v>0.52544799999999992</v>
      </c>
      <c r="T19" s="95">
        <f>IF(Table4[[#This Row],[Scope]]="Unchanged",6.42*Table4[[#This Row],[ISC Base]],IF(Table4[[#This Row],[Scope]]="Changed",7.52*(Table4[[#This Row],[ISC Base]] - 0.029) - 3.25 * POWER(Table4[[#This Row],[ISC Base]] - 0.02,15),NA()))</f>
        <v>3.3733761599999994</v>
      </c>
      <c r="U1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9" t="s">
        <v>240</v>
      </c>
      <c r="W19" s="95">
        <f>VLOOKUP(Table4[[#This Row],[Threat Event Initiation]],NIST_Scale_LOAI[],2,FALSE())</f>
        <v>0.2</v>
      </c>
      <c r="X1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1" t="s">
        <v>431</v>
      </c>
      <c r="AA19" s="21" t="s">
        <v>248</v>
      </c>
      <c r="AB19" s="98"/>
      <c r="AC19" s="39"/>
      <c r="AD19" s="39"/>
      <c r="AE19" s="39"/>
      <c r="AF19" s="94"/>
      <c r="AG19" s="94"/>
      <c r="AH19" s="94"/>
      <c r="AI19" s="94"/>
      <c r="AJ19" s="103"/>
      <c r="AK1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5" t="e">
        <f>(1 - ((1 - VLOOKUP(Table4[[#This Row],[ConfidentialityP]],'Reference - CVSSv3.0'!$B$15:$C$17,2,FALSE())) * (1 - VLOOKUP(Table4[[#This Row],[IntegrityP]],'Reference - CVSSv3.0'!$B$15:$C$17,2,FALSE())) *  (1 - VLOOKUP(Table4[[#This Row],[AvailabilityP]],'Reference - CVSSv3.0'!$B$15:$C$17,2,FALSE()))))</f>
        <v>#N/A</v>
      </c>
      <c r="AM19" s="95" t="e">
        <f>IF(Table4[[#This Row],[ScopeP]]="Unchanged",6.42*Table4[[#This Row],[ISC BaseP]],IF(Table4[[#This Row],[ScopeP]]="Changed",7.52*(Table4[[#This Row],[ISC BaseP]] - 0.029) - 3.25 * POWER(Table4[[#This Row],[ISC BaseP]] - 0.02,15),NA()))</f>
        <v>#N/A</v>
      </c>
      <c r="AN1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9"/>
    </row>
    <row r="20" spans="1:43" s="29" customFormat="1" ht="196" x14ac:dyDescent="0.35">
      <c r="A20" s="105">
        <v>16</v>
      </c>
      <c r="B20" s="89" t="s">
        <v>147</v>
      </c>
      <c r="C20" s="99" t="str">
        <f>IF(VLOOKUP(Table4[[#This Row],[T ID]],Table5[#All],5,FALSE())="No","Not in scope",VLOOKUP(Table4[[#This Row],[T ID]],Table5[#All],2,FALSE()))</f>
        <v>Deliver undirected malware
(CAPEC-185)</v>
      </c>
      <c r="D20" s="60" t="s">
        <v>104</v>
      </c>
      <c r="E20" s="99" t="str">
        <f>IF(VLOOKUP(Table4[[#This Row],[V ID]],Vulnerabilities[#All],3,FALSE())="No","Not in scope",VLOOKUP(Table4[[#This Row],[V ID]],Vulnerabilities[#All],2,FALSE()))</f>
        <v>Unencrypted data in transit in all flowchannels</v>
      </c>
      <c r="F20" s="100" t="s">
        <v>19</v>
      </c>
      <c r="G20" s="99" t="str">
        <f>VLOOKUP(Table4[[#This Row],[A ID]],Assets[#All],3,FALSE())</f>
        <v>Smart medic (Stryker device) System Component</v>
      </c>
      <c r="H20" s="21" t="s">
        <v>239</v>
      </c>
      <c r="I20" s="21"/>
      <c r="J20" s="93" t="s">
        <v>245</v>
      </c>
      <c r="K20" s="93" t="s">
        <v>245</v>
      </c>
      <c r="L20" s="93" t="s">
        <v>250</v>
      </c>
      <c r="M20" s="94" t="s">
        <v>246</v>
      </c>
      <c r="N20" s="94" t="s">
        <v>240</v>
      </c>
      <c r="O20" s="94" t="s">
        <v>250</v>
      </c>
      <c r="P20" s="94" t="s">
        <v>245</v>
      </c>
      <c r="Q20" s="94" t="s">
        <v>243</v>
      </c>
      <c r="R2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5">
        <f>(1 - ((1 - VLOOKUP(Table4[[#This Row],[Confidentiality]],'Reference - CVSSv3.0'!$B$15:$C$17,2,FALSE())) * (1 - VLOOKUP(Table4[[#This Row],[Integrity]],'Reference - CVSSv3.0'!$B$15:$C$17,2,FALSE())) *  (1 - VLOOKUP(Table4[[#This Row],[Availability]],'Reference - CVSSv3.0'!$B$15:$C$17,2,FALSE()))))</f>
        <v>0.56000000000000005</v>
      </c>
      <c r="T20" s="95">
        <f>IF(Table4[[#This Row],[Scope]]="Unchanged",6.42*Table4[[#This Row],[ISC Base]],IF(Table4[[#This Row],[Scope]]="Changed",7.52*(Table4[[#This Row],[ISC Base]] - 0.029) - 3.25 * POWER(Table4[[#This Row],[ISC Base]] - 0.02,15),NA()))</f>
        <v>3.5952000000000002</v>
      </c>
      <c r="U20"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9" t="s">
        <v>240</v>
      </c>
      <c r="W20" s="95">
        <f>VLOOKUP(Table4[[#This Row],[Threat Event Initiation]],NIST_Scale_LOAI[],2,FALSE())</f>
        <v>0.2</v>
      </c>
      <c r="X2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 t="s">
        <v>431</v>
      </c>
      <c r="AA20" s="21" t="s">
        <v>248</v>
      </c>
      <c r="AB20" s="98"/>
      <c r="AC20" s="39"/>
      <c r="AD20" s="39"/>
      <c r="AE20" s="39"/>
      <c r="AF20" s="94"/>
      <c r="AG20" s="94"/>
      <c r="AH20" s="94"/>
      <c r="AI20" s="94"/>
      <c r="AJ20" s="103"/>
      <c r="AK2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5" t="e">
        <f>(1 - ((1 - VLOOKUP(Table4[[#This Row],[ConfidentialityP]],'Reference - CVSSv3.0'!$B$15:$C$17,2,FALSE())) * (1 - VLOOKUP(Table4[[#This Row],[IntegrityP]],'Reference - CVSSv3.0'!$B$15:$C$17,2,FALSE())) *  (1 - VLOOKUP(Table4[[#This Row],[AvailabilityP]],'Reference - CVSSv3.0'!$B$15:$C$17,2,FALSE()))))</f>
        <v>#N/A</v>
      </c>
      <c r="AM20" s="95" t="e">
        <f>IF(Table4[[#This Row],[ScopeP]]="Unchanged",6.42*Table4[[#This Row],[ISC BaseP]],IF(Table4[[#This Row],[ScopeP]]="Changed",7.52*(Table4[[#This Row],[ISC BaseP]] - 0.029) - 3.25 * POWER(Table4[[#This Row],[ISC BaseP]] - 0.02,15),NA()))</f>
        <v>#N/A</v>
      </c>
      <c r="AN2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9"/>
    </row>
    <row r="21" spans="1:43" s="29" customFormat="1" ht="196" x14ac:dyDescent="0.35">
      <c r="A21" s="105">
        <v>17</v>
      </c>
      <c r="B21" s="89" t="s">
        <v>147</v>
      </c>
      <c r="C21" s="99" t="str">
        <f>IF(VLOOKUP(Table4[[#This Row],[T ID]],Table5[#All],5,FALSE())="No","Not in scope",VLOOKUP(Table4[[#This Row],[T ID]],Table5[#All],2,FALSE()))</f>
        <v>Deliver undirected malware
(CAPEC-185)</v>
      </c>
      <c r="D21" s="60" t="s">
        <v>104</v>
      </c>
      <c r="E21" s="99" t="str">
        <f>IF(VLOOKUP(Table4[[#This Row],[V ID]],Vulnerabilities[#All],3,FALSE())="No","Not in scope",VLOOKUP(Table4[[#This Row],[V ID]],Vulnerabilities[#All],2,FALSE()))</f>
        <v>Unencrypted data in transit in all flowchannels</v>
      </c>
      <c r="F21" s="100" t="s">
        <v>11</v>
      </c>
      <c r="G21" s="99" t="str">
        <f>VLOOKUP(Table4[[#This Row],[A ID]],Assets[#All],3,FALSE())</f>
        <v>Tablet Resources - web cam, microphone, OTG devices, Removable USB, Tablet Application, Network interfaces (Bluetooth, Wifi)</v>
      </c>
      <c r="H21" s="21" t="s">
        <v>239</v>
      </c>
      <c r="I21" s="21"/>
      <c r="J21" s="93" t="s">
        <v>245</v>
      </c>
      <c r="K21" s="93" t="s">
        <v>245</v>
      </c>
      <c r="L21" s="93" t="s">
        <v>250</v>
      </c>
      <c r="M21" s="94" t="s">
        <v>246</v>
      </c>
      <c r="N21" s="94" t="s">
        <v>240</v>
      </c>
      <c r="O21" s="94" t="s">
        <v>250</v>
      </c>
      <c r="P21" s="94" t="s">
        <v>245</v>
      </c>
      <c r="Q21" s="94" t="s">
        <v>243</v>
      </c>
      <c r="R2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5">
        <f>(1 - ((1 - VLOOKUP(Table4[[#This Row],[Confidentiality]],'Reference - CVSSv3.0'!$B$15:$C$17,2,FALSE())) * (1 - VLOOKUP(Table4[[#This Row],[Integrity]],'Reference - CVSSv3.0'!$B$15:$C$17,2,FALSE())) *  (1 - VLOOKUP(Table4[[#This Row],[Availability]],'Reference - CVSSv3.0'!$B$15:$C$17,2,FALSE()))))</f>
        <v>0.56000000000000005</v>
      </c>
      <c r="T21" s="95">
        <f>IF(Table4[[#This Row],[Scope]]="Unchanged",6.42*Table4[[#This Row],[ISC Base]],IF(Table4[[#This Row],[Scope]]="Changed",7.52*(Table4[[#This Row],[ISC Base]] - 0.029) - 3.25 * POWER(Table4[[#This Row],[ISC Base]] - 0.02,15),NA()))</f>
        <v>3.5952000000000002</v>
      </c>
      <c r="U21"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9" t="s">
        <v>240</v>
      </c>
      <c r="W21" s="95">
        <f>VLOOKUP(Table4[[#This Row],[Threat Event Initiation]],NIST_Scale_LOAI[],2,FALSE())</f>
        <v>0.2</v>
      </c>
      <c r="X2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1" t="s">
        <v>431</v>
      </c>
      <c r="AA21" s="21" t="s">
        <v>248</v>
      </c>
      <c r="AB21" s="98"/>
      <c r="AC21" s="39"/>
      <c r="AD21" s="39"/>
      <c r="AE21" s="39"/>
      <c r="AF21" s="94"/>
      <c r="AG21" s="94"/>
      <c r="AH21" s="94"/>
      <c r="AI21" s="94"/>
      <c r="AJ21" s="103"/>
      <c r="AK2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5" t="e">
        <f>(1 - ((1 - VLOOKUP(Table4[[#This Row],[ConfidentialityP]],'Reference - CVSSv3.0'!$B$15:$C$17,2,FALSE())) * (1 - VLOOKUP(Table4[[#This Row],[IntegrityP]],'Reference - CVSSv3.0'!$B$15:$C$17,2,FALSE())) *  (1 - VLOOKUP(Table4[[#This Row],[AvailabilityP]],'Reference - CVSSv3.0'!$B$15:$C$17,2,FALSE()))))</f>
        <v>#N/A</v>
      </c>
      <c r="AM21" s="95" t="e">
        <f>IF(Table4[[#This Row],[ScopeP]]="Unchanged",6.42*Table4[[#This Row],[ISC BaseP]],IF(Table4[[#This Row],[ScopeP]]="Changed",7.52*(Table4[[#This Row],[ISC BaseP]] - 0.029) - 3.25 * POWER(Table4[[#This Row],[ISC BaseP]] - 0.02,15),NA()))</f>
        <v>#N/A</v>
      </c>
      <c r="AN2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9"/>
    </row>
    <row r="22" spans="1:43" s="29" customFormat="1" ht="196" x14ac:dyDescent="0.35">
      <c r="A22" s="88">
        <v>18</v>
      </c>
      <c r="B22" s="89" t="s">
        <v>147</v>
      </c>
      <c r="C22" s="99" t="str">
        <f>IF(VLOOKUP(Table4[[#This Row],[T ID]],Table5[#All],5,FALSE())="No","Not in scope",VLOOKUP(Table4[[#This Row],[T ID]],Table5[#All],2,FALSE()))</f>
        <v>Deliver undirected malware
(CAPEC-185)</v>
      </c>
      <c r="D22" s="60" t="s">
        <v>117</v>
      </c>
      <c r="E22" s="99" t="str">
        <f>IF(VLOOKUP(Table4[[#This Row],[V ID]],Vulnerabilities[#All],3,FALSE())="No","Not in scope",VLOOKUP(Table4[[#This Row],[V ID]],Vulnerabilities[#All],2,FALSE()))</f>
        <v>Outdated  - Software/Hardware</v>
      </c>
      <c r="F22" s="100" t="s">
        <v>26</v>
      </c>
      <c r="G22" s="99" t="str">
        <f>VLOOKUP(Table4[[#This Row],[A ID]],Assets[#All],3,FALSE())</f>
        <v>Device Maintainence tool (Hardware/Software)</v>
      </c>
      <c r="H22" s="21" t="s">
        <v>239</v>
      </c>
      <c r="I22" s="21"/>
      <c r="J22" s="93" t="s">
        <v>240</v>
      </c>
      <c r="K22" s="93" t="s">
        <v>240</v>
      </c>
      <c r="L22" s="93" t="s">
        <v>240</v>
      </c>
      <c r="M22" s="94" t="s">
        <v>241</v>
      </c>
      <c r="N22" s="94" t="s">
        <v>240</v>
      </c>
      <c r="O22" s="94" t="s">
        <v>240</v>
      </c>
      <c r="P22" s="94" t="s">
        <v>245</v>
      </c>
      <c r="Q22" s="94" t="s">
        <v>243</v>
      </c>
      <c r="R2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5">
        <f>(1 - ((1 - VLOOKUP(Table4[[#This Row],[Confidentiality]],'Reference - CVSSv3.0'!$B$15:$C$17,2,FALSE())) * (1 - VLOOKUP(Table4[[#This Row],[Integrity]],'Reference - CVSSv3.0'!$B$15:$C$17,2,FALSE())) *  (1 - VLOOKUP(Table4[[#This Row],[Availability]],'Reference - CVSSv3.0'!$B$15:$C$17,2,FALSE()))))</f>
        <v>0.52544799999999992</v>
      </c>
      <c r="T22" s="95">
        <f>IF(Table4[[#This Row],[Scope]]="Unchanged",6.42*Table4[[#This Row],[ISC Base]],IF(Table4[[#This Row],[Scope]]="Changed",7.52*(Table4[[#This Row],[ISC Base]] - 0.029) - 3.25 * POWER(Table4[[#This Row],[ISC Base]] - 0.02,15),NA()))</f>
        <v>3.3733761599999994</v>
      </c>
      <c r="U2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9" t="s">
        <v>251</v>
      </c>
      <c r="W22" s="95">
        <f>VLOOKUP(Table4[[#This Row],[Threat Event Initiation]],NIST_Scale_LOAI[],2,FALSE())</f>
        <v>0.5</v>
      </c>
      <c r="X2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 t="s">
        <v>431</v>
      </c>
      <c r="AA22" s="21" t="s">
        <v>248</v>
      </c>
      <c r="AB22" s="98"/>
      <c r="AC22" s="39"/>
      <c r="AD22" s="39"/>
      <c r="AE22" s="39"/>
      <c r="AF22" s="94"/>
      <c r="AG22" s="94"/>
      <c r="AH22" s="94"/>
      <c r="AI22" s="94"/>
      <c r="AJ22" s="103"/>
      <c r="AK2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5" t="e">
        <f>(1 - ((1 - VLOOKUP(Table4[[#This Row],[ConfidentialityP]],'Reference - CVSSv3.0'!$B$15:$C$17,2,FALSE())) * (1 - VLOOKUP(Table4[[#This Row],[IntegrityP]],'Reference - CVSSv3.0'!$B$15:$C$17,2,FALSE())) *  (1 - VLOOKUP(Table4[[#This Row],[AvailabilityP]],'Reference - CVSSv3.0'!$B$15:$C$17,2,FALSE()))))</f>
        <v>#N/A</v>
      </c>
      <c r="AM22" s="95" t="e">
        <f>IF(Table4[[#This Row],[ScopeP]]="Unchanged",6.42*Table4[[#This Row],[ISC BaseP]],IF(Table4[[#This Row],[ScopeP]]="Changed",7.52*(Table4[[#This Row],[ISC BaseP]] - 0.029) - 3.25 * POWER(Table4[[#This Row],[ISC BaseP]] - 0.02,15),NA()))</f>
        <v>#N/A</v>
      </c>
      <c r="AN2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9"/>
    </row>
    <row r="23" spans="1:43" s="29" customFormat="1" ht="196" x14ac:dyDescent="0.35">
      <c r="A23" s="88">
        <v>19</v>
      </c>
      <c r="B23" s="89" t="s">
        <v>147</v>
      </c>
      <c r="C23" s="99" t="str">
        <f>IF(VLOOKUP(Table4[[#This Row],[T ID]],Table5[#All],5,FALSE())="No","Not in scope",VLOOKUP(Table4[[#This Row],[T ID]],Table5[#All],2,FALSE()))</f>
        <v>Deliver undirected malware
(CAPEC-185)</v>
      </c>
      <c r="D23" s="60" t="s">
        <v>117</v>
      </c>
      <c r="E23" s="99" t="str">
        <f>IF(VLOOKUP(Table4[[#This Row],[V ID]],Vulnerabilities[#All],3,FALSE())="No","Not in scope",VLOOKUP(Table4[[#This Row],[V ID]],Vulnerabilities[#All],2,FALSE()))</f>
        <v>Outdated  - Software/Hardware</v>
      </c>
      <c r="F23" s="100" t="s">
        <v>19</v>
      </c>
      <c r="G23" s="99" t="str">
        <f>VLOOKUP(Table4[[#This Row],[A ID]],Assets[#All],3,FALSE())</f>
        <v>Smart medic (Stryker device) System Component</v>
      </c>
      <c r="H23" s="21" t="s">
        <v>239</v>
      </c>
      <c r="I23" s="21"/>
      <c r="J23" s="93" t="s">
        <v>240</v>
      </c>
      <c r="K23" s="93" t="s">
        <v>240</v>
      </c>
      <c r="L23" s="93" t="s">
        <v>240</v>
      </c>
      <c r="M23" s="94" t="s">
        <v>241</v>
      </c>
      <c r="N23" s="94" t="s">
        <v>240</v>
      </c>
      <c r="O23" s="94" t="s">
        <v>240</v>
      </c>
      <c r="P23" s="94" t="s">
        <v>245</v>
      </c>
      <c r="Q23" s="94" t="s">
        <v>243</v>
      </c>
      <c r="R2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5">
        <f>(1 - ((1 - VLOOKUP(Table4[[#This Row],[Confidentiality]],'Reference - CVSSv3.0'!$B$15:$C$17,2,FALSE())) * (1 - VLOOKUP(Table4[[#This Row],[Integrity]],'Reference - CVSSv3.0'!$B$15:$C$17,2,FALSE())) *  (1 - VLOOKUP(Table4[[#This Row],[Availability]],'Reference - CVSSv3.0'!$B$15:$C$17,2,FALSE()))))</f>
        <v>0.52544799999999992</v>
      </c>
      <c r="T23" s="95">
        <f>IF(Table4[[#This Row],[Scope]]="Unchanged",6.42*Table4[[#This Row],[ISC Base]],IF(Table4[[#This Row],[Scope]]="Changed",7.52*(Table4[[#This Row],[ISC Base]] - 0.029) - 3.25 * POWER(Table4[[#This Row],[ISC Base]] - 0.02,15),NA()))</f>
        <v>3.3733761599999994</v>
      </c>
      <c r="U23"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9" t="s">
        <v>251</v>
      </c>
      <c r="W23" s="95">
        <f>VLOOKUP(Table4[[#This Row],[Threat Event Initiation]],NIST_Scale_LOAI[],2,FALSE())</f>
        <v>0.5</v>
      </c>
      <c r="X2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21" t="s">
        <v>431</v>
      </c>
      <c r="AA23" s="21" t="s">
        <v>248</v>
      </c>
      <c r="AB23" s="98"/>
      <c r="AC23" s="39"/>
      <c r="AD23" s="39"/>
      <c r="AE23" s="39"/>
      <c r="AF23" s="94"/>
      <c r="AG23" s="94"/>
      <c r="AH23" s="94"/>
      <c r="AI23" s="94"/>
      <c r="AJ23" s="103"/>
      <c r="AK2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5" t="e">
        <f>(1 - ((1 - VLOOKUP(Table4[[#This Row],[ConfidentialityP]],'Reference - CVSSv3.0'!$B$15:$C$17,2,FALSE())) * (1 - VLOOKUP(Table4[[#This Row],[IntegrityP]],'Reference - CVSSv3.0'!$B$15:$C$17,2,FALSE())) *  (1 - VLOOKUP(Table4[[#This Row],[AvailabilityP]],'Reference - CVSSv3.0'!$B$15:$C$17,2,FALSE()))))</f>
        <v>#N/A</v>
      </c>
      <c r="AM23" s="95" t="e">
        <f>IF(Table4[[#This Row],[ScopeP]]="Unchanged",6.42*Table4[[#This Row],[ISC BaseP]],IF(Table4[[#This Row],[ScopeP]]="Changed",7.52*(Table4[[#This Row],[ISC BaseP]] - 0.029) - 3.25 * POWER(Table4[[#This Row],[ISC BaseP]] - 0.02,15),NA()))</f>
        <v>#N/A</v>
      </c>
      <c r="AN2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9"/>
    </row>
    <row r="24" spans="1:43" s="29" customFormat="1" ht="196" x14ac:dyDescent="0.35">
      <c r="A24" s="88">
        <v>20</v>
      </c>
      <c r="B24" s="89" t="s">
        <v>147</v>
      </c>
      <c r="C24" s="99" t="str">
        <f>IF(VLOOKUP(Table4[[#This Row],[T ID]],Table5[#All],5,FALSE())="No","Not in scope",VLOOKUP(Table4[[#This Row],[T ID]],Table5[#All],2,FALSE()))</f>
        <v>Deliver undirected malware
(CAPEC-185)</v>
      </c>
      <c r="D24" s="60" t="s">
        <v>117</v>
      </c>
      <c r="E24" s="99" t="str">
        <f>IF(VLOOKUP(Table4[[#This Row],[V ID]],Vulnerabilities[#All],3,FALSE())="No","Not in scope",VLOOKUP(Table4[[#This Row],[V ID]],Vulnerabilities[#All],2,FALSE()))</f>
        <v>Outdated  - Software/Hardware</v>
      </c>
      <c r="F24" s="100" t="s">
        <v>11</v>
      </c>
      <c r="G24" s="99" t="str">
        <f>VLOOKUP(Table4[[#This Row],[A ID]],Assets[#All],3,FALSE())</f>
        <v>Tablet Resources - web cam, microphone, OTG devices, Removable USB, Tablet Application, Network interfaces (Bluetooth, Wifi)</v>
      </c>
      <c r="H24" s="21" t="s">
        <v>239</v>
      </c>
      <c r="I24" s="21"/>
      <c r="J24" s="93" t="s">
        <v>240</v>
      </c>
      <c r="K24" s="93" t="s">
        <v>240</v>
      </c>
      <c r="L24" s="93" t="s">
        <v>240</v>
      </c>
      <c r="M24" s="94" t="s">
        <v>241</v>
      </c>
      <c r="N24" s="94" t="s">
        <v>240</v>
      </c>
      <c r="O24" s="94" t="s">
        <v>240</v>
      </c>
      <c r="P24" s="94" t="s">
        <v>245</v>
      </c>
      <c r="Q24" s="94" t="s">
        <v>243</v>
      </c>
      <c r="R2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5">
        <f>(1 - ((1 - VLOOKUP(Table4[[#This Row],[Confidentiality]],'Reference - CVSSv3.0'!$B$15:$C$17,2,FALSE())) * (1 - VLOOKUP(Table4[[#This Row],[Integrity]],'Reference - CVSSv3.0'!$B$15:$C$17,2,FALSE())) *  (1 - VLOOKUP(Table4[[#This Row],[Availability]],'Reference - CVSSv3.0'!$B$15:$C$17,2,FALSE()))))</f>
        <v>0.52544799999999992</v>
      </c>
      <c r="T24" s="95">
        <f>IF(Table4[[#This Row],[Scope]]="Unchanged",6.42*Table4[[#This Row],[ISC Base]],IF(Table4[[#This Row],[Scope]]="Changed",7.52*(Table4[[#This Row],[ISC Base]] - 0.029) - 3.25 * POWER(Table4[[#This Row],[ISC Base]] - 0.02,15),NA()))</f>
        <v>3.3733761599999994</v>
      </c>
      <c r="U24"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9" t="s">
        <v>240</v>
      </c>
      <c r="W24" s="95">
        <f>VLOOKUP(Table4[[#This Row],[Threat Event Initiation]],NIST_Scale_LOAI[],2,FALSE())</f>
        <v>0.2</v>
      </c>
      <c r="X2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1" t="s">
        <v>431</v>
      </c>
      <c r="AA24" s="21" t="s">
        <v>248</v>
      </c>
      <c r="AB24" s="98"/>
      <c r="AC24" s="39"/>
      <c r="AD24" s="39"/>
      <c r="AE24" s="39"/>
      <c r="AF24" s="94"/>
      <c r="AG24" s="94"/>
      <c r="AH24" s="94"/>
      <c r="AI24" s="94"/>
      <c r="AJ24" s="103"/>
      <c r="AK2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5" t="e">
        <f>(1 - ((1 - VLOOKUP(Table4[[#This Row],[ConfidentialityP]],'Reference - CVSSv3.0'!$B$15:$C$17,2,FALSE())) * (1 - VLOOKUP(Table4[[#This Row],[IntegrityP]],'Reference - CVSSv3.0'!$B$15:$C$17,2,FALSE())) *  (1 - VLOOKUP(Table4[[#This Row],[AvailabilityP]],'Reference - CVSSv3.0'!$B$15:$C$17,2,FALSE()))))</f>
        <v>#N/A</v>
      </c>
      <c r="AM24" s="95" t="e">
        <f>IF(Table4[[#This Row],[ScopeP]]="Unchanged",6.42*Table4[[#This Row],[ISC BaseP]],IF(Table4[[#This Row],[ScopeP]]="Changed",7.52*(Table4[[#This Row],[ISC BaseP]] - 0.029) - 3.25 * POWER(Table4[[#This Row],[ISC BaseP]] - 0.02,15),NA()))</f>
        <v>#N/A</v>
      </c>
      <c r="AN2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9"/>
    </row>
    <row r="25" spans="1:43" s="29" customFormat="1" ht="196" x14ac:dyDescent="0.35">
      <c r="A25" s="88">
        <v>21</v>
      </c>
      <c r="B25" s="89" t="s">
        <v>151</v>
      </c>
      <c r="C25" s="90" t="str">
        <f>IF(VLOOKUP(Table4[[#This Row],[T ID]],Table5[#All],5,FALSE())="No","Not in scope",VLOOKUP(Table4[[#This Row],[T ID]],Table5[#All],2,FALSE()))</f>
        <v>Deliver directed malware
(CAPEC-185)</v>
      </c>
      <c r="D25" s="60" t="s">
        <v>113</v>
      </c>
      <c r="E25" s="90" t="str">
        <f>IF(VLOOKUP(Table4[[#This Row],[V ID]],Vulnerabilities[#All],3,FALSE())="No","Not in scope",VLOOKUP(Table4[[#This Row],[V ID]],Vulnerabilities[#All],2,FALSE()))</f>
        <v>InSecure Configuration for Software/OS on Mobile Devices, Laptops, Workstations, and Servers</v>
      </c>
      <c r="F25" s="100" t="s">
        <v>26</v>
      </c>
      <c r="G25" s="92" t="str">
        <f>VLOOKUP(Table4[[#This Row],[A ID]],Assets[#All],3,FALSE())</f>
        <v>Device Maintainence tool (Hardware/Software)</v>
      </c>
      <c r="H25" s="21" t="s">
        <v>239</v>
      </c>
      <c r="I25" s="21"/>
      <c r="J25" s="93" t="s">
        <v>245</v>
      </c>
      <c r="K25" s="93" t="s">
        <v>245</v>
      </c>
      <c r="L25" s="93" t="s">
        <v>250</v>
      </c>
      <c r="M25" s="94" t="s">
        <v>249</v>
      </c>
      <c r="N25" s="94" t="s">
        <v>240</v>
      </c>
      <c r="O25" s="94" t="s">
        <v>250</v>
      </c>
      <c r="P25" s="94" t="s">
        <v>242</v>
      </c>
      <c r="Q25" s="94" t="s">
        <v>243</v>
      </c>
      <c r="R2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5">
        <f>(1 - ((1 - VLOOKUP(Table4[[#This Row],[Confidentiality]],'Reference - CVSSv3.0'!$B$15:$C$17,2,FALSE())) * (1 - VLOOKUP(Table4[[#This Row],[Integrity]],'Reference - CVSSv3.0'!$B$15:$C$17,2,FALSE())) *  (1 - VLOOKUP(Table4[[#This Row],[Availability]],'Reference - CVSSv3.0'!$B$15:$C$17,2,FALSE()))))</f>
        <v>0.56000000000000005</v>
      </c>
      <c r="T25" s="95">
        <f>IF(Table4[[#This Row],[Scope]]="Unchanged",6.42*Table4[[#This Row],[ISC Base]],IF(Table4[[#This Row],[Scope]]="Changed",7.52*(Table4[[#This Row],[ISC Base]] - 0.029) - 3.25 * POWER(Table4[[#This Row],[ISC Base]] - 0.02,15),NA()))</f>
        <v>3.5952000000000002</v>
      </c>
      <c r="U25"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9" t="s">
        <v>251</v>
      </c>
      <c r="W25" s="96">
        <f>VLOOKUP(Table4[[#This Row],[Threat Event Initiation]],NIST_Scale_LOAI[],2,FALSE())</f>
        <v>0.5</v>
      </c>
      <c r="X2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1" t="s">
        <v>431</v>
      </c>
      <c r="AA25" s="21" t="s">
        <v>248</v>
      </c>
      <c r="AB25" s="98"/>
      <c r="AC25" s="93" t="s">
        <v>250</v>
      </c>
      <c r="AD25" s="93" t="s">
        <v>250</v>
      </c>
      <c r="AE25" s="93" t="s">
        <v>240</v>
      </c>
      <c r="AF25" s="94" t="s">
        <v>241</v>
      </c>
      <c r="AG25" s="94" t="s">
        <v>250</v>
      </c>
      <c r="AH25" s="94" t="s">
        <v>250</v>
      </c>
      <c r="AI25" s="94" t="s">
        <v>242</v>
      </c>
      <c r="AJ25" s="94" t="s">
        <v>243</v>
      </c>
      <c r="AK25" s="9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0.12109046400000002</v>
      </c>
      <c r="AL25" s="95">
        <f>(1 - ((1 - VLOOKUP(Table4[[#This Row],[ConfidentialityP]],'Reference - CVSSv3.0'!$B$15:$C$17,2,FALSE())) * (1 - VLOOKUP(Table4[[#This Row],[IntegrityP]],'Reference - CVSSv3.0'!$B$15:$C$17,2,FALSE())) *  (1 - VLOOKUP(Table4[[#This Row],[AvailabilityP]],'Reference - CVSSv3.0'!$B$15:$C$17,2,FALSE()))))</f>
        <v>0.84899199999999997</v>
      </c>
      <c r="AM25" s="95">
        <f>IF(Table4[[#This Row],[ScopeP]]="Unchanged",6.42*Table4[[#This Row],[ISC BaseP]],IF(Table4[[#This Row],[ScopeP]]="Changed",7.52*(Table4[[#This Row],[ISC BaseP]] - 0.029) - 3.25 * POWER(Table4[[#This Row],[ISC BaseP]] - 0.02,15),NA()))</f>
        <v>5.4505286399999999</v>
      </c>
      <c r="AN25" s="95">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25" s="9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5.6</v>
      </c>
      <c r="AP25" s="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25" s="39" t="s">
        <v>252</v>
      </c>
    </row>
    <row r="26" spans="1:43" s="29" customFormat="1" ht="196" x14ac:dyDescent="0.35">
      <c r="A26" s="88">
        <v>22</v>
      </c>
      <c r="B26" s="89" t="s">
        <v>151</v>
      </c>
      <c r="C26" s="99" t="str">
        <f>IF(VLOOKUP(Table4[[#This Row],[T ID]],Table5[#All],5,FALSE())="No","Not in scope",VLOOKUP(Table4[[#This Row],[T ID]],Table5[#All],2,FALSE()))</f>
        <v>Deliver directed malware
(CAPEC-185)</v>
      </c>
      <c r="D26" s="60" t="s">
        <v>113</v>
      </c>
      <c r="E26" s="99" t="str">
        <f>IF(VLOOKUP(Table4[[#This Row],[V ID]],Vulnerabilities[#All],3,FALSE())="No","Not in scope",VLOOKUP(Table4[[#This Row],[V ID]],Vulnerabilities[#All],2,FALSE()))</f>
        <v>InSecure Configuration for Software/OS on Mobile Devices, Laptops, Workstations, and Servers</v>
      </c>
      <c r="F26" s="100" t="s">
        <v>19</v>
      </c>
      <c r="G26" s="99" t="str">
        <f>VLOOKUP(Table4[[#This Row],[A ID]],Assets[#All],3,FALSE())</f>
        <v>Smart medic (Stryker device) System Component</v>
      </c>
      <c r="H26" s="21" t="s">
        <v>239</v>
      </c>
      <c r="I26" s="21"/>
      <c r="J26" s="93" t="s">
        <v>245</v>
      </c>
      <c r="K26" s="93" t="s">
        <v>245</v>
      </c>
      <c r="L26" s="93" t="s">
        <v>250</v>
      </c>
      <c r="M26" s="94" t="s">
        <v>249</v>
      </c>
      <c r="N26" s="94" t="s">
        <v>240</v>
      </c>
      <c r="O26" s="94" t="s">
        <v>250</v>
      </c>
      <c r="P26" s="94" t="s">
        <v>242</v>
      </c>
      <c r="Q26" s="94" t="s">
        <v>243</v>
      </c>
      <c r="R2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5">
        <f>(1 - ((1 - VLOOKUP(Table4[[#This Row],[Confidentiality]],'Reference - CVSSv3.0'!$B$15:$C$17,2,FALSE())) * (1 - VLOOKUP(Table4[[#This Row],[Integrity]],'Reference - CVSSv3.0'!$B$15:$C$17,2,FALSE())) *  (1 - VLOOKUP(Table4[[#This Row],[Availability]],'Reference - CVSSv3.0'!$B$15:$C$17,2,FALSE()))))</f>
        <v>0.56000000000000005</v>
      </c>
      <c r="T26" s="95">
        <f>IF(Table4[[#This Row],[Scope]]="Unchanged",6.42*Table4[[#This Row],[ISC Base]],IF(Table4[[#This Row],[Scope]]="Changed",7.52*(Table4[[#This Row],[ISC Base]] - 0.029) - 3.25 * POWER(Table4[[#This Row],[ISC Base]] - 0.02,15),NA()))</f>
        <v>3.5952000000000002</v>
      </c>
      <c r="U26"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9" t="s">
        <v>251</v>
      </c>
      <c r="W26" s="95">
        <f>VLOOKUP(Table4[[#This Row],[Threat Event Initiation]],NIST_Scale_LOAI[],2,FALSE())</f>
        <v>0.5</v>
      </c>
      <c r="X2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1" t="s">
        <v>431</v>
      </c>
      <c r="AA26" s="21" t="s">
        <v>248</v>
      </c>
      <c r="AB26" s="98"/>
      <c r="AC26" s="39"/>
      <c r="AD26" s="39"/>
      <c r="AE26" s="39"/>
      <c r="AF26" s="94"/>
      <c r="AG26" s="94"/>
      <c r="AH26" s="94"/>
      <c r="AI26" s="94"/>
      <c r="AJ26" s="103"/>
      <c r="AK2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5" t="e">
        <f>(1 - ((1 - VLOOKUP(Table4[[#This Row],[ConfidentialityP]],'Reference - CVSSv3.0'!$B$15:$C$17,2,FALSE())) * (1 - VLOOKUP(Table4[[#This Row],[IntegrityP]],'Reference - CVSSv3.0'!$B$15:$C$17,2,FALSE())) *  (1 - VLOOKUP(Table4[[#This Row],[AvailabilityP]],'Reference - CVSSv3.0'!$B$15:$C$17,2,FALSE()))))</f>
        <v>#N/A</v>
      </c>
      <c r="AM26" s="95" t="e">
        <f>IF(Table4[[#This Row],[ScopeP]]="Unchanged",6.42*Table4[[#This Row],[ISC BaseP]],IF(Table4[[#This Row],[ScopeP]]="Changed",7.52*(Table4[[#This Row],[ISC BaseP]] - 0.029) - 3.25 * POWER(Table4[[#This Row],[ISC BaseP]] - 0.02,15),NA()))</f>
        <v>#N/A</v>
      </c>
      <c r="AN2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9"/>
    </row>
    <row r="27" spans="1:43" s="29" customFormat="1" ht="196" x14ac:dyDescent="0.35">
      <c r="A27" s="88">
        <v>23</v>
      </c>
      <c r="B27" s="89" t="s">
        <v>151</v>
      </c>
      <c r="C27" s="99" t="str">
        <f>IF(VLOOKUP(Table4[[#This Row],[T ID]],Table5[#All],5,FALSE())="No","Not in scope",VLOOKUP(Table4[[#This Row],[T ID]],Table5[#All],2,FALSE()))</f>
        <v>Deliver directed malware
(CAPEC-185)</v>
      </c>
      <c r="D27" s="60" t="s">
        <v>113</v>
      </c>
      <c r="E27" s="99" t="str">
        <f>IF(VLOOKUP(Table4[[#This Row],[V ID]],Vulnerabilities[#All],3,FALSE())="No","Not in scope",VLOOKUP(Table4[[#This Row],[V ID]],Vulnerabilities[#All],2,FALSE()))</f>
        <v>InSecure Configuration for Software/OS on Mobile Devices, Laptops, Workstations, and Servers</v>
      </c>
      <c r="F27" s="100" t="s">
        <v>11</v>
      </c>
      <c r="G27" s="99" t="str">
        <f>VLOOKUP(Table4[[#This Row],[A ID]],Assets[#All],3,FALSE())</f>
        <v>Tablet Resources - web cam, microphone, OTG devices, Removable USB, Tablet Application, Network interfaces (Bluetooth, Wifi)</v>
      </c>
      <c r="H27" s="21" t="s">
        <v>239</v>
      </c>
      <c r="I27" s="21"/>
      <c r="J27" s="93" t="s">
        <v>240</v>
      </c>
      <c r="K27" s="93" t="s">
        <v>240</v>
      </c>
      <c r="L27" s="93" t="s">
        <v>240</v>
      </c>
      <c r="M27" s="94" t="s">
        <v>249</v>
      </c>
      <c r="N27" s="94" t="s">
        <v>240</v>
      </c>
      <c r="O27" s="94" t="s">
        <v>240</v>
      </c>
      <c r="P27" s="94" t="s">
        <v>242</v>
      </c>
      <c r="Q27" s="94" t="s">
        <v>243</v>
      </c>
      <c r="R2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5">
        <f>(1 - ((1 - VLOOKUP(Table4[[#This Row],[Confidentiality]],'Reference - CVSSv3.0'!$B$15:$C$17,2,FALSE())) * (1 - VLOOKUP(Table4[[#This Row],[Integrity]],'Reference - CVSSv3.0'!$B$15:$C$17,2,FALSE())) *  (1 - VLOOKUP(Table4[[#This Row],[Availability]],'Reference - CVSSv3.0'!$B$15:$C$17,2,FALSE()))))</f>
        <v>0.52544799999999992</v>
      </c>
      <c r="T27" s="95">
        <f>IF(Table4[[#This Row],[Scope]]="Unchanged",6.42*Table4[[#This Row],[ISC Base]],IF(Table4[[#This Row],[Scope]]="Changed",7.52*(Table4[[#This Row],[ISC Base]] - 0.029) - 3.25 * POWER(Table4[[#This Row],[ISC Base]] - 0.02,15),NA()))</f>
        <v>3.3733761599999994</v>
      </c>
      <c r="U27"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9" t="s">
        <v>240</v>
      </c>
      <c r="W27" s="95">
        <f>VLOOKUP(Table4[[#This Row],[Threat Event Initiation]],NIST_Scale_LOAI[],2,FALSE())</f>
        <v>0.2</v>
      </c>
      <c r="X2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21" t="s">
        <v>431</v>
      </c>
      <c r="AA27" s="21" t="s">
        <v>248</v>
      </c>
      <c r="AB27" s="98"/>
      <c r="AC27" s="39"/>
      <c r="AD27" s="39"/>
      <c r="AE27" s="39"/>
      <c r="AF27" s="94"/>
      <c r="AG27" s="94"/>
      <c r="AH27" s="94"/>
      <c r="AI27" s="94"/>
      <c r="AJ27" s="103"/>
      <c r="AK2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5" t="e">
        <f>(1 - ((1 - VLOOKUP(Table4[[#This Row],[ConfidentialityP]],'Reference - CVSSv3.0'!$B$15:$C$17,2,FALSE())) * (1 - VLOOKUP(Table4[[#This Row],[IntegrityP]],'Reference - CVSSv3.0'!$B$15:$C$17,2,FALSE())) *  (1 - VLOOKUP(Table4[[#This Row],[AvailabilityP]],'Reference - CVSSv3.0'!$B$15:$C$17,2,FALSE()))))</f>
        <v>#N/A</v>
      </c>
      <c r="AM27" s="95" t="e">
        <f>IF(Table4[[#This Row],[ScopeP]]="Unchanged",6.42*Table4[[#This Row],[ISC BaseP]],IF(Table4[[#This Row],[ScopeP]]="Changed",7.52*(Table4[[#This Row],[ISC BaseP]] - 0.029) - 3.25 * POWER(Table4[[#This Row],[ISC BaseP]] - 0.02,15),NA()))</f>
        <v>#N/A</v>
      </c>
      <c r="AN2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9"/>
    </row>
    <row r="28" spans="1:43" s="29" customFormat="1" ht="70" x14ac:dyDescent="0.35">
      <c r="A28" s="88">
        <v>24</v>
      </c>
      <c r="B28" s="89" t="s">
        <v>151</v>
      </c>
      <c r="C28" s="99" t="str">
        <f>IF(VLOOKUP(Table4[[#This Row],[T ID]],Table5[#All],5,FALSE())="No","Not in scope",VLOOKUP(Table4[[#This Row],[T ID]],Table5[#All],2,FALSE()))</f>
        <v>Deliver directed malware
(CAPEC-185)</v>
      </c>
      <c r="D28" s="60" t="s">
        <v>95</v>
      </c>
      <c r="E28" s="99" t="str">
        <f>IF(VLOOKUP(Table4[[#This Row],[V ID]],Vulnerabilities[#All],3,FALSE())="No","Not in scope",VLOOKUP(Table4[[#This Row],[V ID]],Vulnerabilities[#All],2,FALSE()))</f>
        <v>Unprotected external USB Port on the tablet/devices.</v>
      </c>
      <c r="F28" s="100" t="s">
        <v>35</v>
      </c>
      <c r="G28" s="99" t="str">
        <f>VLOOKUP(Table4[[#This Row],[A ID]],Assets[#All],3,FALSE())</f>
        <v>Wireless Network device (Scope of HDO)</v>
      </c>
      <c r="H28" s="21" t="s">
        <v>239</v>
      </c>
      <c r="I28" s="21"/>
      <c r="J28" s="93" t="s">
        <v>240</v>
      </c>
      <c r="K28" s="93" t="s">
        <v>240</v>
      </c>
      <c r="L28" s="93" t="s">
        <v>240</v>
      </c>
      <c r="M28" s="94" t="s">
        <v>241</v>
      </c>
      <c r="N28" s="94" t="s">
        <v>240</v>
      </c>
      <c r="O28" s="94" t="s">
        <v>240</v>
      </c>
      <c r="P28" s="94" t="s">
        <v>242</v>
      </c>
      <c r="Q28" s="94" t="s">
        <v>243</v>
      </c>
      <c r="R2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5">
        <f>(1 - ((1 - VLOOKUP(Table4[[#This Row],[Confidentiality]],'Reference - CVSSv3.0'!$B$15:$C$17,2,FALSE())) * (1 - VLOOKUP(Table4[[#This Row],[Integrity]],'Reference - CVSSv3.0'!$B$15:$C$17,2,FALSE())) *  (1 - VLOOKUP(Table4[[#This Row],[Availability]],'Reference - CVSSv3.0'!$B$15:$C$17,2,FALSE()))))</f>
        <v>0.52544799999999992</v>
      </c>
      <c r="T28" s="95">
        <f>IF(Table4[[#This Row],[Scope]]="Unchanged",6.42*Table4[[#This Row],[ISC Base]],IF(Table4[[#This Row],[Scope]]="Changed",7.52*(Table4[[#This Row],[ISC Base]] - 0.029) - 3.25 * POWER(Table4[[#This Row],[ISC Base]] - 0.02,15),NA()))</f>
        <v>3.3733761599999994</v>
      </c>
      <c r="U28"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9" t="s">
        <v>251</v>
      </c>
      <c r="W28" s="95">
        <f>VLOOKUP(Table4[[#This Row],[Threat Event Initiation]],NIST_Scale_LOAI[],2,FALSE())</f>
        <v>0.5</v>
      </c>
      <c r="X2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1" t="s">
        <v>425</v>
      </c>
      <c r="AA28" s="21" t="s">
        <v>253</v>
      </c>
      <c r="AB28" s="98"/>
      <c r="AC28" s="39"/>
      <c r="AD28" s="39"/>
      <c r="AE28" s="39"/>
      <c r="AF28" s="94"/>
      <c r="AG28" s="94"/>
      <c r="AH28" s="94"/>
      <c r="AI28" s="94"/>
      <c r="AJ28" s="103"/>
      <c r="AK2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5" t="e">
        <f>(1 - ((1 - VLOOKUP(Table4[[#This Row],[ConfidentialityP]],'Reference - CVSSv3.0'!$B$15:$C$17,2,FALSE())) * (1 - VLOOKUP(Table4[[#This Row],[IntegrityP]],'Reference - CVSSv3.0'!$B$15:$C$17,2,FALSE())) *  (1 - VLOOKUP(Table4[[#This Row],[AvailabilityP]],'Reference - CVSSv3.0'!$B$15:$C$17,2,FALSE()))))</f>
        <v>#N/A</v>
      </c>
      <c r="AM28" s="95" t="e">
        <f>IF(Table4[[#This Row],[ScopeP]]="Unchanged",6.42*Table4[[#This Row],[ISC BaseP]],IF(Table4[[#This Row],[ScopeP]]="Changed",7.52*(Table4[[#This Row],[ISC BaseP]] - 0.029) - 3.25 * POWER(Table4[[#This Row],[ISC BaseP]] - 0.02,15),NA()))</f>
        <v>#N/A</v>
      </c>
      <c r="AN2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9"/>
    </row>
    <row r="29" spans="1:43" s="29" customFormat="1" ht="196" x14ac:dyDescent="0.35">
      <c r="A29" s="88">
        <v>25</v>
      </c>
      <c r="B29" s="89" t="s">
        <v>151</v>
      </c>
      <c r="C29" s="99" t="str">
        <f>IF(VLOOKUP(Table4[[#This Row],[T ID]],Table5[#All],5,FALSE())="No","Not in scope",VLOOKUP(Table4[[#This Row],[T ID]],Table5[#All],2,FALSE()))</f>
        <v>Deliver directed malware
(CAPEC-185)</v>
      </c>
      <c r="D29" s="60" t="s">
        <v>95</v>
      </c>
      <c r="E29" s="99" t="str">
        <f>IF(VLOOKUP(Table4[[#This Row],[V ID]],Vulnerabilities[#All],3,FALSE())="No","Not in scope",VLOOKUP(Table4[[#This Row],[V ID]],Vulnerabilities[#All],2,FALSE()))</f>
        <v>Unprotected external USB Port on the tablet/devices.</v>
      </c>
      <c r="F29" s="100" t="s">
        <v>11</v>
      </c>
      <c r="G29" s="99" t="str">
        <f>VLOOKUP(Table4[[#This Row],[A ID]],Assets[#All],3,FALSE())</f>
        <v>Tablet Resources - web cam, microphone, OTG devices, Removable USB, Tablet Application, Network interfaces (Bluetooth, Wifi)</v>
      </c>
      <c r="H29" s="21" t="s">
        <v>239</v>
      </c>
      <c r="I29" s="21"/>
      <c r="J29" s="93" t="s">
        <v>240</v>
      </c>
      <c r="K29" s="93" t="s">
        <v>240</v>
      </c>
      <c r="L29" s="93" t="s">
        <v>240</v>
      </c>
      <c r="M29" s="94" t="s">
        <v>241</v>
      </c>
      <c r="N29" s="94" t="s">
        <v>240</v>
      </c>
      <c r="O29" s="94" t="s">
        <v>240</v>
      </c>
      <c r="P29" s="94" t="s">
        <v>242</v>
      </c>
      <c r="Q29" s="94" t="s">
        <v>243</v>
      </c>
      <c r="R2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5">
        <f>(1 - ((1 - VLOOKUP(Table4[[#This Row],[Confidentiality]],'Reference - CVSSv3.0'!$B$15:$C$17,2,FALSE())) * (1 - VLOOKUP(Table4[[#This Row],[Integrity]],'Reference - CVSSv3.0'!$B$15:$C$17,2,FALSE())) *  (1 - VLOOKUP(Table4[[#This Row],[Availability]],'Reference - CVSSv3.0'!$B$15:$C$17,2,FALSE()))))</f>
        <v>0.52544799999999992</v>
      </c>
      <c r="T29" s="95">
        <f>IF(Table4[[#This Row],[Scope]]="Unchanged",6.42*Table4[[#This Row],[ISC Base]],IF(Table4[[#This Row],[Scope]]="Changed",7.52*(Table4[[#This Row],[ISC Base]] - 0.029) - 3.25 * POWER(Table4[[#This Row],[ISC Base]] - 0.02,15),NA()))</f>
        <v>3.3733761599999994</v>
      </c>
      <c r="U29"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9" t="s">
        <v>251</v>
      </c>
      <c r="W29" s="95">
        <f>VLOOKUP(Table4[[#This Row],[Threat Event Initiation]],NIST_Scale_LOAI[],2,FALSE())</f>
        <v>0.5</v>
      </c>
      <c r="X2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1" t="s">
        <v>431</v>
      </c>
      <c r="AA29" s="21" t="s">
        <v>248</v>
      </c>
      <c r="AB29" s="98"/>
      <c r="AC29" s="39"/>
      <c r="AD29" s="39"/>
      <c r="AE29" s="39"/>
      <c r="AF29" s="94"/>
      <c r="AG29" s="94"/>
      <c r="AH29" s="94"/>
      <c r="AI29" s="94"/>
      <c r="AJ29" s="103"/>
      <c r="AK2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5" t="e">
        <f>(1 - ((1 - VLOOKUP(Table4[[#This Row],[ConfidentialityP]],'Reference - CVSSv3.0'!$B$15:$C$17,2,FALSE())) * (1 - VLOOKUP(Table4[[#This Row],[IntegrityP]],'Reference - CVSSv3.0'!$B$15:$C$17,2,FALSE())) *  (1 - VLOOKUP(Table4[[#This Row],[AvailabilityP]],'Reference - CVSSv3.0'!$B$15:$C$17,2,FALSE()))))</f>
        <v>#N/A</v>
      </c>
      <c r="AM29" s="95" t="e">
        <f>IF(Table4[[#This Row],[ScopeP]]="Unchanged",6.42*Table4[[#This Row],[ISC BaseP]],IF(Table4[[#This Row],[ScopeP]]="Changed",7.52*(Table4[[#This Row],[ISC BaseP]] - 0.029) - 3.25 * POWER(Table4[[#This Row],[ISC BaseP]] - 0.02,15),NA()))</f>
        <v>#N/A</v>
      </c>
      <c r="AN2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9"/>
    </row>
    <row r="30" spans="1:43" s="29" customFormat="1" ht="97" customHeight="1" x14ac:dyDescent="0.35">
      <c r="A30" s="88">
        <v>26</v>
      </c>
      <c r="B30" s="89" t="s">
        <v>151</v>
      </c>
      <c r="C30" s="99" t="str">
        <f>IF(VLOOKUP(Table4[[#This Row],[T ID]],Table5[#All],5,FALSE())="No","Not in scope",VLOOKUP(Table4[[#This Row],[T ID]],Table5[#All],2,FALSE()))</f>
        <v>Deliver directed malware
(CAPEC-185)</v>
      </c>
      <c r="D30" s="60" t="s">
        <v>95</v>
      </c>
      <c r="E30" s="99" t="str">
        <f>IF(VLOOKUP(Table4[[#This Row],[V ID]],Vulnerabilities[#All],3,FALSE())="No","Not in scope",VLOOKUP(Table4[[#This Row],[V ID]],Vulnerabilities[#All],2,FALSE()))</f>
        <v>Unprotected external USB Port on the tablet/devices.</v>
      </c>
      <c r="F30" s="100" t="s">
        <v>44</v>
      </c>
      <c r="G30" s="99" t="str">
        <f>VLOOKUP(Table4[[#This Row],[A ID]],Assets[#All],3,FALSE())</f>
        <v>Smart medic app (Stryker Admin Web Application)</v>
      </c>
      <c r="H30" s="21" t="s">
        <v>239</v>
      </c>
      <c r="I30" s="21"/>
      <c r="J30" s="93" t="s">
        <v>240</v>
      </c>
      <c r="K30" s="93" t="s">
        <v>240</v>
      </c>
      <c r="L30" s="93" t="s">
        <v>240</v>
      </c>
      <c r="M30" s="94" t="s">
        <v>241</v>
      </c>
      <c r="N30" s="94" t="s">
        <v>240</v>
      </c>
      <c r="O30" s="94" t="s">
        <v>240</v>
      </c>
      <c r="P30" s="94" t="s">
        <v>242</v>
      </c>
      <c r="Q30" s="94" t="s">
        <v>243</v>
      </c>
      <c r="R3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95">
        <f>(1 - ((1 - VLOOKUP(Table4[[#This Row],[Confidentiality]],'Reference - CVSSv3.0'!$B$15:$C$17,2,FALSE())) * (1 - VLOOKUP(Table4[[#This Row],[Integrity]],'Reference - CVSSv3.0'!$B$15:$C$17,2,FALSE())) *  (1 - VLOOKUP(Table4[[#This Row],[Availability]],'Reference - CVSSv3.0'!$B$15:$C$17,2,FALSE()))))</f>
        <v>0.52544799999999992</v>
      </c>
      <c r="T30" s="95">
        <f>IF(Table4[[#This Row],[Scope]]="Unchanged",6.42*Table4[[#This Row],[ISC Base]],IF(Table4[[#This Row],[Scope]]="Changed",7.52*(Table4[[#This Row],[ISC Base]] - 0.029) - 3.25 * POWER(Table4[[#This Row],[ISC Base]] - 0.02,15),NA()))</f>
        <v>3.3733761599999994</v>
      </c>
      <c r="U30"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89" t="s">
        <v>240</v>
      </c>
      <c r="W30" s="95">
        <f>VLOOKUP(Table4[[#This Row],[Threat Event Initiation]],NIST_Scale_LOAI[],2,FALSE())</f>
        <v>0.2</v>
      </c>
      <c r="X3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1" t="s">
        <v>431</v>
      </c>
      <c r="AA30" s="21" t="s">
        <v>248</v>
      </c>
      <c r="AB30" s="98"/>
      <c r="AC30" s="39"/>
      <c r="AD30" s="39"/>
      <c r="AE30" s="39"/>
      <c r="AF30" s="94"/>
      <c r="AG30" s="94"/>
      <c r="AH30" s="94"/>
      <c r="AI30" s="94"/>
      <c r="AJ30" s="103"/>
      <c r="AK3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95" t="e">
        <f>(1 - ((1 - VLOOKUP(Table4[[#This Row],[ConfidentialityP]],'Reference - CVSSv3.0'!$B$15:$C$17,2,FALSE())) * (1 - VLOOKUP(Table4[[#This Row],[IntegrityP]],'Reference - CVSSv3.0'!$B$15:$C$17,2,FALSE())) *  (1 - VLOOKUP(Table4[[#This Row],[AvailabilityP]],'Reference - CVSSv3.0'!$B$15:$C$17,2,FALSE()))))</f>
        <v>#N/A</v>
      </c>
      <c r="AM30" s="95" t="e">
        <f>IF(Table4[[#This Row],[ScopeP]]="Unchanged",6.42*Table4[[#This Row],[ISC BaseP]],IF(Table4[[#This Row],[ScopeP]]="Changed",7.52*(Table4[[#This Row],[ISC BaseP]] - 0.029) - 3.25 * POWER(Table4[[#This Row],[ISC BaseP]] - 0.02,15),NA()))</f>
        <v>#N/A</v>
      </c>
      <c r="AN3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39"/>
    </row>
    <row r="31" spans="1:43" s="29" customFormat="1" ht="205.25" customHeight="1" x14ac:dyDescent="0.35">
      <c r="A31" s="88">
        <v>27</v>
      </c>
      <c r="B31" s="89" t="s">
        <v>151</v>
      </c>
      <c r="C31" s="99" t="str">
        <f>IF(VLOOKUP(Table4[[#This Row],[T ID]],Table5[#All],5,FALSE())="No","Not in scope",VLOOKUP(Table4[[#This Row],[T ID]],Table5[#All],2,FALSE()))</f>
        <v>Deliver directed malware
(CAPEC-185)</v>
      </c>
      <c r="D31" s="60" t="s">
        <v>71</v>
      </c>
      <c r="E31" s="99" t="str">
        <f>IF(VLOOKUP(Table4[[#This Row],[V ID]],Vulnerabilities[#All],3,FALSE())="No","Not in scope",VLOOKUP(Table4[[#This Row],[V ID]],Vulnerabilities[#All],2,FALSE()))</f>
        <v>External communications and exposure for communciation channels from and to application and devices like tablet and smartmedic device.</v>
      </c>
      <c r="F31" s="100" t="s">
        <v>11</v>
      </c>
      <c r="G31" s="99" t="str">
        <f>VLOOKUP(Table4[[#This Row],[A ID]],Assets[#All],3,FALSE())</f>
        <v>Tablet Resources - web cam, microphone, OTG devices, Removable USB, Tablet Application, Network interfaces (Bluetooth, Wifi)</v>
      </c>
      <c r="H31" s="21" t="s">
        <v>239</v>
      </c>
      <c r="I31" s="21"/>
      <c r="J31" s="93" t="s">
        <v>245</v>
      </c>
      <c r="K31" s="93" t="s">
        <v>245</v>
      </c>
      <c r="L31" s="93" t="s">
        <v>250</v>
      </c>
      <c r="M31" s="94" t="s">
        <v>246</v>
      </c>
      <c r="N31" s="94" t="s">
        <v>240</v>
      </c>
      <c r="O31" s="94" t="s">
        <v>250</v>
      </c>
      <c r="P31" s="94" t="s">
        <v>242</v>
      </c>
      <c r="Q31" s="94" t="s">
        <v>243</v>
      </c>
      <c r="R3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5">
        <f>(1 - ((1 - VLOOKUP(Table4[[#This Row],[Confidentiality]],'Reference - CVSSv3.0'!$B$15:$C$17,2,FALSE())) * (1 - VLOOKUP(Table4[[#This Row],[Integrity]],'Reference - CVSSv3.0'!$B$15:$C$17,2,FALSE())) *  (1 - VLOOKUP(Table4[[#This Row],[Availability]],'Reference - CVSSv3.0'!$B$15:$C$17,2,FALSE()))))</f>
        <v>0.56000000000000005</v>
      </c>
      <c r="T31" s="95">
        <f>IF(Table4[[#This Row],[Scope]]="Unchanged",6.42*Table4[[#This Row],[ISC Base]],IF(Table4[[#This Row],[Scope]]="Changed",7.52*(Table4[[#This Row],[ISC Base]] - 0.029) - 3.25 * POWER(Table4[[#This Row],[ISC Base]] - 0.02,15),NA()))</f>
        <v>3.5952000000000002</v>
      </c>
      <c r="U31" s="95">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9" t="s">
        <v>251</v>
      </c>
      <c r="W31" s="95">
        <f>VLOOKUP(Table4[[#This Row],[Threat Event Initiation]],NIST_Scale_LOAI[],2,FALSE())</f>
        <v>0.5</v>
      </c>
      <c r="X3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09" t="s">
        <v>413</v>
      </c>
      <c r="AA31" s="106" t="s">
        <v>387</v>
      </c>
      <c r="AB31" s="98"/>
      <c r="AC31" s="39"/>
      <c r="AD31" s="39"/>
      <c r="AE31" s="39"/>
      <c r="AF31" s="94"/>
      <c r="AG31" s="94"/>
      <c r="AH31" s="94"/>
      <c r="AI31" s="94"/>
      <c r="AJ31" s="103"/>
      <c r="AK3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5" t="e">
        <f>(1 - ((1 - VLOOKUP(Table4[[#This Row],[ConfidentialityP]],'Reference - CVSSv3.0'!$B$15:$C$17,2,FALSE())) * (1 - VLOOKUP(Table4[[#This Row],[IntegrityP]],'Reference - CVSSv3.0'!$B$15:$C$17,2,FALSE())) *  (1 - VLOOKUP(Table4[[#This Row],[AvailabilityP]],'Reference - CVSSv3.0'!$B$15:$C$17,2,FALSE()))))</f>
        <v>#N/A</v>
      </c>
      <c r="AM31" s="95" t="e">
        <f>IF(Table4[[#This Row],[ScopeP]]="Unchanged",6.42*Table4[[#This Row],[ISC BaseP]],IF(Table4[[#This Row],[ScopeP]]="Changed",7.52*(Table4[[#This Row],[ISC BaseP]] - 0.029) - 3.25 * POWER(Table4[[#This Row],[ISC BaseP]] - 0.02,15),NA()))</f>
        <v>#N/A</v>
      </c>
      <c r="AN3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9"/>
    </row>
    <row r="32" spans="1:43" s="29" customFormat="1" ht="196" x14ac:dyDescent="0.35">
      <c r="A32" s="88">
        <v>28</v>
      </c>
      <c r="B32" s="89" t="s">
        <v>151</v>
      </c>
      <c r="C32" s="99" t="str">
        <f>IF(VLOOKUP(Table4[[#This Row],[T ID]],Table5[#All],5,FALSE())="No","Not in scope",VLOOKUP(Table4[[#This Row],[T ID]],Table5[#All],2,FALSE()))</f>
        <v>Deliver directed malware
(CAPEC-185)</v>
      </c>
      <c r="D32" s="60" t="s">
        <v>84</v>
      </c>
      <c r="E32" s="99" t="str">
        <f>IF(VLOOKUP(Table4[[#This Row],[V ID]],Vulnerabilities[#All],3,FALSE())="No","Not in scope",VLOOKUP(Table4[[#This Row],[V ID]],Vulnerabilities[#All],2,FALSE()))</f>
        <v>Ineffective patch management of firware, OS and applications thoughout the information system plan</v>
      </c>
      <c r="F32" s="100" t="s">
        <v>26</v>
      </c>
      <c r="G32" s="99" t="str">
        <f>VLOOKUP(Table4[[#This Row],[A ID]],Assets[#All],3,FALSE())</f>
        <v>Device Maintainence tool (Hardware/Software)</v>
      </c>
      <c r="H32" s="21" t="s">
        <v>239</v>
      </c>
      <c r="I32" s="21"/>
      <c r="J32" s="93" t="s">
        <v>240</v>
      </c>
      <c r="K32" s="93" t="s">
        <v>240</v>
      </c>
      <c r="L32" s="93" t="s">
        <v>240</v>
      </c>
      <c r="M32" s="94" t="s">
        <v>249</v>
      </c>
      <c r="N32" s="94" t="s">
        <v>240</v>
      </c>
      <c r="O32" s="94" t="s">
        <v>240</v>
      </c>
      <c r="P32" s="94" t="s">
        <v>245</v>
      </c>
      <c r="Q32" s="94" t="s">
        <v>243</v>
      </c>
      <c r="R3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5">
        <f>(1 - ((1 - VLOOKUP(Table4[[#This Row],[Confidentiality]],'Reference - CVSSv3.0'!$B$15:$C$17,2,FALSE())) * (1 - VLOOKUP(Table4[[#This Row],[Integrity]],'Reference - CVSSv3.0'!$B$15:$C$17,2,FALSE())) *  (1 - VLOOKUP(Table4[[#This Row],[Availability]],'Reference - CVSSv3.0'!$B$15:$C$17,2,FALSE()))))</f>
        <v>0.52544799999999992</v>
      </c>
      <c r="T32" s="95">
        <f>IF(Table4[[#This Row],[Scope]]="Unchanged",6.42*Table4[[#This Row],[ISC Base]],IF(Table4[[#This Row],[Scope]]="Changed",7.52*(Table4[[#This Row],[ISC Base]] - 0.029) - 3.25 * POWER(Table4[[#This Row],[ISC Base]] - 0.02,15),NA()))</f>
        <v>3.3733761599999994</v>
      </c>
      <c r="U3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9" t="s">
        <v>240</v>
      </c>
      <c r="W32" s="95">
        <f>VLOOKUP(Table4[[#This Row],[Threat Event Initiation]],NIST_Scale_LOAI[],2,FALSE())</f>
        <v>0.2</v>
      </c>
      <c r="X3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21" t="s">
        <v>431</v>
      </c>
      <c r="AA32" s="21" t="s">
        <v>248</v>
      </c>
      <c r="AB32" s="98"/>
      <c r="AC32" s="39"/>
      <c r="AD32" s="39"/>
      <c r="AE32" s="39"/>
      <c r="AF32" s="94"/>
      <c r="AG32" s="94"/>
      <c r="AH32" s="94"/>
      <c r="AI32" s="94"/>
      <c r="AJ32" s="103"/>
      <c r="AK3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5" t="e">
        <f>(1 - ((1 - VLOOKUP(Table4[[#This Row],[ConfidentialityP]],'Reference - CVSSv3.0'!$B$15:$C$17,2,FALSE())) * (1 - VLOOKUP(Table4[[#This Row],[IntegrityP]],'Reference - CVSSv3.0'!$B$15:$C$17,2,FALSE())) *  (1 - VLOOKUP(Table4[[#This Row],[AvailabilityP]],'Reference - CVSSv3.0'!$B$15:$C$17,2,FALSE()))))</f>
        <v>#N/A</v>
      </c>
      <c r="AM32" s="95" t="e">
        <f>IF(Table4[[#This Row],[ScopeP]]="Unchanged",6.42*Table4[[#This Row],[ISC BaseP]],IF(Table4[[#This Row],[ScopeP]]="Changed",7.52*(Table4[[#This Row],[ISC BaseP]] - 0.029) - 3.25 * POWER(Table4[[#This Row],[ISC BaseP]] - 0.02,15),NA()))</f>
        <v>#N/A</v>
      </c>
      <c r="AN3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9"/>
    </row>
    <row r="33" spans="1:43" s="29" customFormat="1" ht="196" x14ac:dyDescent="0.35">
      <c r="A33" s="88">
        <v>29</v>
      </c>
      <c r="B33" s="89" t="s">
        <v>151</v>
      </c>
      <c r="C33" s="99" t="str">
        <f>IF(VLOOKUP(Table4[[#This Row],[T ID]],Table5[#All],5,FALSE())="No","Not in scope",VLOOKUP(Table4[[#This Row],[T ID]],Table5[#All],2,FALSE()))</f>
        <v>Deliver directed malware
(CAPEC-185)</v>
      </c>
      <c r="D33" s="60" t="s">
        <v>84</v>
      </c>
      <c r="E33" s="99" t="str">
        <f>IF(VLOOKUP(Table4[[#This Row],[V ID]],Vulnerabilities[#All],3,FALSE())="No","Not in scope",VLOOKUP(Table4[[#This Row],[V ID]],Vulnerabilities[#All],2,FALSE()))</f>
        <v>Ineffective patch management of firware, OS and applications thoughout the information system plan</v>
      </c>
      <c r="F33" s="100" t="s">
        <v>19</v>
      </c>
      <c r="G33" s="99" t="str">
        <f>VLOOKUP(Table4[[#This Row],[A ID]],Assets[#All],3,FALSE())</f>
        <v>Smart medic (Stryker device) System Component</v>
      </c>
      <c r="H33" s="21" t="s">
        <v>239</v>
      </c>
      <c r="I33" s="21"/>
      <c r="J33" s="93" t="s">
        <v>240</v>
      </c>
      <c r="K33" s="93" t="s">
        <v>240</v>
      </c>
      <c r="L33" s="93" t="s">
        <v>240</v>
      </c>
      <c r="M33" s="94" t="s">
        <v>249</v>
      </c>
      <c r="N33" s="94" t="s">
        <v>240</v>
      </c>
      <c r="O33" s="94" t="s">
        <v>240</v>
      </c>
      <c r="P33" s="94" t="s">
        <v>245</v>
      </c>
      <c r="Q33" s="94" t="s">
        <v>243</v>
      </c>
      <c r="R3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5">
        <f>(1 - ((1 - VLOOKUP(Table4[[#This Row],[Confidentiality]],'Reference - CVSSv3.0'!$B$15:$C$17,2,FALSE())) * (1 - VLOOKUP(Table4[[#This Row],[Integrity]],'Reference - CVSSv3.0'!$B$15:$C$17,2,FALSE())) *  (1 - VLOOKUP(Table4[[#This Row],[Availability]],'Reference - CVSSv3.0'!$B$15:$C$17,2,FALSE()))))</f>
        <v>0.52544799999999992</v>
      </c>
      <c r="T33" s="95">
        <f>IF(Table4[[#This Row],[Scope]]="Unchanged",6.42*Table4[[#This Row],[ISC Base]],IF(Table4[[#This Row],[Scope]]="Changed",7.52*(Table4[[#This Row],[ISC Base]] - 0.029) - 3.25 * POWER(Table4[[#This Row],[ISC Base]] - 0.02,15),NA()))</f>
        <v>3.3733761599999994</v>
      </c>
      <c r="U33"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9" t="s">
        <v>240</v>
      </c>
      <c r="W33" s="95">
        <f>VLOOKUP(Table4[[#This Row],[Threat Event Initiation]],NIST_Scale_LOAI[],2,FALSE())</f>
        <v>0.2</v>
      </c>
      <c r="X3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21" t="s">
        <v>431</v>
      </c>
      <c r="AA33" s="21" t="s">
        <v>248</v>
      </c>
      <c r="AB33" s="98"/>
      <c r="AC33" s="39"/>
      <c r="AD33" s="39"/>
      <c r="AE33" s="39"/>
      <c r="AF33" s="94"/>
      <c r="AG33" s="94"/>
      <c r="AH33" s="94"/>
      <c r="AI33" s="94"/>
      <c r="AJ33" s="103"/>
      <c r="AK3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5" t="e">
        <f>(1 - ((1 - VLOOKUP(Table4[[#This Row],[ConfidentialityP]],'Reference - CVSSv3.0'!$B$15:$C$17,2,FALSE())) * (1 - VLOOKUP(Table4[[#This Row],[IntegrityP]],'Reference - CVSSv3.0'!$B$15:$C$17,2,FALSE())) *  (1 - VLOOKUP(Table4[[#This Row],[AvailabilityP]],'Reference - CVSSv3.0'!$B$15:$C$17,2,FALSE()))))</f>
        <v>#N/A</v>
      </c>
      <c r="AM33" s="95" t="e">
        <f>IF(Table4[[#This Row],[ScopeP]]="Unchanged",6.42*Table4[[#This Row],[ISC BaseP]],IF(Table4[[#This Row],[ScopeP]]="Changed",7.52*(Table4[[#This Row],[ISC BaseP]] - 0.029) - 3.25 * POWER(Table4[[#This Row],[ISC BaseP]] - 0.02,15),NA()))</f>
        <v>#N/A</v>
      </c>
      <c r="AN3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9"/>
    </row>
    <row r="34" spans="1:43" s="29" customFormat="1" ht="196" x14ac:dyDescent="0.35">
      <c r="A34" s="88">
        <v>30</v>
      </c>
      <c r="B34" s="89" t="s">
        <v>151</v>
      </c>
      <c r="C34" s="99" t="str">
        <f>IF(VLOOKUP(Table4[[#This Row],[T ID]],Table5[#All],5,FALSE())="No","Not in scope",VLOOKUP(Table4[[#This Row],[T ID]],Table5[#All],2,FALSE()))</f>
        <v>Deliver directed malware
(CAPEC-185)</v>
      </c>
      <c r="D34" s="60" t="s">
        <v>84</v>
      </c>
      <c r="E34" s="99" t="str">
        <f>IF(VLOOKUP(Table4[[#This Row],[V ID]],Vulnerabilities[#All],3,FALSE())="No","Not in scope",VLOOKUP(Table4[[#This Row],[V ID]],Vulnerabilities[#All],2,FALSE()))</f>
        <v>Ineffective patch management of firware, OS and applications thoughout the information system plan</v>
      </c>
      <c r="F34" s="100" t="s">
        <v>11</v>
      </c>
      <c r="G34" s="99" t="str">
        <f>VLOOKUP(Table4[[#This Row],[A ID]],Assets[#All],3,FALSE())</f>
        <v>Tablet Resources - web cam, microphone, OTG devices, Removable USB, Tablet Application, Network interfaces (Bluetooth, Wifi)</v>
      </c>
      <c r="H34" s="21" t="s">
        <v>239</v>
      </c>
      <c r="I34" s="21"/>
      <c r="J34" s="93" t="s">
        <v>240</v>
      </c>
      <c r="K34" s="93" t="s">
        <v>240</v>
      </c>
      <c r="L34" s="93" t="s">
        <v>240</v>
      </c>
      <c r="M34" s="94" t="s">
        <v>249</v>
      </c>
      <c r="N34" s="94" t="s">
        <v>240</v>
      </c>
      <c r="O34" s="94" t="s">
        <v>240</v>
      </c>
      <c r="P34" s="94" t="s">
        <v>245</v>
      </c>
      <c r="Q34" s="94" t="s">
        <v>243</v>
      </c>
      <c r="R3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5">
        <f>(1 - ((1 - VLOOKUP(Table4[[#This Row],[Confidentiality]],'Reference - CVSSv3.0'!$B$15:$C$17,2,FALSE())) * (1 - VLOOKUP(Table4[[#This Row],[Integrity]],'Reference - CVSSv3.0'!$B$15:$C$17,2,FALSE())) *  (1 - VLOOKUP(Table4[[#This Row],[Availability]],'Reference - CVSSv3.0'!$B$15:$C$17,2,FALSE()))))</f>
        <v>0.52544799999999992</v>
      </c>
      <c r="T34" s="95">
        <f>IF(Table4[[#This Row],[Scope]]="Unchanged",6.42*Table4[[#This Row],[ISC Base]],IF(Table4[[#This Row],[Scope]]="Changed",7.52*(Table4[[#This Row],[ISC Base]] - 0.029) - 3.25 * POWER(Table4[[#This Row],[ISC Base]] - 0.02,15),NA()))</f>
        <v>3.3733761599999994</v>
      </c>
      <c r="U34"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9" t="s">
        <v>240</v>
      </c>
      <c r="W34" s="95">
        <f>VLOOKUP(Table4[[#This Row],[Threat Event Initiation]],NIST_Scale_LOAI[],2,FALSE())</f>
        <v>0.2</v>
      </c>
      <c r="X3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21" t="s">
        <v>431</v>
      </c>
      <c r="AA34" s="21" t="s">
        <v>386</v>
      </c>
      <c r="AB34" s="98"/>
      <c r="AC34" s="39"/>
      <c r="AD34" s="39"/>
      <c r="AE34" s="39"/>
      <c r="AF34" s="94"/>
      <c r="AG34" s="94"/>
      <c r="AH34" s="94"/>
      <c r="AI34" s="94"/>
      <c r="AJ34" s="103"/>
      <c r="AK3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5" t="e">
        <f>(1 - ((1 - VLOOKUP(Table4[[#This Row],[ConfidentialityP]],'Reference - CVSSv3.0'!$B$15:$C$17,2,FALSE())) * (1 - VLOOKUP(Table4[[#This Row],[IntegrityP]],'Reference - CVSSv3.0'!$B$15:$C$17,2,FALSE())) *  (1 - VLOOKUP(Table4[[#This Row],[AvailabilityP]],'Reference - CVSSv3.0'!$B$15:$C$17,2,FALSE()))))</f>
        <v>#N/A</v>
      </c>
      <c r="AM34" s="95" t="e">
        <f>IF(Table4[[#This Row],[ScopeP]]="Unchanged",6.42*Table4[[#This Row],[ISC BaseP]],IF(Table4[[#This Row],[ScopeP]]="Changed",7.52*(Table4[[#This Row],[ISC BaseP]] - 0.029) - 3.25 * POWER(Table4[[#This Row],[ISC BaseP]] - 0.02,15),NA()))</f>
        <v>#N/A</v>
      </c>
      <c r="AN3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9"/>
    </row>
    <row r="35" spans="1:43" s="29" customFormat="1" ht="150" customHeight="1" x14ac:dyDescent="0.35">
      <c r="A35" s="88">
        <v>31</v>
      </c>
      <c r="B35" s="89" t="s">
        <v>151</v>
      </c>
      <c r="C35" s="99" t="str">
        <f>IF(VLOOKUP(Table4[[#This Row],[T ID]],Table5[#All],5,FALSE())="No","Not in scope",VLOOKUP(Table4[[#This Row],[T ID]],Table5[#All],2,FALSE()))</f>
        <v>Deliver directed malware
(CAPEC-185)</v>
      </c>
      <c r="D35" s="60" t="s">
        <v>93</v>
      </c>
      <c r="E35" s="99" t="str">
        <f>IF(VLOOKUP(Table4[[#This Row],[V ID]],Vulnerabilities[#All],3,FALSE())="No","Not in scope",VLOOKUP(Table4[[#This Row],[V ID]],Vulnerabilities[#All],2,FALSE()))</f>
        <v>Unprotected network port(s) on network devices and connection points</v>
      </c>
      <c r="F35" s="100" t="s">
        <v>19</v>
      </c>
      <c r="G35" s="99" t="str">
        <f>VLOOKUP(Table4[[#This Row],[A ID]],Assets[#All],3,FALSE())</f>
        <v>Smart medic (Stryker device) System Component</v>
      </c>
      <c r="H35" s="21" t="s">
        <v>254</v>
      </c>
      <c r="I35" s="21"/>
      <c r="J35" s="93" t="s">
        <v>245</v>
      </c>
      <c r="K35" s="93" t="s">
        <v>245</v>
      </c>
      <c r="L35" s="93" t="s">
        <v>250</v>
      </c>
      <c r="M35" s="94" t="s">
        <v>246</v>
      </c>
      <c r="N35" s="94" t="s">
        <v>240</v>
      </c>
      <c r="O35" s="94" t="s">
        <v>250</v>
      </c>
      <c r="P35" s="94" t="s">
        <v>245</v>
      </c>
      <c r="Q35" s="94" t="s">
        <v>243</v>
      </c>
      <c r="R3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5">
        <f>(1 - ((1 - VLOOKUP(Table4[[#This Row],[Confidentiality]],'Reference - CVSSv3.0'!$B$15:$C$17,2,FALSE())) * (1 - VLOOKUP(Table4[[#This Row],[Integrity]],'Reference - CVSSv3.0'!$B$15:$C$17,2,FALSE())) *  (1 - VLOOKUP(Table4[[#This Row],[Availability]],'Reference - CVSSv3.0'!$B$15:$C$17,2,FALSE()))))</f>
        <v>0.56000000000000005</v>
      </c>
      <c r="T35" s="95">
        <f>IF(Table4[[#This Row],[Scope]]="Unchanged",6.42*Table4[[#This Row],[ISC Base]],IF(Table4[[#This Row],[Scope]]="Changed",7.52*(Table4[[#This Row],[ISC Base]] - 0.029) - 3.25 * POWER(Table4[[#This Row],[ISC Base]] - 0.02,15),NA()))</f>
        <v>3.5952000000000002</v>
      </c>
      <c r="U35"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9" t="s">
        <v>251</v>
      </c>
      <c r="W35" s="95">
        <f>VLOOKUP(Table4[[#This Row],[Threat Event Initiation]],NIST_Scale_LOAI[],2,FALSE())</f>
        <v>0.5</v>
      </c>
      <c r="X3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09" t="s">
        <v>414</v>
      </c>
      <c r="AA35" s="106" t="s">
        <v>408</v>
      </c>
      <c r="AB35" s="98"/>
      <c r="AC35" s="39"/>
      <c r="AD35" s="39"/>
      <c r="AE35" s="39"/>
      <c r="AF35" s="94"/>
      <c r="AG35" s="94"/>
      <c r="AH35" s="94"/>
      <c r="AI35" s="94"/>
      <c r="AJ35" s="103"/>
      <c r="AK3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5" t="e">
        <f>(1 - ((1 - VLOOKUP(Table4[[#This Row],[ConfidentialityP]],'Reference - CVSSv3.0'!$B$15:$C$17,2,FALSE())) * (1 - VLOOKUP(Table4[[#This Row],[IntegrityP]],'Reference - CVSSv3.0'!$B$15:$C$17,2,FALSE())) *  (1 - VLOOKUP(Table4[[#This Row],[AvailabilityP]],'Reference - CVSSv3.0'!$B$15:$C$17,2,FALSE()))))</f>
        <v>#N/A</v>
      </c>
      <c r="AM35" s="95" t="e">
        <f>IF(Table4[[#This Row],[ScopeP]]="Unchanged",6.42*Table4[[#This Row],[ISC BaseP]],IF(Table4[[#This Row],[ScopeP]]="Changed",7.52*(Table4[[#This Row],[ISC BaseP]] - 0.029) - 3.25 * POWER(Table4[[#This Row],[ISC BaseP]] - 0.02,15),NA()))</f>
        <v>#N/A</v>
      </c>
      <c r="AN3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9"/>
    </row>
    <row r="36" spans="1:43" s="29" customFormat="1" ht="196" x14ac:dyDescent="0.35">
      <c r="A36" s="88">
        <v>32</v>
      </c>
      <c r="B36" s="89" t="s">
        <v>151</v>
      </c>
      <c r="C36" s="99" t="str">
        <f>IF(VLOOKUP(Table4[[#This Row],[T ID]],Table5[#All],5,FALSE())="No","Not in scope",VLOOKUP(Table4[[#This Row],[T ID]],Table5[#All],2,FALSE()))</f>
        <v>Deliver directed malware
(CAPEC-185)</v>
      </c>
      <c r="D36" s="60" t="s">
        <v>93</v>
      </c>
      <c r="E36" s="99" t="str">
        <f>IF(VLOOKUP(Table4[[#This Row],[V ID]],Vulnerabilities[#All],3,FALSE())="No","Not in scope",VLOOKUP(Table4[[#This Row],[V ID]],Vulnerabilities[#All],2,FALSE()))</f>
        <v>Unprotected network port(s) on network devices and connection points</v>
      </c>
      <c r="F36" s="100" t="s">
        <v>11</v>
      </c>
      <c r="G36" s="99" t="str">
        <f>VLOOKUP(Table4[[#This Row],[A ID]],Assets[#All],3,FALSE())</f>
        <v>Tablet Resources - web cam, microphone, OTG devices, Removable USB, Tablet Application, Network interfaces (Bluetooth, Wifi)</v>
      </c>
      <c r="H36" s="21" t="s">
        <v>254</v>
      </c>
      <c r="I36" s="21"/>
      <c r="J36" s="93" t="s">
        <v>245</v>
      </c>
      <c r="K36" s="93" t="s">
        <v>245</v>
      </c>
      <c r="L36" s="93" t="s">
        <v>250</v>
      </c>
      <c r="M36" s="94" t="s">
        <v>246</v>
      </c>
      <c r="N36" s="94" t="s">
        <v>240</v>
      </c>
      <c r="O36" s="94" t="s">
        <v>250</v>
      </c>
      <c r="P36" s="94" t="s">
        <v>245</v>
      </c>
      <c r="Q36" s="94" t="s">
        <v>243</v>
      </c>
      <c r="R3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5">
        <f>(1 - ((1 - VLOOKUP(Table4[[#This Row],[Confidentiality]],'Reference - CVSSv3.0'!$B$15:$C$17,2,FALSE())) * (1 - VLOOKUP(Table4[[#This Row],[Integrity]],'Reference - CVSSv3.0'!$B$15:$C$17,2,FALSE())) *  (1 - VLOOKUP(Table4[[#This Row],[Availability]],'Reference - CVSSv3.0'!$B$15:$C$17,2,FALSE()))))</f>
        <v>0.56000000000000005</v>
      </c>
      <c r="T36" s="95">
        <f>IF(Table4[[#This Row],[Scope]]="Unchanged",6.42*Table4[[#This Row],[ISC Base]],IF(Table4[[#This Row],[Scope]]="Changed",7.52*(Table4[[#This Row],[ISC Base]] - 0.029) - 3.25 * POWER(Table4[[#This Row],[ISC Base]] - 0.02,15),NA()))</f>
        <v>3.5952000000000002</v>
      </c>
      <c r="U36"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9" t="s">
        <v>240</v>
      </c>
      <c r="W36" s="95">
        <f>VLOOKUP(Table4[[#This Row],[Threat Event Initiation]],NIST_Scale_LOAI[],2,FALSE())</f>
        <v>0.2</v>
      </c>
      <c r="X3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1" t="s">
        <v>431</v>
      </c>
      <c r="AA36" s="21" t="s">
        <v>412</v>
      </c>
      <c r="AB36" s="98"/>
      <c r="AC36" s="39"/>
      <c r="AD36" s="39"/>
      <c r="AE36" s="39"/>
      <c r="AF36" s="94"/>
      <c r="AG36" s="94"/>
      <c r="AH36" s="94"/>
      <c r="AI36" s="94"/>
      <c r="AJ36" s="103"/>
      <c r="AK3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5" t="e">
        <f>(1 - ((1 - VLOOKUP(Table4[[#This Row],[ConfidentialityP]],'Reference - CVSSv3.0'!$B$15:$C$17,2,FALSE())) * (1 - VLOOKUP(Table4[[#This Row],[IntegrityP]],'Reference - CVSSv3.0'!$B$15:$C$17,2,FALSE())) *  (1 - VLOOKUP(Table4[[#This Row],[AvailabilityP]],'Reference - CVSSv3.0'!$B$15:$C$17,2,FALSE()))))</f>
        <v>#N/A</v>
      </c>
      <c r="AM36" s="95" t="e">
        <f>IF(Table4[[#This Row],[ScopeP]]="Unchanged",6.42*Table4[[#This Row],[ISC BaseP]],IF(Table4[[#This Row],[ScopeP]]="Changed",7.52*(Table4[[#This Row],[ISC BaseP]] - 0.029) - 3.25 * POWER(Table4[[#This Row],[ISC BaseP]] - 0.02,15),NA()))</f>
        <v>#N/A</v>
      </c>
      <c r="AN3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9"/>
    </row>
    <row r="37" spans="1:43" s="29" customFormat="1" ht="263.5" customHeight="1" x14ac:dyDescent="0.35">
      <c r="A37" s="88">
        <v>33</v>
      </c>
      <c r="B37" s="89" t="s">
        <v>151</v>
      </c>
      <c r="C37" s="99" t="str">
        <f>IF(VLOOKUP(Table4[[#This Row],[T ID]],Table5[#All],5,FALSE())="No","Not in scope",VLOOKUP(Table4[[#This Row],[T ID]],Table5[#All],2,FALSE()))</f>
        <v>Deliver directed malware
(CAPEC-185)</v>
      </c>
      <c r="D37" s="60" t="s">
        <v>113</v>
      </c>
      <c r="E37" s="99" t="str">
        <f>IF(VLOOKUP(Table4[[#This Row],[V ID]],Vulnerabilities[#All],3,FALSE())="No","Not in scope",VLOOKUP(Table4[[#This Row],[V ID]],Vulnerabilities[#All],2,FALSE()))</f>
        <v>InSecure Configuration for Software/OS on Mobile Devices, Laptops, Workstations, and Servers</v>
      </c>
      <c r="F37" s="100" t="s">
        <v>44</v>
      </c>
      <c r="G37" s="99" t="str">
        <f>VLOOKUP(Table4[[#This Row],[A ID]],Assets[#All],3,FALSE())</f>
        <v>Smart medic app (Stryker Admin Web Application)</v>
      </c>
      <c r="H37" s="21" t="s">
        <v>254</v>
      </c>
      <c r="I37" s="21"/>
      <c r="J37" s="93" t="s">
        <v>245</v>
      </c>
      <c r="K37" s="93" t="s">
        <v>245</v>
      </c>
      <c r="L37" s="93" t="s">
        <v>250</v>
      </c>
      <c r="M37" s="94" t="s">
        <v>249</v>
      </c>
      <c r="N37" s="94" t="s">
        <v>250</v>
      </c>
      <c r="O37" s="94" t="s">
        <v>250</v>
      </c>
      <c r="P37" s="94" t="s">
        <v>242</v>
      </c>
      <c r="Q37" s="94" t="s">
        <v>243</v>
      </c>
      <c r="R3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5">
        <f>(1 - ((1 - VLOOKUP(Table4[[#This Row],[Confidentiality]],'Reference - CVSSv3.0'!$B$15:$C$17,2,FALSE())) * (1 - VLOOKUP(Table4[[#This Row],[Integrity]],'Reference - CVSSv3.0'!$B$15:$C$17,2,FALSE())) *  (1 - VLOOKUP(Table4[[#This Row],[Availability]],'Reference - CVSSv3.0'!$B$15:$C$17,2,FALSE()))))</f>
        <v>0.56000000000000005</v>
      </c>
      <c r="T37" s="95">
        <f>IF(Table4[[#This Row],[Scope]]="Unchanged",6.42*Table4[[#This Row],[ISC Base]],IF(Table4[[#This Row],[Scope]]="Changed",7.52*(Table4[[#This Row],[ISC Base]] - 0.029) - 3.25 * POWER(Table4[[#This Row],[ISC Base]] - 0.02,15),NA()))</f>
        <v>3.5952000000000002</v>
      </c>
      <c r="U37" s="95">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9" t="s">
        <v>251</v>
      </c>
      <c r="W37" s="95">
        <f>VLOOKUP(Table4[[#This Row],[Threat Event Initiation]],NIST_Scale_LOAI[],2,FALSE())</f>
        <v>0.5</v>
      </c>
      <c r="X3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49" t="s">
        <v>415</v>
      </c>
      <c r="AA37" s="107" t="s">
        <v>409</v>
      </c>
      <c r="AB37" s="98"/>
      <c r="AC37" s="39"/>
      <c r="AD37" s="39"/>
      <c r="AE37" s="39"/>
      <c r="AF37" s="94"/>
      <c r="AG37" s="94"/>
      <c r="AH37" s="94"/>
      <c r="AI37" s="94"/>
      <c r="AJ37" s="103"/>
      <c r="AK3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5" t="e">
        <f>(1 - ((1 - VLOOKUP(Table4[[#This Row],[ConfidentialityP]],'Reference - CVSSv3.0'!$B$15:$C$17,2,FALSE())) * (1 - VLOOKUP(Table4[[#This Row],[IntegrityP]],'Reference - CVSSv3.0'!$B$15:$C$17,2,FALSE())) *  (1 - VLOOKUP(Table4[[#This Row],[AvailabilityP]],'Reference - CVSSv3.0'!$B$15:$C$17,2,FALSE()))))</f>
        <v>#N/A</v>
      </c>
      <c r="AM37" s="95" t="e">
        <f>IF(Table4[[#This Row],[ScopeP]]="Unchanged",6.42*Table4[[#This Row],[ISC BaseP]],IF(Table4[[#This Row],[ScopeP]]="Changed",7.52*(Table4[[#This Row],[ISC BaseP]] - 0.029) - 3.25 * POWER(Table4[[#This Row],[ISC BaseP]] - 0.02,15),NA()))</f>
        <v>#N/A</v>
      </c>
      <c r="AN3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9"/>
    </row>
    <row r="38" spans="1:43" s="29" customFormat="1" ht="196" x14ac:dyDescent="0.35">
      <c r="A38" s="88">
        <v>34</v>
      </c>
      <c r="B38" s="89" t="s">
        <v>151</v>
      </c>
      <c r="C38" s="99" t="str">
        <f>IF(VLOOKUP(Table4[[#This Row],[T ID]],Table5[#All],5,FALSE())="No","Not in scope",VLOOKUP(Table4[[#This Row],[T ID]],Table5[#All],2,FALSE()))</f>
        <v>Deliver directed malware
(CAPEC-185)</v>
      </c>
      <c r="D38" s="60" t="s">
        <v>113</v>
      </c>
      <c r="E38" s="99" t="str">
        <f>IF(VLOOKUP(Table4[[#This Row],[V ID]],Vulnerabilities[#All],3,FALSE())="No","Not in scope",VLOOKUP(Table4[[#This Row],[V ID]],Vulnerabilities[#All],2,FALSE()))</f>
        <v>InSecure Configuration for Software/OS on Mobile Devices, Laptops, Workstations, and Servers</v>
      </c>
      <c r="F38" s="100" t="s">
        <v>11</v>
      </c>
      <c r="G38" s="99" t="str">
        <f>VLOOKUP(Table4[[#This Row],[A ID]],Assets[#All],3,FALSE())</f>
        <v>Tablet Resources - web cam, microphone, OTG devices, Removable USB, Tablet Application, Network interfaces (Bluetooth, Wifi)</v>
      </c>
      <c r="H38" s="21" t="s">
        <v>254</v>
      </c>
      <c r="I38" s="21"/>
      <c r="J38" s="93" t="s">
        <v>240</v>
      </c>
      <c r="K38" s="93" t="s">
        <v>240</v>
      </c>
      <c r="L38" s="93" t="s">
        <v>240</v>
      </c>
      <c r="M38" s="94" t="s">
        <v>249</v>
      </c>
      <c r="N38" s="94" t="s">
        <v>240</v>
      </c>
      <c r="O38" s="94" t="s">
        <v>240</v>
      </c>
      <c r="P38" s="94" t="s">
        <v>242</v>
      </c>
      <c r="Q38" s="94" t="s">
        <v>243</v>
      </c>
      <c r="R3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5">
        <f>(1 - ((1 - VLOOKUP(Table4[[#This Row],[Confidentiality]],'Reference - CVSSv3.0'!$B$15:$C$17,2,FALSE())) * (1 - VLOOKUP(Table4[[#This Row],[Integrity]],'Reference - CVSSv3.0'!$B$15:$C$17,2,FALSE())) *  (1 - VLOOKUP(Table4[[#This Row],[Availability]],'Reference - CVSSv3.0'!$B$15:$C$17,2,FALSE()))))</f>
        <v>0.52544799999999992</v>
      </c>
      <c r="T38" s="95">
        <f>IF(Table4[[#This Row],[Scope]]="Unchanged",6.42*Table4[[#This Row],[ISC Base]],IF(Table4[[#This Row],[Scope]]="Changed",7.52*(Table4[[#This Row],[ISC Base]] - 0.029) - 3.25 * POWER(Table4[[#This Row],[ISC Base]] - 0.02,15),NA()))</f>
        <v>3.3733761599999994</v>
      </c>
      <c r="U38"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9" t="s">
        <v>240</v>
      </c>
      <c r="W38" s="95">
        <f>VLOOKUP(Table4[[#This Row],[Threat Event Initiation]],NIST_Scale_LOAI[],2,FALSE())</f>
        <v>0.2</v>
      </c>
      <c r="X3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1" t="s">
        <v>431</v>
      </c>
      <c r="AA38" s="21" t="s">
        <v>248</v>
      </c>
      <c r="AB38" s="98"/>
      <c r="AC38" s="39"/>
      <c r="AD38" s="39"/>
      <c r="AE38" s="39"/>
      <c r="AF38" s="94"/>
      <c r="AG38" s="94"/>
      <c r="AH38" s="94"/>
      <c r="AI38" s="94"/>
      <c r="AJ38" s="103"/>
      <c r="AK3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5" t="e">
        <f>(1 - ((1 - VLOOKUP(Table4[[#This Row],[ConfidentialityP]],'Reference - CVSSv3.0'!$B$15:$C$17,2,FALSE())) * (1 - VLOOKUP(Table4[[#This Row],[IntegrityP]],'Reference - CVSSv3.0'!$B$15:$C$17,2,FALSE())) *  (1 - VLOOKUP(Table4[[#This Row],[AvailabilityP]],'Reference - CVSSv3.0'!$B$15:$C$17,2,FALSE()))))</f>
        <v>#N/A</v>
      </c>
      <c r="AM38" s="95" t="e">
        <f>IF(Table4[[#This Row],[ScopeP]]="Unchanged",6.42*Table4[[#This Row],[ISC BaseP]],IF(Table4[[#This Row],[ScopeP]]="Changed",7.52*(Table4[[#This Row],[ISC BaseP]] - 0.029) - 3.25 * POWER(Table4[[#This Row],[ISC BaseP]] - 0.02,15),NA()))</f>
        <v>#N/A</v>
      </c>
      <c r="AN3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9"/>
    </row>
    <row r="39" spans="1:43" s="29" customFormat="1" ht="196" x14ac:dyDescent="0.35">
      <c r="A39" s="88">
        <v>35</v>
      </c>
      <c r="B39" s="89" t="s">
        <v>151</v>
      </c>
      <c r="C39" s="90" t="str">
        <f>IF(VLOOKUP(Table4[[#This Row],[T ID]],Table5[#All],5,FALSE())="No","Not in scope",VLOOKUP(Table4[[#This Row],[T ID]],Table5[#All],2,FALSE()))</f>
        <v>Deliver directed malware
(CAPEC-185)</v>
      </c>
      <c r="D39" s="60" t="s">
        <v>102</v>
      </c>
      <c r="E39" s="90" t="str">
        <f>IF(VLOOKUP(Table4[[#This Row],[V ID]],Vulnerabilities[#All],3,FALSE())="No","Not in scope",VLOOKUP(Table4[[#This Row],[V ID]],Vulnerabilities[#All],2,FALSE()))</f>
        <v>Unencrypted data at rest in all possible locations</v>
      </c>
      <c r="F39" s="91" t="s">
        <v>11</v>
      </c>
      <c r="G39" s="92" t="str">
        <f>VLOOKUP(Table4[[#This Row],[A ID]],Assets[#All],3,FALSE())</f>
        <v>Tablet Resources - web cam, microphone, OTG devices, Removable USB, Tablet Application, Network interfaces (Bluetooth, Wifi)</v>
      </c>
      <c r="H39" s="21" t="s">
        <v>254</v>
      </c>
      <c r="I39" s="21"/>
      <c r="J39" s="93" t="s">
        <v>240</v>
      </c>
      <c r="K39" s="93" t="s">
        <v>240</v>
      </c>
      <c r="L39" s="93" t="s">
        <v>240</v>
      </c>
      <c r="M39" s="94" t="s">
        <v>249</v>
      </c>
      <c r="N39" s="94" t="s">
        <v>240</v>
      </c>
      <c r="O39" s="94" t="s">
        <v>240</v>
      </c>
      <c r="P39" s="94" t="s">
        <v>245</v>
      </c>
      <c r="Q39" s="94" t="s">
        <v>243</v>
      </c>
      <c r="R39"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5">
        <f>(1 - ((1 - VLOOKUP(Table4[[#This Row],[Confidentiality]],'Reference - CVSSv3.0'!$B$15:$C$17,2,FALSE())) * (1 - VLOOKUP(Table4[[#This Row],[Integrity]],'Reference - CVSSv3.0'!$B$15:$C$17,2,FALSE())) *  (1 - VLOOKUP(Table4[[#This Row],[Availability]],'Reference - CVSSv3.0'!$B$15:$C$17,2,FALSE()))))</f>
        <v>0.52544799999999992</v>
      </c>
      <c r="T39" s="95">
        <f>IF(Table4[[#This Row],[Scope]]="Unchanged",6.42*Table4[[#This Row],[ISC Base]],IF(Table4[[#This Row],[Scope]]="Changed",7.52*(Table4[[#This Row],[ISC Base]] - 0.029) - 3.25 * POWER(Table4[[#This Row],[ISC Base]] - 0.02,15),NA()))</f>
        <v>3.3733761599999994</v>
      </c>
      <c r="U3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9" t="s">
        <v>240</v>
      </c>
      <c r="W39" s="96">
        <f>VLOOKUP(Table4[[#This Row],[Threat Event Initiation]],NIST_Scale_LOAI[],2,FALSE())</f>
        <v>0.2</v>
      </c>
      <c r="X3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21" t="s">
        <v>431</v>
      </c>
      <c r="AA39" s="21" t="s">
        <v>248</v>
      </c>
      <c r="AB39" s="98"/>
      <c r="AC39" s="93" t="s">
        <v>240</v>
      </c>
      <c r="AD39" s="93" t="s">
        <v>245</v>
      </c>
      <c r="AE39" s="93" t="s">
        <v>240</v>
      </c>
      <c r="AF39" s="94" t="s">
        <v>241</v>
      </c>
      <c r="AG39" s="94" t="s">
        <v>240</v>
      </c>
      <c r="AH39" s="94" t="s">
        <v>240</v>
      </c>
      <c r="AI39" s="94" t="s">
        <v>245</v>
      </c>
      <c r="AJ39" s="94" t="s">
        <v>243</v>
      </c>
      <c r="AK39" s="9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0.66711876000000003</v>
      </c>
      <c r="AL39" s="95">
        <f>(1 - ((1 - VLOOKUP(Table4[[#This Row],[ConfidentialityP]],'Reference - CVSSv3.0'!$B$15:$C$17,2,FALSE())) * (1 - VLOOKUP(Table4[[#This Row],[IntegrityP]],'Reference - CVSSv3.0'!$B$15:$C$17,2,FALSE())) *  (1 - VLOOKUP(Table4[[#This Row],[AvailabilityP]],'Reference - CVSSv3.0'!$B$15:$C$17,2,FALSE()))))</f>
        <v>0.39159999999999995</v>
      </c>
      <c r="AM39" s="95">
        <f>IF(Table4[[#This Row],[ScopeP]]="Unchanged",6.42*Table4[[#This Row],[ISC BaseP]],IF(Table4[[#This Row],[ScopeP]]="Changed",7.52*(Table4[[#This Row],[ISC BaseP]] - 0.029) - 3.25 * POWER(Table4[[#This Row],[ISC BaseP]] - 0.02,15),NA()))</f>
        <v>2.5140719999999996</v>
      </c>
      <c r="AN39" s="95">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39" s="9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39" s="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39" s="39"/>
    </row>
    <row r="40" spans="1:43" s="29" customFormat="1" ht="87.65" customHeight="1" x14ac:dyDescent="0.35">
      <c r="A40" s="88">
        <v>36</v>
      </c>
      <c r="B40" s="89" t="s">
        <v>151</v>
      </c>
      <c r="C40" s="99" t="str">
        <f>IF(VLOOKUP(Table4[[#This Row],[T ID]],Table5[#All],5,FALSE())="No","Not in scope",VLOOKUP(Table4[[#This Row],[T ID]],Table5[#All],2,FALSE()))</f>
        <v>Deliver directed malware
(CAPEC-185)</v>
      </c>
      <c r="D40" s="60" t="s">
        <v>102</v>
      </c>
      <c r="E40" s="99" t="str">
        <f>IF(VLOOKUP(Table4[[#This Row],[V ID]],Vulnerabilities[#All],3,FALSE())="No","Not in scope",VLOOKUP(Table4[[#This Row],[V ID]],Vulnerabilities[#All],2,FALSE()))</f>
        <v>Unencrypted data at rest in all possible locations</v>
      </c>
      <c r="F40" s="108" t="s">
        <v>15</v>
      </c>
      <c r="G40" s="99" t="str">
        <f>VLOOKUP(Table4[[#This Row],[A ID]],Assets[#All],3,FALSE())</f>
        <v>Tablet OS/network details &amp; Tablet Application</v>
      </c>
      <c r="H40" s="21" t="s">
        <v>254</v>
      </c>
      <c r="I40" s="21"/>
      <c r="J40" s="93" t="s">
        <v>240</v>
      </c>
      <c r="K40" s="93" t="s">
        <v>240</v>
      </c>
      <c r="L40" s="93" t="s">
        <v>240</v>
      </c>
      <c r="M40" s="94" t="s">
        <v>249</v>
      </c>
      <c r="N40" s="94" t="s">
        <v>240</v>
      </c>
      <c r="O40" s="94" t="s">
        <v>240</v>
      </c>
      <c r="P40" s="94" t="s">
        <v>245</v>
      </c>
      <c r="Q40" s="94" t="s">
        <v>243</v>
      </c>
      <c r="R4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5">
        <f>(1 - ((1 - VLOOKUP(Table4[[#This Row],[Confidentiality]],'Reference - CVSSv3.0'!$B$15:$C$17,2,FALSE())) * (1 - VLOOKUP(Table4[[#This Row],[Integrity]],'Reference - CVSSv3.0'!$B$15:$C$17,2,FALSE())) *  (1 - VLOOKUP(Table4[[#This Row],[Availability]],'Reference - CVSSv3.0'!$B$15:$C$17,2,FALSE()))))</f>
        <v>0.52544799999999992</v>
      </c>
      <c r="T40" s="95">
        <f>IF(Table4[[#This Row],[Scope]]="Unchanged",6.42*Table4[[#This Row],[ISC Base]],IF(Table4[[#This Row],[Scope]]="Changed",7.52*(Table4[[#This Row],[ISC Base]] - 0.029) - 3.25 * POWER(Table4[[#This Row],[ISC Base]] - 0.02,15),NA()))</f>
        <v>3.3733761599999994</v>
      </c>
      <c r="U40"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9" t="s">
        <v>240</v>
      </c>
      <c r="W40" s="95">
        <f>VLOOKUP(Table4[[#This Row],[Threat Event Initiation]],NIST_Scale_LOAI[],2,FALSE())</f>
        <v>0.2</v>
      </c>
      <c r="X4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21" t="s">
        <v>431</v>
      </c>
      <c r="AA40" s="21" t="s">
        <v>248</v>
      </c>
      <c r="AB40" s="98"/>
      <c r="AC40" s="39"/>
      <c r="AD40" s="39"/>
      <c r="AE40" s="39"/>
      <c r="AF40" s="94"/>
      <c r="AG40" s="94"/>
      <c r="AH40" s="94"/>
      <c r="AI40" s="94"/>
      <c r="AJ40" s="103"/>
      <c r="AK4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5" t="e">
        <f>(1 - ((1 - VLOOKUP(Table4[[#This Row],[ConfidentialityP]],'Reference - CVSSv3.0'!$B$15:$C$17,2,FALSE())) * (1 - VLOOKUP(Table4[[#This Row],[IntegrityP]],'Reference - CVSSv3.0'!$B$15:$C$17,2,FALSE())) *  (1 - VLOOKUP(Table4[[#This Row],[AvailabilityP]],'Reference - CVSSv3.0'!$B$15:$C$17,2,FALSE()))))</f>
        <v>#N/A</v>
      </c>
      <c r="AM40" s="95" t="e">
        <f>IF(Table4[[#This Row],[ScopeP]]="Unchanged",6.42*Table4[[#This Row],[ISC BaseP]],IF(Table4[[#This Row],[ScopeP]]="Changed",7.52*(Table4[[#This Row],[ISC BaseP]] - 0.029) - 3.25 * POWER(Table4[[#This Row],[ISC BaseP]] - 0.02,15),NA()))</f>
        <v>#N/A</v>
      </c>
      <c r="AN4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9"/>
    </row>
    <row r="41" spans="1:43" s="29" customFormat="1" ht="409.5" x14ac:dyDescent="0.35">
      <c r="A41" s="88">
        <v>37</v>
      </c>
      <c r="B41" s="89" t="s">
        <v>151</v>
      </c>
      <c r="C41" s="99" t="str">
        <f>IF(VLOOKUP(Table4[[#This Row],[T ID]],Table5[#All],5,FALSE())="No","Not in scope",VLOOKUP(Table4[[#This Row],[T ID]],Table5[#All],2,FALSE()))</f>
        <v>Deliver directed malware
(CAPEC-185)</v>
      </c>
      <c r="D41" s="60" t="s">
        <v>102</v>
      </c>
      <c r="E41" s="99" t="str">
        <f>IF(VLOOKUP(Table4[[#This Row],[V ID]],Vulnerabilities[#All],3,FALSE())="No","Not in scope",VLOOKUP(Table4[[#This Row],[V ID]],Vulnerabilities[#All],2,FALSE()))</f>
        <v>Unencrypted data at rest in all possible locations</v>
      </c>
      <c r="F41" s="100" t="s">
        <v>44</v>
      </c>
      <c r="G41" s="99" t="str">
        <f>VLOOKUP(Table4[[#This Row],[A ID]],Assets[#All],3,FALSE())</f>
        <v>Smart medic app (Stryker Admin Web Application)</v>
      </c>
      <c r="H41" s="21" t="s">
        <v>254</v>
      </c>
      <c r="I41" s="21"/>
      <c r="J41" s="93" t="s">
        <v>240</v>
      </c>
      <c r="K41" s="93" t="s">
        <v>240</v>
      </c>
      <c r="L41" s="93" t="s">
        <v>240</v>
      </c>
      <c r="M41" s="94" t="s">
        <v>249</v>
      </c>
      <c r="N41" s="94" t="s">
        <v>240</v>
      </c>
      <c r="O41" s="94" t="s">
        <v>240</v>
      </c>
      <c r="P41" s="94" t="s">
        <v>245</v>
      </c>
      <c r="Q41" s="94" t="s">
        <v>243</v>
      </c>
      <c r="R4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5">
        <f>(1 - ((1 - VLOOKUP(Table4[[#This Row],[Confidentiality]],'Reference - CVSSv3.0'!$B$15:$C$17,2,FALSE())) * (1 - VLOOKUP(Table4[[#This Row],[Integrity]],'Reference - CVSSv3.0'!$B$15:$C$17,2,FALSE())) *  (1 - VLOOKUP(Table4[[#This Row],[Availability]],'Reference - CVSSv3.0'!$B$15:$C$17,2,FALSE()))))</f>
        <v>0.52544799999999992</v>
      </c>
      <c r="T41" s="95">
        <f>IF(Table4[[#This Row],[Scope]]="Unchanged",6.42*Table4[[#This Row],[ISC Base]],IF(Table4[[#This Row],[Scope]]="Changed",7.52*(Table4[[#This Row],[ISC Base]] - 0.029) - 3.25 * POWER(Table4[[#This Row],[ISC Base]] - 0.02,15),NA()))</f>
        <v>3.3733761599999994</v>
      </c>
      <c r="U4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9" t="s">
        <v>240</v>
      </c>
      <c r="W41" s="95">
        <f>VLOOKUP(Table4[[#This Row],[Threat Event Initiation]],NIST_Scale_LOAI[],2,FALSE())</f>
        <v>0.2</v>
      </c>
      <c r="X4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21" t="s">
        <v>426</v>
      </c>
      <c r="AA41" s="107" t="s">
        <v>255</v>
      </c>
      <c r="AB41" s="98"/>
      <c r="AC41" s="39"/>
      <c r="AD41" s="39"/>
      <c r="AE41" s="39"/>
      <c r="AF41" s="94"/>
      <c r="AG41" s="94"/>
      <c r="AH41" s="94"/>
      <c r="AI41" s="94"/>
      <c r="AJ41" s="103"/>
      <c r="AK4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5" t="e">
        <f>(1 - ((1 - VLOOKUP(Table4[[#This Row],[ConfidentialityP]],'Reference - CVSSv3.0'!$B$15:$C$17,2,FALSE())) * (1 - VLOOKUP(Table4[[#This Row],[IntegrityP]],'Reference - CVSSv3.0'!$B$15:$C$17,2,FALSE())) *  (1 - VLOOKUP(Table4[[#This Row],[AvailabilityP]],'Reference - CVSSv3.0'!$B$15:$C$17,2,FALSE()))))</f>
        <v>#N/A</v>
      </c>
      <c r="AM41" s="95" t="e">
        <f>IF(Table4[[#This Row],[ScopeP]]="Unchanged",6.42*Table4[[#This Row],[ISC BaseP]],IF(Table4[[#This Row],[ScopeP]]="Changed",7.52*(Table4[[#This Row],[ISC BaseP]] - 0.029) - 3.25 * POWER(Table4[[#This Row],[ISC BaseP]] - 0.02,15),NA()))</f>
        <v>#N/A</v>
      </c>
      <c r="AN4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9"/>
    </row>
    <row r="42" spans="1:43" s="29" customFormat="1" ht="196" x14ac:dyDescent="0.35">
      <c r="A42" s="88">
        <v>38</v>
      </c>
      <c r="B42" s="89" t="s">
        <v>155</v>
      </c>
      <c r="C42" s="99" t="str">
        <f>IF(VLOOKUP(Table4[[#This Row],[T ID]],Table5[#All],5,FALSE())="No","Not in scope",VLOOKUP(Table4[[#This Row],[T ID]],Table5[#All],2,FALSE()))</f>
        <v>Gaining Access
([S]TRID[E])</v>
      </c>
      <c r="D42" s="60" t="s">
        <v>93</v>
      </c>
      <c r="E42" s="99" t="str">
        <f>IF(VLOOKUP(Table4[[#This Row],[V ID]],Vulnerabilities[#All],3,FALSE())="No","Not in scope",VLOOKUP(Table4[[#This Row],[V ID]],Vulnerabilities[#All],2,FALSE()))</f>
        <v>Unprotected network port(s) on network devices and connection points</v>
      </c>
      <c r="F42" s="108" t="s">
        <v>15</v>
      </c>
      <c r="G42" s="99" t="str">
        <f>VLOOKUP(Table4[[#This Row],[A ID]],Assets[#All],3,FALSE())</f>
        <v>Tablet OS/network details &amp; Tablet Application</v>
      </c>
      <c r="H42" s="21" t="s">
        <v>256</v>
      </c>
      <c r="I42" s="21"/>
      <c r="J42" s="93" t="s">
        <v>245</v>
      </c>
      <c r="K42" s="93" t="s">
        <v>245</v>
      </c>
      <c r="L42" s="93" t="s">
        <v>240</v>
      </c>
      <c r="M42" s="94" t="s">
        <v>246</v>
      </c>
      <c r="N42" s="94" t="s">
        <v>240</v>
      </c>
      <c r="O42" s="94" t="s">
        <v>240</v>
      </c>
      <c r="P42" s="94" t="s">
        <v>245</v>
      </c>
      <c r="Q42" s="94" t="s">
        <v>243</v>
      </c>
      <c r="R4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5">
        <f>(1 - ((1 - VLOOKUP(Table4[[#This Row],[Confidentiality]],'Reference - CVSSv3.0'!$B$15:$C$17,2,FALSE())) * (1 - VLOOKUP(Table4[[#This Row],[Integrity]],'Reference - CVSSv3.0'!$B$15:$C$17,2,FALSE())) *  (1 - VLOOKUP(Table4[[#This Row],[Availability]],'Reference - CVSSv3.0'!$B$15:$C$17,2,FALSE()))))</f>
        <v>0.21999999999999997</v>
      </c>
      <c r="T42" s="95">
        <f>IF(Table4[[#This Row],[Scope]]="Unchanged",6.42*Table4[[#This Row],[ISC Base]],IF(Table4[[#This Row],[Scope]]="Changed",7.52*(Table4[[#This Row],[ISC Base]] - 0.029) - 3.25 * POWER(Table4[[#This Row],[ISC Base]] - 0.02,15),NA()))</f>
        <v>1.4123999999999999</v>
      </c>
      <c r="U42" s="95">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9" t="s">
        <v>240</v>
      </c>
      <c r="W42" s="95">
        <f>VLOOKUP(Table4[[#This Row],[Threat Event Initiation]],NIST_Scale_LOAI[],2,FALSE())</f>
        <v>0.2</v>
      </c>
      <c r="X4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21" t="s">
        <v>431</v>
      </c>
      <c r="AA42" s="21" t="s">
        <v>248</v>
      </c>
      <c r="AB42" s="98"/>
      <c r="AC42" s="39"/>
      <c r="AD42" s="39"/>
      <c r="AE42" s="39"/>
      <c r="AF42" s="94"/>
      <c r="AG42" s="94"/>
      <c r="AH42" s="94"/>
      <c r="AI42" s="94"/>
      <c r="AJ42" s="103"/>
      <c r="AK4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5" t="e">
        <f>(1 - ((1 - VLOOKUP(Table4[[#This Row],[ConfidentialityP]],'Reference - CVSSv3.0'!$B$15:$C$17,2,FALSE())) * (1 - VLOOKUP(Table4[[#This Row],[IntegrityP]],'Reference - CVSSv3.0'!$B$15:$C$17,2,FALSE())) *  (1 - VLOOKUP(Table4[[#This Row],[AvailabilityP]],'Reference - CVSSv3.0'!$B$15:$C$17,2,FALSE()))))</f>
        <v>#N/A</v>
      </c>
      <c r="AM42" s="95" t="e">
        <f>IF(Table4[[#This Row],[ScopeP]]="Unchanged",6.42*Table4[[#This Row],[ISC BaseP]],IF(Table4[[#This Row],[ScopeP]]="Changed",7.52*(Table4[[#This Row],[ISC BaseP]] - 0.029) - 3.25 * POWER(Table4[[#This Row],[ISC BaseP]] - 0.02,15),NA()))</f>
        <v>#N/A</v>
      </c>
      <c r="AN4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9"/>
    </row>
    <row r="43" spans="1:43" s="29" customFormat="1" ht="350" x14ac:dyDescent="0.35">
      <c r="A43" s="88">
        <v>39</v>
      </c>
      <c r="B43" s="89" t="s">
        <v>155</v>
      </c>
      <c r="C43" s="99" t="str">
        <f>IF(VLOOKUP(Table4[[#This Row],[T ID]],Table5[#All],5,FALSE())="No","Not in scope",VLOOKUP(Table4[[#This Row],[T ID]],Table5[#All],2,FALSE()))</f>
        <v>Gaining Access
([S]TRID[E])</v>
      </c>
      <c r="D43" s="60" t="s">
        <v>93</v>
      </c>
      <c r="E43" s="99" t="str">
        <f>IF(VLOOKUP(Table4[[#This Row],[V ID]],Vulnerabilities[#All],3,FALSE())="No","Not in scope",VLOOKUP(Table4[[#This Row],[V ID]],Vulnerabilities[#All],2,FALSE()))</f>
        <v>Unprotected network port(s) on network devices and connection points</v>
      </c>
      <c r="F43" s="100" t="s">
        <v>44</v>
      </c>
      <c r="G43" s="99" t="str">
        <f>VLOOKUP(Table4[[#This Row],[A ID]],Assets[#All],3,FALSE())</f>
        <v>Smart medic app (Stryker Admin Web Application)</v>
      </c>
      <c r="H43" s="21" t="s">
        <v>256</v>
      </c>
      <c r="I43" s="21"/>
      <c r="J43" s="93" t="s">
        <v>245</v>
      </c>
      <c r="K43" s="93" t="s">
        <v>240</v>
      </c>
      <c r="L43" s="93" t="s">
        <v>250</v>
      </c>
      <c r="M43" s="94" t="s">
        <v>246</v>
      </c>
      <c r="N43" s="94" t="s">
        <v>240</v>
      </c>
      <c r="O43" s="94" t="s">
        <v>250</v>
      </c>
      <c r="P43" s="94" t="s">
        <v>245</v>
      </c>
      <c r="Q43" s="94" t="s">
        <v>243</v>
      </c>
      <c r="R4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5">
        <f>(1 - ((1 - VLOOKUP(Table4[[#This Row],[Confidentiality]],'Reference - CVSSv3.0'!$B$15:$C$17,2,FALSE())) * (1 - VLOOKUP(Table4[[#This Row],[Integrity]],'Reference - CVSSv3.0'!$B$15:$C$17,2,FALSE())) *  (1 - VLOOKUP(Table4[[#This Row],[Availability]],'Reference - CVSSv3.0'!$B$15:$C$17,2,FALSE()))))</f>
        <v>0.65680000000000005</v>
      </c>
      <c r="T43" s="95">
        <f>IF(Table4[[#This Row],[Scope]]="Unchanged",6.42*Table4[[#This Row],[ISC Base]],IF(Table4[[#This Row],[Scope]]="Changed",7.52*(Table4[[#This Row],[ISC Base]] - 0.029) - 3.25 * POWER(Table4[[#This Row],[ISC Base]] - 0.02,15),NA()))</f>
        <v>4.2166560000000004</v>
      </c>
      <c r="U43"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9" t="s">
        <v>240</v>
      </c>
      <c r="W43" s="95">
        <f>VLOOKUP(Table4[[#This Row],[Threat Event Initiation]],NIST_Scale_LOAI[],2,FALSE())</f>
        <v>0.2</v>
      </c>
      <c r="X4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1" t="s">
        <v>427</v>
      </c>
      <c r="AA43" s="109" t="s">
        <v>257</v>
      </c>
      <c r="AB43" s="98"/>
      <c r="AC43" s="39"/>
      <c r="AD43" s="39"/>
      <c r="AE43" s="39"/>
      <c r="AF43" s="94"/>
      <c r="AG43" s="94"/>
      <c r="AH43" s="94"/>
      <c r="AI43" s="94"/>
      <c r="AJ43" s="103"/>
      <c r="AK4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5" t="e">
        <f>(1 - ((1 - VLOOKUP(Table4[[#This Row],[ConfidentialityP]],'Reference - CVSSv3.0'!$B$15:$C$17,2,FALSE())) * (1 - VLOOKUP(Table4[[#This Row],[IntegrityP]],'Reference - CVSSv3.0'!$B$15:$C$17,2,FALSE())) *  (1 - VLOOKUP(Table4[[#This Row],[AvailabilityP]],'Reference - CVSSv3.0'!$B$15:$C$17,2,FALSE()))))</f>
        <v>#N/A</v>
      </c>
      <c r="AM43" s="95" t="e">
        <f>IF(Table4[[#This Row],[ScopeP]]="Unchanged",6.42*Table4[[#This Row],[ISC BaseP]],IF(Table4[[#This Row],[ScopeP]]="Changed",7.52*(Table4[[#This Row],[ISC BaseP]] - 0.029) - 3.25 * POWER(Table4[[#This Row],[ISC BaseP]] - 0.02,15),NA()))</f>
        <v>#N/A</v>
      </c>
      <c r="AN4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9"/>
    </row>
    <row r="44" spans="1:43" s="29" customFormat="1" ht="196" x14ac:dyDescent="0.35">
      <c r="A44" s="88">
        <v>40</v>
      </c>
      <c r="B44" s="89" t="s">
        <v>155</v>
      </c>
      <c r="C44" s="90" t="str">
        <f>IF(VLOOKUP(Table4[[#This Row],[T ID]],Table5[#All],5,FALSE())="No","Not in scope",VLOOKUP(Table4[[#This Row],[T ID]],Table5[#All],2,FALSE()))</f>
        <v>Gaining Access
([S]TRID[E])</v>
      </c>
      <c r="D44" s="60" t="s">
        <v>93</v>
      </c>
      <c r="E44" s="90" t="str">
        <f>IF(VLOOKUP(Table4[[#This Row],[V ID]],Vulnerabilities[#All],3,FALSE())="No","Not in scope",VLOOKUP(Table4[[#This Row],[V ID]],Vulnerabilities[#All],2,FALSE()))</f>
        <v>Unprotected network port(s) on network devices and connection points</v>
      </c>
      <c r="F44" s="91" t="s">
        <v>11</v>
      </c>
      <c r="G44" s="92" t="str">
        <f>VLOOKUP(Table4[[#This Row],[A ID]],Assets[#All],3,FALSE())</f>
        <v>Tablet Resources - web cam, microphone, OTG devices, Removable USB, Tablet Application, Network interfaces (Bluetooth, Wifi)</v>
      </c>
      <c r="H44" s="21" t="s">
        <v>256</v>
      </c>
      <c r="I44" s="21"/>
      <c r="J44" s="93" t="s">
        <v>245</v>
      </c>
      <c r="K44" s="93" t="s">
        <v>240</v>
      </c>
      <c r="L44" s="93" t="s">
        <v>245</v>
      </c>
      <c r="M44" s="94" t="s">
        <v>246</v>
      </c>
      <c r="N44" s="94" t="s">
        <v>240</v>
      </c>
      <c r="O44" s="94" t="s">
        <v>240</v>
      </c>
      <c r="P44" s="94" t="s">
        <v>245</v>
      </c>
      <c r="Q44" s="94" t="s">
        <v>243</v>
      </c>
      <c r="R44"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5">
        <f>(1 - ((1 - VLOOKUP(Table4[[#This Row],[Confidentiality]],'Reference - CVSSv3.0'!$B$15:$C$17,2,FALSE())) * (1 - VLOOKUP(Table4[[#This Row],[Integrity]],'Reference - CVSSv3.0'!$B$15:$C$17,2,FALSE())) *  (1 - VLOOKUP(Table4[[#This Row],[Availability]],'Reference - CVSSv3.0'!$B$15:$C$17,2,FALSE()))))</f>
        <v>0.21999999999999997</v>
      </c>
      <c r="T44" s="95">
        <f>IF(Table4[[#This Row],[Scope]]="Unchanged",6.42*Table4[[#This Row],[ISC Base]],IF(Table4[[#This Row],[Scope]]="Changed",7.52*(Table4[[#This Row],[ISC Base]] - 0.029) - 3.25 * POWER(Table4[[#This Row],[ISC Base]] - 0.02,15),NA()))</f>
        <v>1.4123999999999999</v>
      </c>
      <c r="U44" s="95">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9" t="s">
        <v>240</v>
      </c>
      <c r="W44" s="96">
        <f>VLOOKUP(Table4[[#This Row],[Threat Event Initiation]],NIST_Scale_LOAI[],2,FALSE())</f>
        <v>0.2</v>
      </c>
      <c r="X4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21" t="s">
        <v>431</v>
      </c>
      <c r="AA44" s="21" t="s">
        <v>248</v>
      </c>
      <c r="AB44" s="98"/>
      <c r="AC44" s="93" t="s">
        <v>240</v>
      </c>
      <c r="AD44" s="93" t="s">
        <v>245</v>
      </c>
      <c r="AE44" s="93" t="s">
        <v>245</v>
      </c>
      <c r="AF44" s="94" t="s">
        <v>246</v>
      </c>
      <c r="AG44" s="94" t="s">
        <v>250</v>
      </c>
      <c r="AH44" s="94" t="s">
        <v>245</v>
      </c>
      <c r="AI44" s="94" t="s">
        <v>245</v>
      </c>
      <c r="AJ44" s="94" t="s">
        <v>243</v>
      </c>
      <c r="AK44" s="95">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2.2211672999999998</v>
      </c>
      <c r="AL44" s="95">
        <f>(1 - ((1 - VLOOKUP(Table4[[#This Row],[ConfidentialityP]],'Reference - CVSSv3.0'!$B$15:$C$17,2,FALSE())) * (1 - VLOOKUP(Table4[[#This Row],[IntegrityP]],'Reference - CVSSv3.0'!$B$15:$C$17,2,FALSE())) *  (1 - VLOOKUP(Table4[[#This Row],[AvailabilityP]],'Reference - CVSSv3.0'!$B$15:$C$17,2,FALSE()))))</f>
        <v>0.21999999999999997</v>
      </c>
      <c r="AM44" s="95">
        <f>IF(Table4[[#This Row],[ScopeP]]="Unchanged",6.42*Table4[[#This Row],[ISC BaseP]],IF(Table4[[#This Row],[ScopeP]]="Changed",7.52*(Table4[[#This Row],[ISC BaseP]] - 0.029) - 3.25 * POWER(Table4[[#This Row],[ISC BaseP]] - 0.02,15),NA()))</f>
        <v>1.4123999999999999</v>
      </c>
      <c r="AN44" s="95">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44" s="95">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44" s="9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4" s="39"/>
    </row>
    <row r="45" spans="1:43" s="29" customFormat="1" ht="248.5" customHeight="1" x14ac:dyDescent="0.35">
      <c r="A45" s="88">
        <v>41</v>
      </c>
      <c r="B45" s="89" t="s">
        <v>155</v>
      </c>
      <c r="C45" s="90" t="str">
        <f>IF(VLOOKUP(Table4[[#This Row],[T ID]],Table5[#All],5,FALSE())="No","Not in scope",VLOOKUP(Table4[[#This Row],[T ID]],Table5[#All],2,FALSE()))</f>
        <v>Gaining Access
([S]TRID[E])</v>
      </c>
      <c r="D45" s="60" t="s">
        <v>67</v>
      </c>
      <c r="E45" s="90" t="str">
        <f>IF(VLOOKUP(Table4[[#This Row],[V ID]],Vulnerabilities[#All],3,FALSE())="No","Not in scope",VLOOKUP(Table4[[#This Row],[V ID]],Vulnerabilities[#All],2,FALSE()))</f>
        <v>Devices with default passwords needs to be checked for bruteforce attacks</v>
      </c>
      <c r="F45" s="108" t="s">
        <v>23</v>
      </c>
      <c r="G45" s="92" t="str">
        <f>VLOOKUP(Table4[[#This Row],[A ID]],Assets[#All],3,FALSE())</f>
        <v>Authentication/Authorisation method of all device(s)/app</v>
      </c>
      <c r="H45" s="21" t="s">
        <v>256</v>
      </c>
      <c r="I45" s="21"/>
      <c r="J45" s="93" t="s">
        <v>240</v>
      </c>
      <c r="K45" s="93" t="s">
        <v>245</v>
      </c>
      <c r="L45" s="93" t="s">
        <v>250</v>
      </c>
      <c r="M45" s="94" t="s">
        <v>241</v>
      </c>
      <c r="N45" s="94" t="s">
        <v>240</v>
      </c>
      <c r="O45" s="94" t="s">
        <v>240</v>
      </c>
      <c r="P45" s="94" t="s">
        <v>245</v>
      </c>
      <c r="Q45" s="94" t="s">
        <v>243</v>
      </c>
      <c r="R45" s="9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5">
        <f>(1 - ((1 - VLOOKUP(Table4[[#This Row],[Confidentiality]],'Reference - CVSSv3.0'!$B$15:$C$17,2,FALSE())) * (1 - VLOOKUP(Table4[[#This Row],[Integrity]],'Reference - CVSSv3.0'!$B$15:$C$17,2,FALSE())) *  (1 - VLOOKUP(Table4[[#This Row],[Availability]],'Reference - CVSSv3.0'!$B$15:$C$17,2,FALSE()))))</f>
        <v>0.65680000000000005</v>
      </c>
      <c r="T45" s="95">
        <f>IF(Table4[[#This Row],[Scope]]="Unchanged",6.42*Table4[[#This Row],[ISC Base]],IF(Table4[[#This Row],[Scope]]="Changed",7.52*(Table4[[#This Row],[ISC Base]] - 0.029) - 3.25 * POWER(Table4[[#This Row],[ISC Base]] - 0.02,15),NA()))</f>
        <v>4.2166560000000004</v>
      </c>
      <c r="U45" s="95">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9" t="s">
        <v>251</v>
      </c>
      <c r="W45" s="96">
        <f>VLOOKUP(Table4[[#This Row],[Threat Event Initiation]],NIST_Scale_LOAI[],2,FALSE())</f>
        <v>0.5</v>
      </c>
      <c r="X4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9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1" t="s">
        <v>258</v>
      </c>
      <c r="AA45" s="107" t="s">
        <v>388</v>
      </c>
      <c r="AB45" s="110"/>
      <c r="AC45" s="93"/>
      <c r="AD45" s="93"/>
      <c r="AE45" s="93"/>
      <c r="AF45" s="94"/>
      <c r="AG45" s="94"/>
      <c r="AH45" s="94"/>
      <c r="AI45" s="94"/>
      <c r="AJ45" s="94"/>
      <c r="AK4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5" t="e">
        <f>(1 - ((1 - VLOOKUP(Table4[[#This Row],[ConfidentialityP]],'Reference - CVSSv3.0'!$B$15:$C$17,2,FALSE())) * (1 - VLOOKUP(Table4[[#This Row],[IntegrityP]],'Reference - CVSSv3.0'!$B$15:$C$17,2,FALSE())) *  (1 - VLOOKUP(Table4[[#This Row],[AvailabilityP]],'Reference - CVSSv3.0'!$B$15:$C$17,2,FALSE()))))</f>
        <v>#N/A</v>
      </c>
      <c r="AM45" s="95" t="e">
        <f>IF(Table4[[#This Row],[ScopeP]]="Unchanged",6.42*Table4[[#This Row],[ISC BaseP]],IF(Table4[[#This Row],[ScopeP]]="Changed",7.52*(Table4[[#This Row],[ISC BaseP]] - 0.029) - 3.25 * POWER(Table4[[#This Row],[ISC BaseP]] - 0.02,15),NA()))</f>
        <v>#N/A</v>
      </c>
      <c r="AN4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11"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9"/>
    </row>
    <row r="46" spans="1:43" s="29" customFormat="1" ht="247.25" customHeight="1" x14ac:dyDescent="0.35">
      <c r="A46" s="88">
        <v>42</v>
      </c>
      <c r="B46" s="89" t="s">
        <v>155</v>
      </c>
      <c r="C46" s="99" t="str">
        <f>IF(VLOOKUP(Table4[[#This Row],[T ID]],Table5[#All],5,FALSE())="No","Not in scope",VLOOKUP(Table4[[#This Row],[T ID]],Table5[#All],2,FALSE()))</f>
        <v>Gaining Access
([S]TRID[E])</v>
      </c>
      <c r="D46" s="60" t="s">
        <v>67</v>
      </c>
      <c r="E46" s="99" t="str">
        <f>IF(VLOOKUP(Table4[[#This Row],[V ID]],Vulnerabilities[#All],3,FALSE())="No","Not in scope",VLOOKUP(Table4[[#This Row],[V ID]],Vulnerabilities[#All],2,FALSE()))</f>
        <v>Devices with default passwords needs to be checked for bruteforce attacks</v>
      </c>
      <c r="F46" s="100" t="s">
        <v>32</v>
      </c>
      <c r="G46" s="99" t="str">
        <f>VLOOKUP(Table4[[#This Row],[A ID]],Assets[#All],3,FALSE())</f>
        <v>Interface/API Communication</v>
      </c>
      <c r="H46" s="21" t="s">
        <v>256</v>
      </c>
      <c r="I46" s="21"/>
      <c r="J46" s="93" t="s">
        <v>240</v>
      </c>
      <c r="K46" s="93" t="s">
        <v>245</v>
      </c>
      <c r="L46" s="93" t="s">
        <v>240</v>
      </c>
      <c r="M46" s="94" t="s">
        <v>241</v>
      </c>
      <c r="N46" s="94" t="s">
        <v>240</v>
      </c>
      <c r="O46" s="94" t="s">
        <v>240</v>
      </c>
      <c r="P46" s="94" t="s">
        <v>245</v>
      </c>
      <c r="Q46" s="94" t="s">
        <v>243</v>
      </c>
      <c r="R4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5">
        <f>(1 - ((1 - VLOOKUP(Table4[[#This Row],[Confidentiality]],'Reference - CVSSv3.0'!$B$15:$C$17,2,FALSE())) * (1 - VLOOKUP(Table4[[#This Row],[Integrity]],'Reference - CVSSv3.0'!$B$15:$C$17,2,FALSE())) *  (1 - VLOOKUP(Table4[[#This Row],[Availability]],'Reference - CVSSv3.0'!$B$15:$C$17,2,FALSE()))))</f>
        <v>0.39159999999999995</v>
      </c>
      <c r="T46" s="95">
        <f>IF(Table4[[#This Row],[Scope]]="Unchanged",6.42*Table4[[#This Row],[ISC Base]],IF(Table4[[#This Row],[Scope]]="Changed",7.52*(Table4[[#This Row],[ISC Base]] - 0.029) - 3.25 * POWER(Table4[[#This Row],[ISC Base]] - 0.02,15),NA()))</f>
        <v>2.5140719999999996</v>
      </c>
      <c r="U46" s="95">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9" t="s">
        <v>240</v>
      </c>
      <c r="W46" s="95">
        <f>VLOOKUP(Table4[[#This Row],[Threat Event Initiation]],NIST_Scale_LOAI[],2,FALSE())</f>
        <v>0.2</v>
      </c>
      <c r="X4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250" t="s">
        <v>416</v>
      </c>
      <c r="AA46" s="107" t="s">
        <v>410</v>
      </c>
      <c r="AB46" s="110"/>
      <c r="AC46" s="39"/>
      <c r="AD46" s="39"/>
      <c r="AE46" s="39"/>
      <c r="AF46" s="94"/>
      <c r="AG46" s="94"/>
      <c r="AH46" s="94"/>
      <c r="AI46" s="94"/>
      <c r="AJ46" s="103"/>
      <c r="AK4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5" t="e">
        <f>(1 - ((1 - VLOOKUP(Table4[[#This Row],[ConfidentialityP]],'Reference - CVSSv3.0'!$B$15:$C$17,2,FALSE())) * (1 - VLOOKUP(Table4[[#This Row],[IntegrityP]],'Reference - CVSSv3.0'!$B$15:$C$17,2,FALSE())) *  (1 - VLOOKUP(Table4[[#This Row],[AvailabilityP]],'Reference - CVSSv3.0'!$B$15:$C$17,2,FALSE()))))</f>
        <v>#N/A</v>
      </c>
      <c r="AM46" s="95" t="e">
        <f>IF(Table4[[#This Row],[ScopeP]]="Unchanged",6.42*Table4[[#This Row],[ISC BaseP]],IF(Table4[[#This Row],[ScopeP]]="Changed",7.52*(Table4[[#This Row],[ISC BaseP]] - 0.029) - 3.25 * POWER(Table4[[#This Row],[ISC BaseP]] - 0.02,15),NA()))</f>
        <v>#N/A</v>
      </c>
      <c r="AN4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9"/>
    </row>
    <row r="47" spans="1:43" ht="324" customHeight="1" x14ac:dyDescent="0.35">
      <c r="A47" s="88">
        <v>43</v>
      </c>
      <c r="B47" s="89" t="s">
        <v>155</v>
      </c>
      <c r="C47" s="99" t="str">
        <f>IF(VLOOKUP(Table4[[#This Row],[T ID]],Table5[#All],5,FALSE())="No","Not in scope",VLOOKUP(Table4[[#This Row],[T ID]],Table5[#All],2,FALSE()))</f>
        <v>Gaining Access
([S]TRID[E])</v>
      </c>
      <c r="D47" s="60" t="s">
        <v>73</v>
      </c>
      <c r="E47" s="99" t="str">
        <f>IF(VLOOKUP(Table4[[#This Row],[V ID]],Vulnerabilities[#All],3,FALSE())="No","Not in scope",VLOOKUP(Table4[[#This Row],[V ID]],Vulnerabilities[#All],2,FALSE()))</f>
        <v>The password complexity or location vulnerability. Like weak passwords and hardcoded passwords.</v>
      </c>
      <c r="F47" s="108" t="s">
        <v>23</v>
      </c>
      <c r="G47" s="99" t="str">
        <f>VLOOKUP(Table4[[#This Row],[A ID]],Assets[#All],3,FALSE())</f>
        <v>Authentication/Authorisation method of all device(s)/app</v>
      </c>
      <c r="H47" s="21" t="s">
        <v>256</v>
      </c>
      <c r="I47" s="21"/>
      <c r="J47" s="93" t="s">
        <v>240</v>
      </c>
      <c r="K47" s="93" t="s">
        <v>245</v>
      </c>
      <c r="L47" s="93" t="s">
        <v>250</v>
      </c>
      <c r="M47" s="94" t="s">
        <v>249</v>
      </c>
      <c r="N47" s="94" t="s">
        <v>240</v>
      </c>
      <c r="O47" s="94" t="s">
        <v>240</v>
      </c>
      <c r="P47" s="94" t="s">
        <v>242</v>
      </c>
      <c r="Q47" s="94" t="s">
        <v>243</v>
      </c>
      <c r="R4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5">
        <f>(1 - ((1 - VLOOKUP(Table4[[#This Row],[Confidentiality]],'Reference - CVSSv3.0'!$B$15:$C$17,2,FALSE())) * (1 - VLOOKUP(Table4[[#This Row],[Integrity]],'Reference - CVSSv3.0'!$B$15:$C$17,2,FALSE())) *  (1 - VLOOKUP(Table4[[#This Row],[Availability]],'Reference - CVSSv3.0'!$B$15:$C$17,2,FALSE()))))</f>
        <v>0.65680000000000005</v>
      </c>
      <c r="T47" s="95">
        <f>IF(Table4[[#This Row],[Scope]]="Unchanged",6.42*Table4[[#This Row],[ISC Base]],IF(Table4[[#This Row],[Scope]]="Changed",7.52*(Table4[[#This Row],[ISC Base]] - 0.029) - 3.25 * POWER(Table4[[#This Row],[ISC Base]] - 0.02,15),NA()))</f>
        <v>4.2166560000000004</v>
      </c>
      <c r="U47" s="95">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9" t="s">
        <v>240</v>
      </c>
      <c r="W47" s="95">
        <f>VLOOKUP(Table4[[#This Row],[Threat Event Initiation]],NIST_Scale_LOAI[],2,FALSE())</f>
        <v>0.2</v>
      </c>
      <c r="X4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1" t="s">
        <v>420</v>
      </c>
      <c r="AA47" s="109" t="s">
        <v>411</v>
      </c>
      <c r="AB47" s="110"/>
      <c r="AC47" s="39"/>
      <c r="AD47" s="39"/>
      <c r="AE47" s="39"/>
      <c r="AF47" s="94"/>
      <c r="AG47" s="94"/>
      <c r="AH47" s="94"/>
      <c r="AI47" s="94"/>
      <c r="AJ47" s="103"/>
      <c r="AK4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5" t="e">
        <f>(1 - ((1 - VLOOKUP(Table4[[#This Row],[ConfidentialityP]],'Reference - CVSSv3.0'!$B$15:$C$17,2,FALSE())) * (1 - VLOOKUP(Table4[[#This Row],[IntegrityP]],'Reference - CVSSv3.0'!$B$15:$C$17,2,FALSE())) *  (1 - VLOOKUP(Table4[[#This Row],[AvailabilityP]],'Reference - CVSSv3.0'!$B$15:$C$17,2,FALSE()))))</f>
        <v>#N/A</v>
      </c>
      <c r="AM47" s="95" t="e">
        <f>IF(Table4[[#This Row],[ScopeP]]="Unchanged",6.42*Table4[[#This Row],[ISC BaseP]],IF(Table4[[#This Row],[ScopeP]]="Changed",7.52*(Table4[[#This Row],[ISC BaseP]] - 0.029) - 3.25 * POWER(Table4[[#This Row],[ISC BaseP]] - 0.02,15),NA()))</f>
        <v>#N/A</v>
      </c>
      <c r="AN4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9"/>
    </row>
    <row r="48" spans="1:43" ht="409.6" customHeight="1" x14ac:dyDescent="0.35">
      <c r="A48" s="88">
        <v>44</v>
      </c>
      <c r="B48" s="89" t="s">
        <v>155</v>
      </c>
      <c r="C48" s="99" t="str">
        <f>IF(VLOOKUP(Table4[[#This Row],[T ID]],Table5[#All],5,FALSE())="No","Not in scope",VLOOKUP(Table4[[#This Row],[T ID]],Table5[#All],2,FALSE()))</f>
        <v>Gaining Access
([S]TRID[E])</v>
      </c>
      <c r="D48" s="60" t="s">
        <v>75</v>
      </c>
      <c r="E48" s="99" t="str">
        <f>IF(VLOOKUP(Table4[[#This Row],[V ID]],Vulnerabilities[#All],3,FALSE())="No","Not in scope",VLOOKUP(Table4[[#This Row],[V ID]],Vulnerabilities[#All],2,FALSE()))</f>
        <v>Checking authentication modes for possible hacks and bypasses</v>
      </c>
      <c r="F48" s="108" t="s">
        <v>23</v>
      </c>
      <c r="G48" s="99" t="str">
        <f>VLOOKUP(Table4[[#This Row],[A ID]],Assets[#All],3,FALSE())</f>
        <v>Authentication/Authorisation method of all device(s)/app</v>
      </c>
      <c r="H48" s="21" t="s">
        <v>256</v>
      </c>
      <c r="I48" s="21"/>
      <c r="J48" s="93" t="s">
        <v>240</v>
      </c>
      <c r="K48" s="93" t="s">
        <v>240</v>
      </c>
      <c r="L48" s="93" t="s">
        <v>240</v>
      </c>
      <c r="M48" s="94" t="s">
        <v>241</v>
      </c>
      <c r="N48" s="94" t="s">
        <v>240</v>
      </c>
      <c r="O48" s="94" t="s">
        <v>240</v>
      </c>
      <c r="P48" s="94" t="s">
        <v>245</v>
      </c>
      <c r="Q48" s="94" t="s">
        <v>243</v>
      </c>
      <c r="R4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5">
        <f>(1 - ((1 - VLOOKUP(Table4[[#This Row],[Confidentiality]],'Reference - CVSSv3.0'!$B$15:$C$17,2,FALSE())) * (1 - VLOOKUP(Table4[[#This Row],[Integrity]],'Reference - CVSSv3.0'!$B$15:$C$17,2,FALSE())) *  (1 - VLOOKUP(Table4[[#This Row],[Availability]],'Reference - CVSSv3.0'!$B$15:$C$17,2,FALSE()))))</f>
        <v>0.52544799999999992</v>
      </c>
      <c r="T48" s="95">
        <f>IF(Table4[[#This Row],[Scope]]="Unchanged",6.42*Table4[[#This Row],[ISC Base]],IF(Table4[[#This Row],[Scope]]="Changed",7.52*(Table4[[#This Row],[ISC Base]] - 0.029) - 3.25 * POWER(Table4[[#This Row],[ISC Base]] - 0.02,15),NA()))</f>
        <v>3.3733761599999994</v>
      </c>
      <c r="U48"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9" t="s">
        <v>240</v>
      </c>
      <c r="W48" s="95">
        <f>VLOOKUP(Table4[[#This Row],[Threat Event Initiation]],NIST_Scale_LOAI[],2,FALSE())</f>
        <v>0.2</v>
      </c>
      <c r="X4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21" t="s">
        <v>259</v>
      </c>
      <c r="AA48" s="249" t="s">
        <v>389</v>
      </c>
      <c r="AB48" s="110"/>
      <c r="AC48" s="39"/>
      <c r="AD48" s="39"/>
      <c r="AE48" s="39"/>
      <c r="AF48" s="94"/>
      <c r="AG48" s="94"/>
      <c r="AH48" s="94"/>
      <c r="AI48" s="94"/>
      <c r="AJ48" s="103"/>
      <c r="AK4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5" t="e">
        <f>(1 - ((1 - VLOOKUP(Table4[[#This Row],[ConfidentialityP]],'Reference - CVSSv3.0'!$B$15:$C$17,2,FALSE())) * (1 - VLOOKUP(Table4[[#This Row],[IntegrityP]],'Reference - CVSSv3.0'!$B$15:$C$17,2,FALSE())) *  (1 - VLOOKUP(Table4[[#This Row],[AvailabilityP]],'Reference - CVSSv3.0'!$B$15:$C$17,2,FALSE()))))</f>
        <v>#N/A</v>
      </c>
      <c r="AM48" s="95" t="e">
        <f>IF(Table4[[#This Row],[ScopeP]]="Unchanged",6.42*Table4[[#This Row],[ISC BaseP]],IF(Table4[[#This Row],[ScopeP]]="Changed",7.52*(Table4[[#This Row],[ISC BaseP]] - 0.029) - 3.25 * POWER(Table4[[#This Row],[ISC BaseP]] - 0.02,15),NA()))</f>
        <v>#N/A</v>
      </c>
      <c r="AN4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9"/>
    </row>
    <row r="49" spans="1:43" ht="196" customHeight="1" x14ac:dyDescent="0.35">
      <c r="A49" s="88">
        <v>45</v>
      </c>
      <c r="B49" s="89" t="s">
        <v>155</v>
      </c>
      <c r="C49" s="99" t="str">
        <f>IF(VLOOKUP(Table4[[#This Row],[T ID]],Table5[#All],5,FALSE())="No","Not in scope",VLOOKUP(Table4[[#This Row],[T ID]],Table5[#All],2,FALSE()))</f>
        <v>Gaining Access
([S]TRID[E])</v>
      </c>
      <c r="D49" s="60" t="s">
        <v>75</v>
      </c>
      <c r="E49" s="99" t="str">
        <f>IF(VLOOKUP(Table4[[#This Row],[V ID]],Vulnerabilities[#All],3,FALSE())="No","Not in scope",VLOOKUP(Table4[[#This Row],[V ID]],Vulnerabilities[#All],2,FALSE()))</f>
        <v>Checking authentication modes for possible hacks and bypasses</v>
      </c>
      <c r="F49" s="100" t="s">
        <v>44</v>
      </c>
      <c r="G49" s="99" t="str">
        <f>VLOOKUP(Table4[[#This Row],[A ID]],Assets[#All],3,FALSE())</f>
        <v>Smart medic app (Stryker Admin Web Application)</v>
      </c>
      <c r="H49" s="21" t="s">
        <v>256</v>
      </c>
      <c r="I49" s="21"/>
      <c r="J49" s="93" t="s">
        <v>240</v>
      </c>
      <c r="K49" s="93" t="s">
        <v>240</v>
      </c>
      <c r="L49" s="93" t="s">
        <v>240</v>
      </c>
      <c r="M49" s="94" t="s">
        <v>241</v>
      </c>
      <c r="N49" s="94" t="s">
        <v>240</v>
      </c>
      <c r="O49" s="94" t="s">
        <v>240</v>
      </c>
      <c r="P49" s="94" t="s">
        <v>245</v>
      </c>
      <c r="Q49" s="94" t="s">
        <v>243</v>
      </c>
      <c r="R4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5">
        <f>(1 - ((1 - VLOOKUP(Table4[[#This Row],[Confidentiality]],'Reference - CVSSv3.0'!$B$15:$C$17,2,FALSE())) * (1 - VLOOKUP(Table4[[#This Row],[Integrity]],'Reference - CVSSv3.0'!$B$15:$C$17,2,FALSE())) *  (1 - VLOOKUP(Table4[[#This Row],[Availability]],'Reference - CVSSv3.0'!$B$15:$C$17,2,FALSE()))))</f>
        <v>0.52544799999999992</v>
      </c>
      <c r="T49" s="95">
        <f>IF(Table4[[#This Row],[Scope]]="Unchanged",6.42*Table4[[#This Row],[ISC Base]],IF(Table4[[#This Row],[Scope]]="Changed",7.52*(Table4[[#This Row],[ISC Base]] - 0.029) - 3.25 * POWER(Table4[[#This Row],[ISC Base]] - 0.02,15),NA()))</f>
        <v>3.3733761599999994</v>
      </c>
      <c r="U49"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9" t="s">
        <v>240</v>
      </c>
      <c r="W49" s="95">
        <f>VLOOKUP(Table4[[#This Row],[Threat Event Initiation]],NIST_Scale_LOAI[],2,FALSE())</f>
        <v>0.2</v>
      </c>
      <c r="X4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1" t="s">
        <v>260</v>
      </c>
      <c r="AA49" s="249" t="s">
        <v>389</v>
      </c>
      <c r="AB49" s="110"/>
      <c r="AC49" s="39"/>
      <c r="AD49" s="39"/>
      <c r="AE49" s="39"/>
      <c r="AF49" s="94"/>
      <c r="AG49" s="94"/>
      <c r="AH49" s="94"/>
      <c r="AI49" s="94"/>
      <c r="AJ49" s="103"/>
      <c r="AK4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5" t="e">
        <f>(1 - ((1 - VLOOKUP(Table4[[#This Row],[ConfidentialityP]],'Reference - CVSSv3.0'!$B$15:$C$17,2,FALSE())) * (1 - VLOOKUP(Table4[[#This Row],[IntegrityP]],'Reference - CVSSv3.0'!$B$15:$C$17,2,FALSE())) *  (1 - VLOOKUP(Table4[[#This Row],[AvailabilityP]],'Reference - CVSSv3.0'!$B$15:$C$17,2,FALSE()))))</f>
        <v>#N/A</v>
      </c>
      <c r="AM49" s="95" t="e">
        <f>IF(Table4[[#This Row],[ScopeP]]="Unchanged",6.42*Table4[[#This Row],[ISC BaseP]],IF(Table4[[#This Row],[ScopeP]]="Changed",7.52*(Table4[[#This Row],[ISC BaseP]] - 0.029) - 3.25 * POWER(Table4[[#This Row],[ISC BaseP]] - 0.02,15),NA()))</f>
        <v>#N/A</v>
      </c>
      <c r="AN4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9"/>
    </row>
    <row r="50" spans="1:43" ht="409.5" x14ac:dyDescent="0.35">
      <c r="A50" s="88">
        <v>46</v>
      </c>
      <c r="B50" s="89" t="s">
        <v>155</v>
      </c>
      <c r="C50" s="99" t="str">
        <f>IF(VLOOKUP(Table4[[#This Row],[T ID]],Table5[#All],5,FALSE())="No","Not in scope",VLOOKUP(Table4[[#This Row],[T ID]],Table5[#All],2,FALSE()))</f>
        <v>Gaining Access
([S]TRID[E])</v>
      </c>
      <c r="D50" s="60" t="s">
        <v>75</v>
      </c>
      <c r="E50" s="99" t="str">
        <f>IF(VLOOKUP(Table4[[#This Row],[V ID]],Vulnerabilities[#All],3,FALSE())="No","Not in scope",VLOOKUP(Table4[[#This Row],[V ID]],Vulnerabilities[#All],2,FALSE()))</f>
        <v>Checking authentication modes for possible hacks and bypasses</v>
      </c>
      <c r="F50" s="100" t="s">
        <v>47</v>
      </c>
      <c r="G50" s="99" t="str">
        <f>VLOOKUP(Table4[[#This Row],[A ID]],Assets[#All],3,FALSE())</f>
        <v>Smart medic app (Azure Portal Administrator)</v>
      </c>
      <c r="H50" s="21" t="s">
        <v>256</v>
      </c>
      <c r="I50" s="21"/>
      <c r="J50" s="93" t="s">
        <v>240</v>
      </c>
      <c r="K50" s="93" t="s">
        <v>240</v>
      </c>
      <c r="L50" s="93" t="s">
        <v>240</v>
      </c>
      <c r="M50" s="94" t="s">
        <v>241</v>
      </c>
      <c r="N50" s="94" t="s">
        <v>240</v>
      </c>
      <c r="O50" s="94" t="s">
        <v>240</v>
      </c>
      <c r="P50" s="94" t="s">
        <v>245</v>
      </c>
      <c r="Q50" s="94" t="s">
        <v>243</v>
      </c>
      <c r="R5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5">
        <f>(1 - ((1 - VLOOKUP(Table4[[#This Row],[Confidentiality]],'Reference - CVSSv3.0'!$B$15:$C$17,2,FALSE())) * (1 - VLOOKUP(Table4[[#This Row],[Integrity]],'Reference - CVSSv3.0'!$B$15:$C$17,2,FALSE())) *  (1 - VLOOKUP(Table4[[#This Row],[Availability]],'Reference - CVSSv3.0'!$B$15:$C$17,2,FALSE()))))</f>
        <v>0.52544799999999992</v>
      </c>
      <c r="T50" s="95">
        <f>IF(Table4[[#This Row],[Scope]]="Unchanged",6.42*Table4[[#This Row],[ISC Base]],IF(Table4[[#This Row],[Scope]]="Changed",7.52*(Table4[[#This Row],[ISC Base]] - 0.029) - 3.25 * POWER(Table4[[#This Row],[ISC Base]] - 0.02,15),NA()))</f>
        <v>3.3733761599999994</v>
      </c>
      <c r="U5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9" t="s">
        <v>240</v>
      </c>
      <c r="W50" s="95">
        <f>VLOOKUP(Table4[[#This Row],[Threat Event Initiation]],NIST_Scale_LOAI[],2,FALSE())</f>
        <v>0.2</v>
      </c>
      <c r="X5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1" t="s">
        <v>259</v>
      </c>
      <c r="AA50" s="249" t="s">
        <v>389</v>
      </c>
      <c r="AB50" s="110"/>
      <c r="AC50" s="39"/>
      <c r="AD50" s="39"/>
      <c r="AE50" s="39"/>
      <c r="AF50" s="94"/>
      <c r="AG50" s="94"/>
      <c r="AH50" s="94"/>
      <c r="AI50" s="94"/>
      <c r="AJ50" s="103"/>
      <c r="AK5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5" t="e">
        <f>(1 - ((1 - VLOOKUP(Table4[[#This Row],[ConfidentialityP]],'Reference - CVSSv3.0'!$B$15:$C$17,2,FALSE())) * (1 - VLOOKUP(Table4[[#This Row],[IntegrityP]],'Reference - CVSSv3.0'!$B$15:$C$17,2,FALSE())) *  (1 - VLOOKUP(Table4[[#This Row],[AvailabilityP]],'Reference - CVSSv3.0'!$B$15:$C$17,2,FALSE()))))</f>
        <v>#N/A</v>
      </c>
      <c r="AM50" s="95" t="e">
        <f>IF(Table4[[#This Row],[ScopeP]]="Unchanged",6.42*Table4[[#This Row],[ISC BaseP]],IF(Table4[[#This Row],[ScopeP]]="Changed",7.52*(Table4[[#This Row],[ISC BaseP]] - 0.029) - 3.25 * POWER(Table4[[#This Row],[ISC BaseP]] - 0.02,15),NA()))</f>
        <v>#N/A</v>
      </c>
      <c r="AN5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9"/>
    </row>
    <row r="51" spans="1:43" ht="196" x14ac:dyDescent="0.35">
      <c r="A51" s="88">
        <v>47</v>
      </c>
      <c r="B51" s="89" t="s">
        <v>155</v>
      </c>
      <c r="C51" s="99" t="str">
        <f>IF(VLOOKUP(Table4[[#This Row],[T ID]],Table5[#All],5,FALSE())="No","Not in scope",VLOOKUP(Table4[[#This Row],[T ID]],Table5[#All],2,FALSE()))</f>
        <v>Gaining Access
([S]TRID[E])</v>
      </c>
      <c r="D51" s="60" t="s">
        <v>95</v>
      </c>
      <c r="E51" s="99" t="str">
        <f>IF(VLOOKUP(Table4[[#This Row],[V ID]],Vulnerabilities[#All],3,FALSE())="No","Not in scope",VLOOKUP(Table4[[#This Row],[V ID]],Vulnerabilities[#All],2,FALSE()))</f>
        <v>Unprotected external USB Port on the tablet/devices.</v>
      </c>
      <c r="F51" s="100" t="s">
        <v>11</v>
      </c>
      <c r="G51" s="99" t="str">
        <f>VLOOKUP(Table4[[#This Row],[A ID]],Assets[#All],3,FALSE())</f>
        <v>Tablet Resources - web cam, microphone, OTG devices, Removable USB, Tablet Application, Network interfaces (Bluetooth, Wifi)</v>
      </c>
      <c r="H51" s="21" t="s">
        <v>256</v>
      </c>
      <c r="I51" s="21"/>
      <c r="J51" s="93" t="s">
        <v>240</v>
      </c>
      <c r="K51" s="93" t="s">
        <v>240</v>
      </c>
      <c r="L51" s="93" t="s">
        <v>240</v>
      </c>
      <c r="M51" s="94" t="s">
        <v>241</v>
      </c>
      <c r="N51" s="94" t="s">
        <v>240</v>
      </c>
      <c r="O51" s="94" t="s">
        <v>240</v>
      </c>
      <c r="P51" s="94" t="s">
        <v>242</v>
      </c>
      <c r="Q51" s="94" t="s">
        <v>243</v>
      </c>
      <c r="R5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5">
        <f>(1 - ((1 - VLOOKUP(Table4[[#This Row],[Confidentiality]],'Reference - CVSSv3.0'!$B$15:$C$17,2,FALSE())) * (1 - VLOOKUP(Table4[[#This Row],[Integrity]],'Reference - CVSSv3.0'!$B$15:$C$17,2,FALSE())) *  (1 - VLOOKUP(Table4[[#This Row],[Availability]],'Reference - CVSSv3.0'!$B$15:$C$17,2,FALSE()))))</f>
        <v>0.52544799999999992</v>
      </c>
      <c r="T51" s="95">
        <f>IF(Table4[[#This Row],[Scope]]="Unchanged",6.42*Table4[[#This Row],[ISC Base]],IF(Table4[[#This Row],[Scope]]="Changed",7.52*(Table4[[#This Row],[ISC Base]] - 0.029) - 3.25 * POWER(Table4[[#This Row],[ISC Base]] - 0.02,15),NA()))</f>
        <v>3.3733761599999994</v>
      </c>
      <c r="U51"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9" t="s">
        <v>240</v>
      </c>
      <c r="W51" s="95">
        <f>VLOOKUP(Table4[[#This Row],[Threat Event Initiation]],NIST_Scale_LOAI[],2,FALSE())</f>
        <v>0.2</v>
      </c>
      <c r="X5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21" t="s">
        <v>431</v>
      </c>
      <c r="AA51" s="21" t="s">
        <v>390</v>
      </c>
      <c r="AB51" s="110"/>
      <c r="AC51" s="39"/>
      <c r="AD51" s="39"/>
      <c r="AE51" s="39"/>
      <c r="AF51" s="94"/>
      <c r="AG51" s="94"/>
      <c r="AH51" s="94"/>
      <c r="AI51" s="94"/>
      <c r="AJ51" s="103"/>
      <c r="AK5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5" t="e">
        <f>(1 - ((1 - VLOOKUP(Table4[[#This Row],[ConfidentialityP]],'Reference - CVSSv3.0'!$B$15:$C$17,2,FALSE())) * (1 - VLOOKUP(Table4[[#This Row],[IntegrityP]],'Reference - CVSSv3.0'!$B$15:$C$17,2,FALSE())) *  (1 - VLOOKUP(Table4[[#This Row],[AvailabilityP]],'Reference - CVSSv3.0'!$B$15:$C$17,2,FALSE()))))</f>
        <v>#N/A</v>
      </c>
      <c r="AM51" s="95" t="e">
        <f>IF(Table4[[#This Row],[ScopeP]]="Unchanged",6.42*Table4[[#This Row],[ISC BaseP]],IF(Table4[[#This Row],[ScopeP]]="Changed",7.52*(Table4[[#This Row],[ISC BaseP]] - 0.029) - 3.25 * POWER(Table4[[#This Row],[ISC BaseP]] - 0.02,15),NA()))</f>
        <v>#N/A</v>
      </c>
      <c r="AN5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9"/>
    </row>
    <row r="52" spans="1:43" ht="207.25" customHeight="1" x14ac:dyDescent="0.35">
      <c r="A52" s="88">
        <v>48</v>
      </c>
      <c r="B52" s="89" t="s">
        <v>158</v>
      </c>
      <c r="C52" s="99" t="str">
        <f>IF(VLOOKUP(Table4[[#This Row],[T ID]],Table5[#All],5,FALSE())="No","Not in scope",VLOOKUP(Table4[[#This Row],[T ID]],Table5[#All],2,FALSE()))</f>
        <v>Maintaining Access
(TTP)</v>
      </c>
      <c r="D52" s="60" t="s">
        <v>67</v>
      </c>
      <c r="E52" s="99" t="str">
        <f>IF(VLOOKUP(Table4[[#This Row],[V ID]],Vulnerabilities[#All],3,FALSE())="No","Not in scope",VLOOKUP(Table4[[#This Row],[V ID]],Vulnerabilities[#All],2,FALSE()))</f>
        <v>Devices with default passwords needs to be checked for bruteforce attacks</v>
      </c>
      <c r="F52" s="108" t="s">
        <v>23</v>
      </c>
      <c r="G52" s="99" t="str">
        <f>VLOOKUP(Table4[[#This Row],[A ID]],Assets[#All],3,FALSE())</f>
        <v>Authentication/Authorisation method of all device(s)/app</v>
      </c>
      <c r="H52" s="21" t="s">
        <v>256</v>
      </c>
      <c r="I52" s="21"/>
      <c r="J52" s="93" t="s">
        <v>240</v>
      </c>
      <c r="K52" s="93" t="s">
        <v>240</v>
      </c>
      <c r="L52" s="93" t="s">
        <v>240</v>
      </c>
      <c r="M52" s="94" t="s">
        <v>241</v>
      </c>
      <c r="N52" s="94" t="s">
        <v>240</v>
      </c>
      <c r="O52" s="94" t="s">
        <v>240</v>
      </c>
      <c r="P52" s="94" t="s">
        <v>245</v>
      </c>
      <c r="Q52" s="94" t="s">
        <v>243</v>
      </c>
      <c r="R5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95">
        <f>(1 - ((1 - VLOOKUP(Table4[[#This Row],[Confidentiality]],'Reference - CVSSv3.0'!$B$15:$C$17,2,FALSE())) * (1 - VLOOKUP(Table4[[#This Row],[Integrity]],'Reference - CVSSv3.0'!$B$15:$C$17,2,FALSE())) *  (1 - VLOOKUP(Table4[[#This Row],[Availability]],'Reference - CVSSv3.0'!$B$15:$C$17,2,FALSE()))))</f>
        <v>0.52544799999999992</v>
      </c>
      <c r="T52" s="95">
        <f>IF(Table4[[#This Row],[Scope]]="Unchanged",6.42*Table4[[#This Row],[ISC Base]],IF(Table4[[#This Row],[Scope]]="Changed",7.52*(Table4[[#This Row],[ISC Base]] - 0.029) - 3.25 * POWER(Table4[[#This Row],[ISC Base]] - 0.02,15),NA()))</f>
        <v>3.3733761599999994</v>
      </c>
      <c r="U5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89" t="s">
        <v>251</v>
      </c>
      <c r="W52" s="95">
        <f>VLOOKUP(Table4[[#This Row],[Threat Event Initiation]],NIST_Scale_LOAI[],2,FALSE())</f>
        <v>0.5</v>
      </c>
      <c r="X5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1" t="s">
        <v>417</v>
      </c>
      <c r="AA52" s="107" t="s">
        <v>391</v>
      </c>
      <c r="AB52" s="110"/>
      <c r="AC52" s="39"/>
      <c r="AD52" s="39"/>
      <c r="AE52" s="39"/>
      <c r="AF52" s="94"/>
      <c r="AG52" s="94"/>
      <c r="AH52" s="94"/>
      <c r="AI52" s="94"/>
      <c r="AJ52" s="103"/>
      <c r="AK5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95" t="e">
        <f>(1 - ((1 - VLOOKUP(Table4[[#This Row],[ConfidentialityP]],'Reference - CVSSv3.0'!$B$15:$C$17,2,FALSE())) * (1 - VLOOKUP(Table4[[#This Row],[IntegrityP]],'Reference - CVSSv3.0'!$B$15:$C$17,2,FALSE())) *  (1 - VLOOKUP(Table4[[#This Row],[AvailabilityP]],'Reference - CVSSv3.0'!$B$15:$C$17,2,FALSE()))))</f>
        <v>#N/A</v>
      </c>
      <c r="AM52" s="95" t="e">
        <f>IF(Table4[[#This Row],[ScopeP]]="Unchanged",6.42*Table4[[#This Row],[ISC BaseP]],IF(Table4[[#This Row],[ScopeP]]="Changed",7.52*(Table4[[#This Row],[ISC BaseP]] - 0.029) - 3.25 * POWER(Table4[[#This Row],[ISC BaseP]] - 0.02,15),NA()))</f>
        <v>#N/A</v>
      </c>
      <c r="AN5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39"/>
    </row>
    <row r="53" spans="1:43" ht="392" x14ac:dyDescent="0.35">
      <c r="A53" s="88">
        <v>49</v>
      </c>
      <c r="B53" s="89" t="s">
        <v>158</v>
      </c>
      <c r="C53" s="99" t="str">
        <f>IF(VLOOKUP(Table4[[#This Row],[T ID]],Table5[#All],5,FALSE())="No","Not in scope",VLOOKUP(Table4[[#This Row],[T ID]],Table5[#All],2,FALSE()))</f>
        <v>Maintaining Access
(TTP)</v>
      </c>
      <c r="D53" s="60" t="s">
        <v>73</v>
      </c>
      <c r="E53" s="99" t="str">
        <f>IF(VLOOKUP(Table4[[#This Row],[V ID]],Vulnerabilities[#All],3,FALSE())="No","Not in scope",VLOOKUP(Table4[[#This Row],[V ID]],Vulnerabilities[#All],2,FALSE()))</f>
        <v>The password complexity or location vulnerability. Like weak passwords and hardcoded passwords.</v>
      </c>
      <c r="F53" s="108" t="s">
        <v>23</v>
      </c>
      <c r="G53" s="99" t="str">
        <f>VLOOKUP(Table4[[#This Row],[A ID]],Assets[#All],3,FALSE())</f>
        <v>Authentication/Authorisation method of all device(s)/app</v>
      </c>
      <c r="H53" s="21" t="s">
        <v>256</v>
      </c>
      <c r="I53" s="21"/>
      <c r="J53" s="93" t="s">
        <v>240</v>
      </c>
      <c r="K53" s="93" t="s">
        <v>240</v>
      </c>
      <c r="L53" s="93" t="s">
        <v>240</v>
      </c>
      <c r="M53" s="94" t="s">
        <v>249</v>
      </c>
      <c r="N53" s="94" t="s">
        <v>240</v>
      </c>
      <c r="O53" s="94" t="s">
        <v>240</v>
      </c>
      <c r="P53" s="94" t="s">
        <v>242</v>
      </c>
      <c r="Q53" s="94" t="s">
        <v>243</v>
      </c>
      <c r="R5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5">
        <f>(1 - ((1 - VLOOKUP(Table4[[#This Row],[Confidentiality]],'Reference - CVSSv3.0'!$B$15:$C$17,2,FALSE())) * (1 - VLOOKUP(Table4[[#This Row],[Integrity]],'Reference - CVSSv3.0'!$B$15:$C$17,2,FALSE())) *  (1 - VLOOKUP(Table4[[#This Row],[Availability]],'Reference - CVSSv3.0'!$B$15:$C$17,2,FALSE()))))</f>
        <v>0.52544799999999992</v>
      </c>
      <c r="T53" s="95">
        <f>IF(Table4[[#This Row],[Scope]]="Unchanged",6.42*Table4[[#This Row],[ISC Base]],IF(Table4[[#This Row],[Scope]]="Changed",7.52*(Table4[[#This Row],[ISC Base]] - 0.029) - 3.25 * POWER(Table4[[#This Row],[ISC Base]] - 0.02,15),NA()))</f>
        <v>3.3733761599999994</v>
      </c>
      <c r="U53"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9" t="s">
        <v>240</v>
      </c>
      <c r="W53" s="95">
        <f>VLOOKUP(Table4[[#This Row],[Threat Event Initiation]],NIST_Scale_LOAI[],2,FALSE())</f>
        <v>0.2</v>
      </c>
      <c r="X5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250" t="s">
        <v>418</v>
      </c>
      <c r="AA53" s="249" t="s">
        <v>392</v>
      </c>
      <c r="AB53" s="110"/>
      <c r="AC53" s="39"/>
      <c r="AD53" s="39"/>
      <c r="AE53" s="39"/>
      <c r="AF53" s="94"/>
      <c r="AG53" s="94"/>
      <c r="AH53" s="94"/>
      <c r="AI53" s="94"/>
      <c r="AJ53" s="103"/>
      <c r="AK5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5" t="e">
        <f>(1 - ((1 - VLOOKUP(Table4[[#This Row],[ConfidentialityP]],'Reference - CVSSv3.0'!$B$15:$C$17,2,FALSE())) * (1 - VLOOKUP(Table4[[#This Row],[IntegrityP]],'Reference - CVSSv3.0'!$B$15:$C$17,2,FALSE())) *  (1 - VLOOKUP(Table4[[#This Row],[AvailabilityP]],'Reference - CVSSv3.0'!$B$15:$C$17,2,FALSE()))))</f>
        <v>#N/A</v>
      </c>
      <c r="AM53" s="95" t="e">
        <f>IF(Table4[[#This Row],[ScopeP]]="Unchanged",6.42*Table4[[#This Row],[ISC BaseP]],IF(Table4[[#This Row],[ScopeP]]="Changed",7.52*(Table4[[#This Row],[ISC BaseP]] - 0.029) - 3.25 * POWER(Table4[[#This Row],[ISC BaseP]] - 0.02,15),NA()))</f>
        <v>#N/A</v>
      </c>
      <c r="AN5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9"/>
    </row>
    <row r="54" spans="1:43" ht="196" x14ac:dyDescent="0.35">
      <c r="A54" s="88">
        <v>50</v>
      </c>
      <c r="B54" s="89" t="s">
        <v>161</v>
      </c>
      <c r="C54" s="99" t="str">
        <f>IF(VLOOKUP(Table4[[#This Row],[T ID]],Table5[#All],5,FALSE())="No","Not in scope",VLOOKUP(Table4[[#This Row],[T ID]],Table5[#All],2,FALSE()))</f>
        <v>Clearing Track
(TTP)</v>
      </c>
      <c r="D54" s="60" t="s">
        <v>113</v>
      </c>
      <c r="E54" s="99" t="str">
        <f>IF(VLOOKUP(Table4[[#This Row],[V ID]],Vulnerabilities[#All],3,FALSE())="No","Not in scope",VLOOKUP(Table4[[#This Row],[V ID]],Vulnerabilities[#All],2,FALSE()))</f>
        <v>InSecure Configuration for Software/OS on Mobile Devices, Laptops, Workstations, and Servers</v>
      </c>
      <c r="F54" s="100" t="s">
        <v>11</v>
      </c>
      <c r="G54" s="99" t="str">
        <f>VLOOKUP(Table4[[#This Row],[A ID]],Assets[#All],3,FALSE())</f>
        <v>Tablet Resources - web cam, microphone, OTG devices, Removable USB, Tablet Application, Network interfaces (Bluetooth, Wifi)</v>
      </c>
      <c r="H54" s="21" t="s">
        <v>261</v>
      </c>
      <c r="I54" s="21"/>
      <c r="J54" s="93" t="s">
        <v>240</v>
      </c>
      <c r="K54" s="93" t="s">
        <v>240</v>
      </c>
      <c r="L54" s="93" t="s">
        <v>240</v>
      </c>
      <c r="M54" s="94" t="s">
        <v>249</v>
      </c>
      <c r="N54" s="94" t="s">
        <v>240</v>
      </c>
      <c r="O54" s="94" t="s">
        <v>240</v>
      </c>
      <c r="P54" s="94" t="s">
        <v>242</v>
      </c>
      <c r="Q54" s="94" t="s">
        <v>243</v>
      </c>
      <c r="R5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5">
        <f>(1 - ((1 - VLOOKUP(Table4[[#This Row],[Confidentiality]],'Reference - CVSSv3.0'!$B$15:$C$17,2,FALSE())) * (1 - VLOOKUP(Table4[[#This Row],[Integrity]],'Reference - CVSSv3.0'!$B$15:$C$17,2,FALSE())) *  (1 - VLOOKUP(Table4[[#This Row],[Availability]],'Reference - CVSSv3.0'!$B$15:$C$17,2,FALSE()))))</f>
        <v>0.52544799999999992</v>
      </c>
      <c r="T54" s="95">
        <f>IF(Table4[[#This Row],[Scope]]="Unchanged",6.42*Table4[[#This Row],[ISC Base]],IF(Table4[[#This Row],[Scope]]="Changed",7.52*(Table4[[#This Row],[ISC Base]] - 0.029) - 3.25 * POWER(Table4[[#This Row],[ISC Base]] - 0.02,15),NA()))</f>
        <v>3.3733761599999994</v>
      </c>
      <c r="U54"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9" t="s">
        <v>240</v>
      </c>
      <c r="W54" s="95">
        <f>VLOOKUP(Table4[[#This Row],[Threat Event Initiation]],NIST_Scale_LOAI[],2,FALSE())</f>
        <v>0.2</v>
      </c>
      <c r="X5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21" t="s">
        <v>431</v>
      </c>
      <c r="AA54" s="21" t="s">
        <v>248</v>
      </c>
      <c r="AB54" s="110"/>
      <c r="AC54" s="39"/>
      <c r="AD54" s="39"/>
      <c r="AE54" s="39"/>
      <c r="AF54" s="94"/>
      <c r="AG54" s="94"/>
      <c r="AH54" s="94"/>
      <c r="AI54" s="94"/>
      <c r="AJ54" s="103"/>
      <c r="AK5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5" t="e">
        <f>(1 - ((1 - VLOOKUP(Table4[[#This Row],[ConfidentialityP]],'Reference - CVSSv3.0'!$B$15:$C$17,2,FALSE())) * (1 - VLOOKUP(Table4[[#This Row],[IntegrityP]],'Reference - CVSSv3.0'!$B$15:$C$17,2,FALSE())) *  (1 - VLOOKUP(Table4[[#This Row],[AvailabilityP]],'Reference - CVSSv3.0'!$B$15:$C$17,2,FALSE()))))</f>
        <v>#N/A</v>
      </c>
      <c r="AM54" s="95" t="e">
        <f>IF(Table4[[#This Row],[ScopeP]]="Unchanged",6.42*Table4[[#This Row],[ISC BaseP]],IF(Table4[[#This Row],[ScopeP]]="Changed",7.52*(Table4[[#This Row],[ISC BaseP]] - 0.029) - 3.25 * POWER(Table4[[#This Row],[ISC BaseP]] - 0.02,15),NA()))</f>
        <v>#N/A</v>
      </c>
      <c r="AN5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9"/>
    </row>
    <row r="55" spans="1:43" ht="196" x14ac:dyDescent="0.35">
      <c r="A55" s="88">
        <v>51</v>
      </c>
      <c r="B55" s="89" t="s">
        <v>161</v>
      </c>
      <c r="C55" s="99" t="str">
        <f>IF(VLOOKUP(Table4[[#This Row],[T ID]],Table5[#All],5,FALSE())="No","Not in scope",VLOOKUP(Table4[[#This Row],[T ID]],Table5[#All],2,FALSE()))</f>
        <v>Clearing Track
(TTP)</v>
      </c>
      <c r="D55" s="60" t="s">
        <v>117</v>
      </c>
      <c r="E55" s="99" t="str">
        <f>IF(VLOOKUP(Table4[[#This Row],[V ID]],Vulnerabilities[#All],3,FALSE())="No","Not in scope",VLOOKUP(Table4[[#This Row],[V ID]],Vulnerabilities[#All],2,FALSE()))</f>
        <v>Outdated  - Software/Hardware</v>
      </c>
      <c r="F55" s="100" t="s">
        <v>11</v>
      </c>
      <c r="G55" s="99" t="str">
        <f>VLOOKUP(Table4[[#This Row],[A ID]],Assets[#All],3,FALSE())</f>
        <v>Tablet Resources - web cam, microphone, OTG devices, Removable USB, Tablet Application, Network interfaces (Bluetooth, Wifi)</v>
      </c>
      <c r="H55" s="21" t="s">
        <v>261</v>
      </c>
      <c r="I55" s="21"/>
      <c r="J55" s="93" t="s">
        <v>240</v>
      </c>
      <c r="K55" s="93" t="s">
        <v>240</v>
      </c>
      <c r="L55" s="93" t="s">
        <v>240</v>
      </c>
      <c r="M55" s="94" t="s">
        <v>241</v>
      </c>
      <c r="N55" s="94" t="s">
        <v>240</v>
      </c>
      <c r="O55" s="94" t="s">
        <v>240</v>
      </c>
      <c r="P55" s="94" t="s">
        <v>245</v>
      </c>
      <c r="Q55" s="94" t="s">
        <v>243</v>
      </c>
      <c r="R5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5">
        <f>(1 - ((1 - VLOOKUP(Table4[[#This Row],[Confidentiality]],'Reference - CVSSv3.0'!$B$15:$C$17,2,FALSE())) * (1 - VLOOKUP(Table4[[#This Row],[Integrity]],'Reference - CVSSv3.0'!$B$15:$C$17,2,FALSE())) *  (1 - VLOOKUP(Table4[[#This Row],[Availability]],'Reference - CVSSv3.0'!$B$15:$C$17,2,FALSE()))))</f>
        <v>0.52544799999999992</v>
      </c>
      <c r="T55" s="95">
        <f>IF(Table4[[#This Row],[Scope]]="Unchanged",6.42*Table4[[#This Row],[ISC Base]],IF(Table4[[#This Row],[Scope]]="Changed",7.52*(Table4[[#This Row],[ISC Base]] - 0.029) - 3.25 * POWER(Table4[[#This Row],[ISC Base]] - 0.02,15),NA()))</f>
        <v>3.3733761599999994</v>
      </c>
      <c r="U55"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9" t="s">
        <v>251</v>
      </c>
      <c r="W55" s="95">
        <f>VLOOKUP(Table4[[#This Row],[Threat Event Initiation]],NIST_Scale_LOAI[],2,FALSE())</f>
        <v>0.5</v>
      </c>
      <c r="X5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21" t="s">
        <v>431</v>
      </c>
      <c r="AA55" s="21" t="s">
        <v>248</v>
      </c>
      <c r="AB55" s="110"/>
      <c r="AC55" s="39"/>
      <c r="AD55" s="39"/>
      <c r="AE55" s="39"/>
      <c r="AF55" s="94"/>
      <c r="AG55" s="94"/>
      <c r="AH55" s="94"/>
      <c r="AI55" s="94"/>
      <c r="AJ55" s="103"/>
      <c r="AK5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5" t="e">
        <f>(1 - ((1 - VLOOKUP(Table4[[#This Row],[ConfidentialityP]],'Reference - CVSSv3.0'!$B$15:$C$17,2,FALSE())) * (1 - VLOOKUP(Table4[[#This Row],[IntegrityP]],'Reference - CVSSv3.0'!$B$15:$C$17,2,FALSE())) *  (1 - VLOOKUP(Table4[[#This Row],[AvailabilityP]],'Reference - CVSSv3.0'!$B$15:$C$17,2,FALSE()))))</f>
        <v>#N/A</v>
      </c>
      <c r="AM55" s="95" t="e">
        <f>IF(Table4[[#This Row],[ScopeP]]="Unchanged",6.42*Table4[[#This Row],[ISC BaseP]],IF(Table4[[#This Row],[ScopeP]]="Changed",7.52*(Table4[[#This Row],[ISC BaseP]] - 0.029) - 3.25 * POWER(Table4[[#This Row],[ISC BaseP]] - 0.02,15),NA()))</f>
        <v>#N/A</v>
      </c>
      <c r="AN5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9"/>
    </row>
    <row r="56" spans="1:43" ht="196" x14ac:dyDescent="0.35">
      <c r="A56" s="88">
        <v>52</v>
      </c>
      <c r="B56" s="89" t="s">
        <v>161</v>
      </c>
      <c r="C56" s="99" t="str">
        <f>IF(VLOOKUP(Table4[[#This Row],[T ID]],Table5[#All],5,FALSE())="No","Not in scope",VLOOKUP(Table4[[#This Row],[T ID]],Table5[#All],2,FALSE()))</f>
        <v>Clearing Track
(TTP)</v>
      </c>
      <c r="D56" s="60" t="s">
        <v>82</v>
      </c>
      <c r="E56" s="99" t="str">
        <f>IF(VLOOKUP(Table4[[#This Row],[V ID]],Vulnerabilities[#All],3,FALSE())="No","Not in scope",VLOOKUP(Table4[[#This Row],[V ID]],Vulnerabilities[#All],2,FALSE()))</f>
        <v>Lack of configuration controls for IT assets in the informaion system plan</v>
      </c>
      <c r="F56" s="100" t="s">
        <v>11</v>
      </c>
      <c r="G56" s="99" t="str">
        <f>VLOOKUP(Table4[[#This Row],[A ID]],Assets[#All],3,FALSE())</f>
        <v>Tablet Resources - web cam, microphone, OTG devices, Removable USB, Tablet Application, Network interfaces (Bluetooth, Wifi)</v>
      </c>
      <c r="H56" s="21" t="s">
        <v>261</v>
      </c>
      <c r="I56" s="21"/>
      <c r="J56" s="93" t="s">
        <v>240</v>
      </c>
      <c r="K56" s="93" t="s">
        <v>240</v>
      </c>
      <c r="L56" s="93" t="s">
        <v>240</v>
      </c>
      <c r="M56" s="94" t="s">
        <v>249</v>
      </c>
      <c r="N56" s="94" t="s">
        <v>240</v>
      </c>
      <c r="O56" s="94" t="s">
        <v>240</v>
      </c>
      <c r="P56" s="94" t="s">
        <v>242</v>
      </c>
      <c r="Q56" s="94" t="s">
        <v>243</v>
      </c>
      <c r="R5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5">
        <f>(1 - ((1 - VLOOKUP(Table4[[#This Row],[Confidentiality]],'Reference - CVSSv3.0'!$B$15:$C$17,2,FALSE())) * (1 - VLOOKUP(Table4[[#This Row],[Integrity]],'Reference - CVSSv3.0'!$B$15:$C$17,2,FALSE())) *  (1 - VLOOKUP(Table4[[#This Row],[Availability]],'Reference - CVSSv3.0'!$B$15:$C$17,2,FALSE()))))</f>
        <v>0.52544799999999992</v>
      </c>
      <c r="T56" s="95">
        <f>IF(Table4[[#This Row],[Scope]]="Unchanged",6.42*Table4[[#This Row],[ISC Base]],IF(Table4[[#This Row],[Scope]]="Changed",7.52*(Table4[[#This Row],[ISC Base]] - 0.029) - 3.25 * POWER(Table4[[#This Row],[ISC Base]] - 0.02,15),NA()))</f>
        <v>3.3733761599999994</v>
      </c>
      <c r="U56"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9" t="s">
        <v>240</v>
      </c>
      <c r="W56" s="95">
        <f>VLOOKUP(Table4[[#This Row],[Threat Event Initiation]],NIST_Scale_LOAI[],2,FALSE())</f>
        <v>0.2</v>
      </c>
      <c r="X5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21" t="s">
        <v>431</v>
      </c>
      <c r="AA56" s="21" t="s">
        <v>248</v>
      </c>
      <c r="AB56" s="110"/>
      <c r="AC56" s="39"/>
      <c r="AD56" s="39"/>
      <c r="AE56" s="39"/>
      <c r="AF56" s="94"/>
      <c r="AG56" s="94"/>
      <c r="AH56" s="94"/>
      <c r="AI56" s="94"/>
      <c r="AJ56" s="103"/>
      <c r="AK5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5" t="e">
        <f>(1 - ((1 - VLOOKUP(Table4[[#This Row],[ConfidentialityP]],'Reference - CVSSv3.0'!$B$15:$C$17,2,FALSE())) * (1 - VLOOKUP(Table4[[#This Row],[IntegrityP]],'Reference - CVSSv3.0'!$B$15:$C$17,2,FALSE())) *  (1 - VLOOKUP(Table4[[#This Row],[AvailabilityP]],'Reference - CVSSv3.0'!$B$15:$C$17,2,FALSE()))))</f>
        <v>#N/A</v>
      </c>
      <c r="AM56" s="95" t="e">
        <f>IF(Table4[[#This Row],[ScopeP]]="Unchanged",6.42*Table4[[#This Row],[ISC BaseP]],IF(Table4[[#This Row],[ScopeP]]="Changed",7.52*(Table4[[#This Row],[ISC BaseP]] - 0.029) - 3.25 * POWER(Table4[[#This Row],[ISC BaseP]] - 0.02,15),NA()))</f>
        <v>#N/A</v>
      </c>
      <c r="AN5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9"/>
    </row>
    <row r="57" spans="1:43" ht="196" x14ac:dyDescent="0.35">
      <c r="A57" s="88">
        <v>53</v>
      </c>
      <c r="B57" s="89" t="s">
        <v>161</v>
      </c>
      <c r="C57" s="99" t="str">
        <f>IF(VLOOKUP(Table4[[#This Row],[T ID]],Table5[#All],5,FALSE())="No","Not in scope",VLOOKUP(Table4[[#This Row],[T ID]],Table5[#All],2,FALSE()))</f>
        <v>Clearing Track
(TTP)</v>
      </c>
      <c r="D57" s="91" t="s">
        <v>82</v>
      </c>
      <c r="E57" s="99" t="str">
        <f>IF(VLOOKUP(Table4[[#This Row],[V ID]],Vulnerabilities[#All],3,FALSE())="No","Not in scope",VLOOKUP(Table4[[#This Row],[V ID]],Vulnerabilities[#All],2,FALSE()))</f>
        <v>Lack of configuration controls for IT assets in the informaion system plan</v>
      </c>
      <c r="F57" s="100" t="s">
        <v>26</v>
      </c>
      <c r="G57" s="99" t="str">
        <f>VLOOKUP(Table4[[#This Row],[A ID]],Assets[#All],3,FALSE())</f>
        <v>Device Maintainence tool (Hardware/Software)</v>
      </c>
      <c r="H57" s="21" t="s">
        <v>261</v>
      </c>
      <c r="I57" s="21"/>
      <c r="J57" s="93" t="s">
        <v>240</v>
      </c>
      <c r="K57" s="93" t="s">
        <v>240</v>
      </c>
      <c r="L57" s="93" t="s">
        <v>240</v>
      </c>
      <c r="M57" s="94" t="s">
        <v>249</v>
      </c>
      <c r="N57" s="94" t="s">
        <v>240</v>
      </c>
      <c r="O57" s="94" t="s">
        <v>240</v>
      </c>
      <c r="P57" s="94" t="s">
        <v>242</v>
      </c>
      <c r="Q57" s="94" t="s">
        <v>243</v>
      </c>
      <c r="R5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5">
        <f>(1 - ((1 - VLOOKUP(Table4[[#This Row],[Confidentiality]],'Reference - CVSSv3.0'!$B$15:$C$17,2,FALSE())) * (1 - VLOOKUP(Table4[[#This Row],[Integrity]],'Reference - CVSSv3.0'!$B$15:$C$17,2,FALSE())) *  (1 - VLOOKUP(Table4[[#This Row],[Availability]],'Reference - CVSSv3.0'!$B$15:$C$17,2,FALSE()))))</f>
        <v>0.52544799999999992</v>
      </c>
      <c r="T57" s="95">
        <f>IF(Table4[[#This Row],[Scope]]="Unchanged",6.42*Table4[[#This Row],[ISC Base]],IF(Table4[[#This Row],[Scope]]="Changed",7.52*(Table4[[#This Row],[ISC Base]] - 0.029) - 3.25 * POWER(Table4[[#This Row],[ISC Base]] - 0.02,15),NA()))</f>
        <v>3.3733761599999994</v>
      </c>
      <c r="U57" s="95">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9" t="s">
        <v>240</v>
      </c>
      <c r="W57" s="95">
        <f>VLOOKUP(Table4[[#This Row],[Threat Event Initiation]],NIST_Scale_LOAI[],2,FALSE())</f>
        <v>0.2</v>
      </c>
      <c r="X5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21" t="s">
        <v>431</v>
      </c>
      <c r="AA57" s="21" t="s">
        <v>248</v>
      </c>
      <c r="AB57" s="110"/>
      <c r="AC57" s="39"/>
      <c r="AD57" s="39"/>
      <c r="AE57" s="39"/>
      <c r="AF57" s="94"/>
      <c r="AG57" s="94"/>
      <c r="AH57" s="94"/>
      <c r="AI57" s="94"/>
      <c r="AJ57" s="103"/>
      <c r="AK5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5" t="e">
        <f>(1 - ((1 - VLOOKUP(Table4[[#This Row],[ConfidentialityP]],'Reference - CVSSv3.0'!$B$15:$C$17,2,FALSE())) * (1 - VLOOKUP(Table4[[#This Row],[IntegrityP]],'Reference - CVSSv3.0'!$B$15:$C$17,2,FALSE())) *  (1 - VLOOKUP(Table4[[#This Row],[AvailabilityP]],'Reference - CVSSv3.0'!$B$15:$C$17,2,FALSE()))))</f>
        <v>#N/A</v>
      </c>
      <c r="AM57" s="95" t="e">
        <f>IF(Table4[[#This Row],[ScopeP]]="Unchanged",6.42*Table4[[#This Row],[ISC BaseP]],IF(Table4[[#This Row],[ScopeP]]="Changed",7.52*(Table4[[#This Row],[ISC BaseP]] - 0.029) - 3.25 * POWER(Table4[[#This Row],[ISC BaseP]] - 0.02,15),NA()))</f>
        <v>#N/A</v>
      </c>
      <c r="AN5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9"/>
    </row>
    <row r="58" spans="1:43" ht="182" x14ac:dyDescent="0.35">
      <c r="A58" s="88">
        <v>54</v>
      </c>
      <c r="B58" s="89" t="s">
        <v>161</v>
      </c>
      <c r="C58" s="99" t="str">
        <f>IF(VLOOKUP(Table4[[#This Row],[T ID]],Table5[#All],5,FALSE())="No","Not in scope",VLOOKUP(Table4[[#This Row],[T ID]],Table5[#All],2,FALSE()))</f>
        <v>Clearing Track
(TTP)</v>
      </c>
      <c r="D58" s="60" t="s">
        <v>84</v>
      </c>
      <c r="E58" s="99" t="str">
        <f>IF(VLOOKUP(Table4[[#This Row],[V ID]],Vulnerabilities[#All],3,FALSE())="No","Not in scope",VLOOKUP(Table4[[#This Row],[V ID]],Vulnerabilities[#All],2,FALSE()))</f>
        <v>Ineffective patch management of firware, OS and applications thoughout the information system plan</v>
      </c>
      <c r="F58" s="100" t="s">
        <v>11</v>
      </c>
      <c r="G58" s="99" t="str">
        <f>VLOOKUP(Table4[[#This Row],[A ID]],Assets[#All],3,FALSE())</f>
        <v>Tablet Resources - web cam, microphone, OTG devices, Removable USB, Tablet Application, Network interfaces (Bluetooth, Wifi)</v>
      </c>
      <c r="H58" s="21" t="s">
        <v>261</v>
      </c>
      <c r="I58" s="21"/>
      <c r="J58" s="93" t="s">
        <v>245</v>
      </c>
      <c r="K58" s="93" t="s">
        <v>240</v>
      </c>
      <c r="L58" s="93" t="s">
        <v>240</v>
      </c>
      <c r="M58" s="94" t="s">
        <v>249</v>
      </c>
      <c r="N58" s="94" t="s">
        <v>240</v>
      </c>
      <c r="O58" s="94" t="s">
        <v>250</v>
      </c>
      <c r="P58" s="94" t="s">
        <v>245</v>
      </c>
      <c r="Q58" s="94" t="s">
        <v>243</v>
      </c>
      <c r="R5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5">
        <f>(1 - ((1 - VLOOKUP(Table4[[#This Row],[Confidentiality]],'Reference - CVSSv3.0'!$B$15:$C$17,2,FALSE())) * (1 - VLOOKUP(Table4[[#This Row],[Integrity]],'Reference - CVSSv3.0'!$B$15:$C$17,2,FALSE())) *  (1 - VLOOKUP(Table4[[#This Row],[Availability]],'Reference - CVSSv3.0'!$B$15:$C$17,2,FALSE()))))</f>
        <v>0.39159999999999995</v>
      </c>
      <c r="T58" s="95">
        <f>IF(Table4[[#This Row],[Scope]]="Unchanged",6.42*Table4[[#This Row],[ISC Base]],IF(Table4[[#This Row],[Scope]]="Changed",7.52*(Table4[[#This Row],[ISC Base]] - 0.029) - 3.25 * POWER(Table4[[#This Row],[ISC Base]] - 0.02,15),NA()))</f>
        <v>2.5140719999999996</v>
      </c>
      <c r="U58" s="95">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9" t="s">
        <v>251</v>
      </c>
      <c r="W58" s="95">
        <f>VLOOKUP(Table4[[#This Row],[Threat Event Initiation]],NIST_Scale_LOAI[],2,FALSE())</f>
        <v>0.5</v>
      </c>
      <c r="X5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21" t="s">
        <v>431</v>
      </c>
      <c r="AA58" s="21" t="s">
        <v>262</v>
      </c>
      <c r="AB58" s="110"/>
      <c r="AC58" s="39"/>
      <c r="AD58" s="39"/>
      <c r="AE58" s="39"/>
      <c r="AF58" s="94"/>
      <c r="AG58" s="94"/>
      <c r="AH58" s="94"/>
      <c r="AI58" s="94"/>
      <c r="AJ58" s="103"/>
      <c r="AK5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5" t="e">
        <f>(1 - ((1 - VLOOKUP(Table4[[#This Row],[ConfidentialityP]],'Reference - CVSSv3.0'!$B$15:$C$17,2,FALSE())) * (1 - VLOOKUP(Table4[[#This Row],[IntegrityP]],'Reference - CVSSv3.0'!$B$15:$C$17,2,FALSE())) *  (1 - VLOOKUP(Table4[[#This Row],[AvailabilityP]],'Reference - CVSSv3.0'!$B$15:$C$17,2,FALSE()))))</f>
        <v>#N/A</v>
      </c>
      <c r="AM58" s="95" t="e">
        <f>IF(Table4[[#This Row],[ScopeP]]="Unchanged",6.42*Table4[[#This Row],[ISC BaseP]],IF(Table4[[#This Row],[ScopeP]]="Changed",7.52*(Table4[[#This Row],[ISC BaseP]] - 0.029) - 3.25 * POWER(Table4[[#This Row],[ISC BaseP]] - 0.02,15),NA()))</f>
        <v>#N/A</v>
      </c>
      <c r="AN5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9"/>
    </row>
    <row r="59" spans="1:43" ht="182" x14ac:dyDescent="0.35">
      <c r="A59" s="88">
        <v>55</v>
      </c>
      <c r="B59" s="89" t="s">
        <v>161</v>
      </c>
      <c r="C59" s="99" t="str">
        <f>IF(VLOOKUP(Table4[[#This Row],[T ID]],Table5[#All],5,FALSE())="No","Not in scope",VLOOKUP(Table4[[#This Row],[T ID]],Table5[#All],2,FALSE()))</f>
        <v>Clearing Track
(TTP)</v>
      </c>
      <c r="D59" s="60" t="s">
        <v>84</v>
      </c>
      <c r="E59" s="99" t="str">
        <f>IF(VLOOKUP(Table4[[#This Row],[V ID]],Vulnerabilities[#All],3,FALSE())="No","Not in scope",VLOOKUP(Table4[[#This Row],[V ID]],Vulnerabilities[#All],2,FALSE()))</f>
        <v>Ineffective patch management of firware, OS and applications thoughout the information system plan</v>
      </c>
      <c r="F59" s="100" t="s">
        <v>26</v>
      </c>
      <c r="G59" s="99" t="str">
        <f>VLOOKUP(Table4[[#This Row],[A ID]],Assets[#All],3,FALSE())</f>
        <v>Device Maintainence tool (Hardware/Software)</v>
      </c>
      <c r="H59" s="21" t="s">
        <v>261</v>
      </c>
      <c r="I59" s="21"/>
      <c r="J59" s="93" t="s">
        <v>240</v>
      </c>
      <c r="K59" s="93" t="s">
        <v>240</v>
      </c>
      <c r="L59" s="93" t="s">
        <v>240</v>
      </c>
      <c r="M59" s="94" t="s">
        <v>249</v>
      </c>
      <c r="N59" s="94" t="s">
        <v>240</v>
      </c>
      <c r="O59" s="94" t="s">
        <v>240</v>
      </c>
      <c r="P59" s="94" t="s">
        <v>245</v>
      </c>
      <c r="Q59" s="94" t="s">
        <v>243</v>
      </c>
      <c r="R5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5">
        <f>(1 - ((1 - VLOOKUP(Table4[[#This Row],[Confidentiality]],'Reference - CVSSv3.0'!$B$15:$C$17,2,FALSE())) * (1 - VLOOKUP(Table4[[#This Row],[Integrity]],'Reference - CVSSv3.0'!$B$15:$C$17,2,FALSE())) *  (1 - VLOOKUP(Table4[[#This Row],[Availability]],'Reference - CVSSv3.0'!$B$15:$C$17,2,FALSE()))))</f>
        <v>0.52544799999999992</v>
      </c>
      <c r="T59" s="95">
        <f>IF(Table4[[#This Row],[Scope]]="Unchanged",6.42*Table4[[#This Row],[ISC Base]],IF(Table4[[#This Row],[Scope]]="Changed",7.52*(Table4[[#This Row],[ISC Base]] - 0.029) - 3.25 * POWER(Table4[[#This Row],[ISC Base]] - 0.02,15),NA()))</f>
        <v>3.3733761599999994</v>
      </c>
      <c r="U59"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9" t="s">
        <v>240</v>
      </c>
      <c r="W59" s="95">
        <f>VLOOKUP(Table4[[#This Row],[Threat Event Initiation]],NIST_Scale_LOAI[],2,FALSE())</f>
        <v>0.2</v>
      </c>
      <c r="X5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21" t="s">
        <v>431</v>
      </c>
      <c r="AA59" s="21" t="s">
        <v>262</v>
      </c>
      <c r="AB59" s="110"/>
      <c r="AC59" s="39"/>
      <c r="AD59" s="39"/>
      <c r="AE59" s="39"/>
      <c r="AF59" s="94"/>
      <c r="AG59" s="94"/>
      <c r="AH59" s="94"/>
      <c r="AI59" s="94"/>
      <c r="AJ59" s="103"/>
      <c r="AK5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5" t="e">
        <f>(1 - ((1 - VLOOKUP(Table4[[#This Row],[ConfidentialityP]],'Reference - CVSSv3.0'!$B$15:$C$17,2,FALSE())) * (1 - VLOOKUP(Table4[[#This Row],[IntegrityP]],'Reference - CVSSv3.0'!$B$15:$C$17,2,FALSE())) *  (1 - VLOOKUP(Table4[[#This Row],[AvailabilityP]],'Reference - CVSSv3.0'!$B$15:$C$17,2,FALSE()))))</f>
        <v>#N/A</v>
      </c>
      <c r="AM59" s="95" t="e">
        <f>IF(Table4[[#This Row],[ScopeP]]="Unchanged",6.42*Table4[[#This Row],[ISC BaseP]],IF(Table4[[#This Row],[ScopeP]]="Changed",7.52*(Table4[[#This Row],[ISC BaseP]] - 0.029) - 3.25 * POWER(Table4[[#This Row],[ISC BaseP]] - 0.02,15),NA()))</f>
        <v>#N/A</v>
      </c>
      <c r="AN5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9"/>
    </row>
    <row r="60" spans="1:43" ht="196" x14ac:dyDescent="0.35">
      <c r="A60" s="88">
        <v>56</v>
      </c>
      <c r="B60" s="89" t="s">
        <v>161</v>
      </c>
      <c r="C60" s="99" t="str">
        <f>IF(VLOOKUP(Table4[[#This Row],[T ID]],Table5[#All],5,FALSE())="No","Not in scope",VLOOKUP(Table4[[#This Row],[T ID]],Table5[#All],2,FALSE()))</f>
        <v>Clearing Track
(TTP)</v>
      </c>
      <c r="D60" s="60" t="s">
        <v>84</v>
      </c>
      <c r="E60" s="99" t="str">
        <f>IF(VLOOKUP(Table4[[#This Row],[V ID]],Vulnerabilities[#All],3,FALSE())="No","Not in scope",VLOOKUP(Table4[[#This Row],[V ID]],Vulnerabilities[#All],2,FALSE()))</f>
        <v>Ineffective patch management of firware, OS and applications thoughout the information system plan</v>
      </c>
      <c r="F60" s="100" t="s">
        <v>15</v>
      </c>
      <c r="G60" s="99" t="str">
        <f>VLOOKUP(Table4[[#This Row],[A ID]],Assets[#All],3,FALSE())</f>
        <v>Tablet OS/network details &amp; Tablet Application</v>
      </c>
      <c r="H60" s="21" t="s">
        <v>261</v>
      </c>
      <c r="I60" s="21"/>
      <c r="J60" s="93" t="s">
        <v>240</v>
      </c>
      <c r="K60" s="93" t="s">
        <v>240</v>
      </c>
      <c r="L60" s="93" t="s">
        <v>240</v>
      </c>
      <c r="M60" s="94" t="s">
        <v>249</v>
      </c>
      <c r="N60" s="94" t="s">
        <v>240</v>
      </c>
      <c r="O60" s="94" t="s">
        <v>240</v>
      </c>
      <c r="P60" s="94" t="s">
        <v>245</v>
      </c>
      <c r="Q60" s="94" t="s">
        <v>243</v>
      </c>
      <c r="R6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5">
        <f>(1 - ((1 - VLOOKUP(Table4[[#This Row],[Confidentiality]],'Reference - CVSSv3.0'!$B$15:$C$17,2,FALSE())) * (1 - VLOOKUP(Table4[[#This Row],[Integrity]],'Reference - CVSSv3.0'!$B$15:$C$17,2,FALSE())) *  (1 - VLOOKUP(Table4[[#This Row],[Availability]],'Reference - CVSSv3.0'!$B$15:$C$17,2,FALSE()))))</f>
        <v>0.52544799999999992</v>
      </c>
      <c r="T60" s="95">
        <f>IF(Table4[[#This Row],[Scope]]="Unchanged",6.42*Table4[[#This Row],[ISC Base]],IF(Table4[[#This Row],[Scope]]="Changed",7.52*(Table4[[#This Row],[ISC Base]] - 0.029) - 3.25 * POWER(Table4[[#This Row],[ISC Base]] - 0.02,15),NA()))</f>
        <v>3.3733761599999994</v>
      </c>
      <c r="U60"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9" t="s">
        <v>240</v>
      </c>
      <c r="W60" s="95">
        <f>VLOOKUP(Table4[[#This Row],[Threat Event Initiation]],NIST_Scale_LOAI[],2,FALSE())</f>
        <v>0.2</v>
      </c>
      <c r="X6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21" t="s">
        <v>431</v>
      </c>
      <c r="AA60" s="21" t="s">
        <v>248</v>
      </c>
      <c r="AB60" s="110"/>
      <c r="AC60" s="39"/>
      <c r="AD60" s="39"/>
      <c r="AE60" s="39"/>
      <c r="AF60" s="94"/>
      <c r="AG60" s="94"/>
      <c r="AH60" s="94"/>
      <c r="AI60" s="94"/>
      <c r="AJ60" s="103"/>
      <c r="AK6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5" t="e">
        <f>(1 - ((1 - VLOOKUP(Table4[[#This Row],[ConfidentialityP]],'Reference - CVSSv3.0'!$B$15:$C$17,2,FALSE())) * (1 - VLOOKUP(Table4[[#This Row],[IntegrityP]],'Reference - CVSSv3.0'!$B$15:$C$17,2,FALSE())) *  (1 - VLOOKUP(Table4[[#This Row],[AvailabilityP]],'Reference - CVSSv3.0'!$B$15:$C$17,2,FALSE()))))</f>
        <v>#N/A</v>
      </c>
      <c r="AM60" s="95" t="e">
        <f>IF(Table4[[#This Row],[ScopeP]]="Unchanged",6.42*Table4[[#This Row],[ISC BaseP]],IF(Table4[[#This Row],[ScopeP]]="Changed",7.52*(Table4[[#This Row],[ISC BaseP]] - 0.029) - 3.25 * POWER(Table4[[#This Row],[ISC BaseP]] - 0.02,15),NA()))</f>
        <v>#N/A</v>
      </c>
      <c r="AN6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9"/>
    </row>
    <row r="61" spans="1:43" ht="196" x14ac:dyDescent="0.35">
      <c r="A61" s="88">
        <v>57</v>
      </c>
      <c r="B61" s="89" t="s">
        <v>161</v>
      </c>
      <c r="C61" s="99" t="str">
        <f>IF(VLOOKUP(Table4[[#This Row],[T ID]],Table5[#All],5,FALSE())="No","Not in scope",VLOOKUP(Table4[[#This Row],[T ID]],Table5[#All],2,FALSE()))</f>
        <v>Clearing Track
(TTP)</v>
      </c>
      <c r="D61" s="60" t="s">
        <v>88</v>
      </c>
      <c r="E61" s="99" t="str">
        <f>IF(VLOOKUP(Table4[[#This Row],[V ID]],Vulnerabilities[#All],3,FALSE())="No","Not in scope",VLOOKUP(Table4[[#This Row],[V ID]],Vulnerabilities[#All],2,FALSE()))</f>
        <v>The  static connection digaram between devices and applications with provision for periodic updation as per changes</v>
      </c>
      <c r="F61" s="100" t="s">
        <v>26</v>
      </c>
      <c r="G61" s="99" t="str">
        <f>VLOOKUP(Table4[[#This Row],[A ID]],Assets[#All],3,FALSE())</f>
        <v>Device Maintainence tool (Hardware/Software)</v>
      </c>
      <c r="H61" s="21" t="s">
        <v>261</v>
      </c>
      <c r="I61" s="21"/>
      <c r="J61" s="93" t="s">
        <v>240</v>
      </c>
      <c r="K61" s="93" t="s">
        <v>240</v>
      </c>
      <c r="L61" s="93" t="s">
        <v>240</v>
      </c>
      <c r="M61" s="94" t="s">
        <v>249</v>
      </c>
      <c r="N61" s="94" t="s">
        <v>240</v>
      </c>
      <c r="O61" s="94" t="s">
        <v>240</v>
      </c>
      <c r="P61" s="94" t="s">
        <v>245</v>
      </c>
      <c r="Q61" s="94" t="s">
        <v>243</v>
      </c>
      <c r="R6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5">
        <f>(1 - ((1 - VLOOKUP(Table4[[#This Row],[Confidentiality]],'Reference - CVSSv3.0'!$B$15:$C$17,2,FALSE())) * (1 - VLOOKUP(Table4[[#This Row],[Integrity]],'Reference - CVSSv3.0'!$B$15:$C$17,2,FALSE())) *  (1 - VLOOKUP(Table4[[#This Row],[Availability]],'Reference - CVSSv3.0'!$B$15:$C$17,2,FALSE()))))</f>
        <v>0.52544799999999992</v>
      </c>
      <c r="T61" s="95">
        <f>IF(Table4[[#This Row],[Scope]]="Unchanged",6.42*Table4[[#This Row],[ISC Base]],IF(Table4[[#This Row],[Scope]]="Changed",7.52*(Table4[[#This Row],[ISC Base]] - 0.029) - 3.25 * POWER(Table4[[#This Row],[ISC Base]] - 0.02,15),NA()))</f>
        <v>3.3733761599999994</v>
      </c>
      <c r="U61"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9" t="s">
        <v>240</v>
      </c>
      <c r="W61" s="95">
        <f>VLOOKUP(Table4[[#This Row],[Threat Event Initiation]],NIST_Scale_LOAI[],2,FALSE())</f>
        <v>0.2</v>
      </c>
      <c r="X6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21" t="s">
        <v>431</v>
      </c>
      <c r="AA61" s="21" t="s">
        <v>248</v>
      </c>
      <c r="AB61" s="110"/>
      <c r="AC61" s="39"/>
      <c r="AD61" s="39"/>
      <c r="AE61" s="39"/>
      <c r="AF61" s="94"/>
      <c r="AG61" s="94"/>
      <c r="AH61" s="94"/>
      <c r="AI61" s="94"/>
      <c r="AJ61" s="103"/>
      <c r="AK6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5" t="e">
        <f>(1 - ((1 - VLOOKUP(Table4[[#This Row],[ConfidentialityP]],'Reference - CVSSv3.0'!$B$15:$C$17,2,FALSE())) * (1 - VLOOKUP(Table4[[#This Row],[IntegrityP]],'Reference - CVSSv3.0'!$B$15:$C$17,2,FALSE())) *  (1 - VLOOKUP(Table4[[#This Row],[AvailabilityP]],'Reference - CVSSv3.0'!$B$15:$C$17,2,FALSE()))))</f>
        <v>#N/A</v>
      </c>
      <c r="AM61" s="95" t="e">
        <f>IF(Table4[[#This Row],[ScopeP]]="Unchanged",6.42*Table4[[#This Row],[ISC BaseP]],IF(Table4[[#This Row],[ScopeP]]="Changed",7.52*(Table4[[#This Row],[ISC BaseP]] - 0.029) - 3.25 * POWER(Table4[[#This Row],[ISC BaseP]] - 0.02,15),NA()))</f>
        <v>#N/A</v>
      </c>
      <c r="AN6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9"/>
    </row>
    <row r="62" spans="1:43" ht="196" x14ac:dyDescent="0.35">
      <c r="A62" s="88">
        <v>58</v>
      </c>
      <c r="B62" s="89" t="s">
        <v>161</v>
      </c>
      <c r="C62" s="99" t="str">
        <f>IF(VLOOKUP(Table4[[#This Row],[T ID]],Table5[#All],5,FALSE())="No","Not in scope",VLOOKUP(Table4[[#This Row],[T ID]],Table5[#All],2,FALSE()))</f>
        <v>Clearing Track
(TTP)</v>
      </c>
      <c r="D62" s="60" t="s">
        <v>88</v>
      </c>
      <c r="E62" s="99" t="str">
        <f>IF(VLOOKUP(Table4[[#This Row],[V ID]],Vulnerabilities[#All],3,FALSE())="No","Not in scope",VLOOKUP(Table4[[#This Row],[V ID]],Vulnerabilities[#All],2,FALSE()))</f>
        <v>The  static connection digaram between devices and applications with provision for periodic updation as per changes</v>
      </c>
      <c r="F62" s="100" t="s">
        <v>11</v>
      </c>
      <c r="G62" s="99" t="str">
        <f>VLOOKUP(Table4[[#This Row],[A ID]],Assets[#All],3,FALSE())</f>
        <v>Tablet Resources - web cam, microphone, OTG devices, Removable USB, Tablet Application, Network interfaces (Bluetooth, Wifi)</v>
      </c>
      <c r="H62" s="21" t="s">
        <v>261</v>
      </c>
      <c r="I62" s="21"/>
      <c r="J62" s="93" t="s">
        <v>240</v>
      </c>
      <c r="K62" s="93" t="s">
        <v>240</v>
      </c>
      <c r="L62" s="93" t="s">
        <v>240</v>
      </c>
      <c r="M62" s="94" t="s">
        <v>249</v>
      </c>
      <c r="N62" s="94" t="s">
        <v>240</v>
      </c>
      <c r="O62" s="94" t="s">
        <v>240</v>
      </c>
      <c r="P62" s="94" t="s">
        <v>245</v>
      </c>
      <c r="Q62" s="94" t="s">
        <v>243</v>
      </c>
      <c r="R6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5">
        <f>(1 - ((1 - VLOOKUP(Table4[[#This Row],[Confidentiality]],'Reference - CVSSv3.0'!$B$15:$C$17,2,FALSE())) * (1 - VLOOKUP(Table4[[#This Row],[Integrity]],'Reference - CVSSv3.0'!$B$15:$C$17,2,FALSE())) *  (1 - VLOOKUP(Table4[[#This Row],[Availability]],'Reference - CVSSv3.0'!$B$15:$C$17,2,FALSE()))))</f>
        <v>0.52544799999999992</v>
      </c>
      <c r="T62" s="95">
        <f>IF(Table4[[#This Row],[Scope]]="Unchanged",6.42*Table4[[#This Row],[ISC Base]],IF(Table4[[#This Row],[Scope]]="Changed",7.52*(Table4[[#This Row],[ISC Base]] - 0.029) - 3.25 * POWER(Table4[[#This Row],[ISC Base]] - 0.02,15),NA()))</f>
        <v>3.3733761599999994</v>
      </c>
      <c r="U62"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9" t="s">
        <v>240</v>
      </c>
      <c r="W62" s="95">
        <f>VLOOKUP(Table4[[#This Row],[Threat Event Initiation]],NIST_Scale_LOAI[],2,FALSE())</f>
        <v>0.2</v>
      </c>
      <c r="X6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21" t="s">
        <v>431</v>
      </c>
      <c r="AA62" s="21" t="s">
        <v>248</v>
      </c>
      <c r="AB62" s="110"/>
      <c r="AC62" s="39"/>
      <c r="AD62" s="39"/>
      <c r="AE62" s="39"/>
      <c r="AF62" s="94"/>
      <c r="AG62" s="94"/>
      <c r="AH62" s="94"/>
      <c r="AI62" s="94"/>
      <c r="AJ62" s="103"/>
      <c r="AK6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5" t="e">
        <f>(1 - ((1 - VLOOKUP(Table4[[#This Row],[ConfidentialityP]],'Reference - CVSSv3.0'!$B$15:$C$17,2,FALSE())) * (1 - VLOOKUP(Table4[[#This Row],[IntegrityP]],'Reference - CVSSv3.0'!$B$15:$C$17,2,FALSE())) *  (1 - VLOOKUP(Table4[[#This Row],[AvailabilityP]],'Reference - CVSSv3.0'!$B$15:$C$17,2,FALSE()))))</f>
        <v>#N/A</v>
      </c>
      <c r="AM62" s="95" t="e">
        <f>IF(Table4[[#This Row],[ScopeP]]="Unchanged",6.42*Table4[[#This Row],[ISC BaseP]],IF(Table4[[#This Row],[ScopeP]]="Changed",7.52*(Table4[[#This Row],[ISC BaseP]] - 0.029) - 3.25 * POWER(Table4[[#This Row],[ISC BaseP]] - 0.02,15),NA()))</f>
        <v>#N/A</v>
      </c>
      <c r="AN6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9"/>
    </row>
    <row r="63" spans="1:43" ht="183" customHeight="1" x14ac:dyDescent="0.35">
      <c r="A63" s="88">
        <v>59</v>
      </c>
      <c r="B63" s="89" t="s">
        <v>164</v>
      </c>
      <c r="C63" s="99" t="str">
        <f>IF(VLOOKUP(Table4[[#This Row],[T ID]],Table5[#All],5,FALSE())="No","Not in scope",VLOOKUP(Table4[[#This Row],[T ID]],Table5[#All],2,FALSE()))</f>
        <v>Elevation of privilege
(STRID[E])</v>
      </c>
      <c r="D63" s="91" t="s">
        <v>99</v>
      </c>
      <c r="E63" s="99" t="str">
        <f>IF(VLOOKUP(Table4[[#This Row],[V ID]],Vulnerabilities[#All],3,FALSE())="No","Not in scope",VLOOKUP(Table4[[#This Row],[V ID]],Vulnerabilities[#All],2,FALSE()))</f>
        <v>Controlled Use of Administrative Privileges over the network</v>
      </c>
      <c r="F63" s="108" t="s">
        <v>23</v>
      </c>
      <c r="G63" s="99" t="str">
        <f>VLOOKUP(Table4[[#This Row],[A ID]],Assets[#All],3,FALSE())</f>
        <v>Authentication/Authorisation method of all device(s)/app</v>
      </c>
      <c r="H63" s="21" t="s">
        <v>263</v>
      </c>
      <c r="I63" s="21"/>
      <c r="J63" s="93" t="s">
        <v>240</v>
      </c>
      <c r="K63" s="93" t="s">
        <v>240</v>
      </c>
      <c r="L63" s="93" t="s">
        <v>240</v>
      </c>
      <c r="M63" s="94" t="s">
        <v>246</v>
      </c>
      <c r="N63" s="94" t="s">
        <v>240</v>
      </c>
      <c r="O63" s="94" t="s">
        <v>240</v>
      </c>
      <c r="P63" s="94" t="s">
        <v>242</v>
      </c>
      <c r="Q63" s="94" t="s">
        <v>243</v>
      </c>
      <c r="R6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95">
        <f>(1 - ((1 - VLOOKUP(Table4[[#This Row],[Confidentiality]],'Reference - CVSSv3.0'!$B$15:$C$17,2,FALSE())) * (1 - VLOOKUP(Table4[[#This Row],[Integrity]],'Reference - CVSSv3.0'!$B$15:$C$17,2,FALSE())) *  (1 - VLOOKUP(Table4[[#This Row],[Availability]],'Reference - CVSSv3.0'!$B$15:$C$17,2,FALSE()))))</f>
        <v>0.52544799999999992</v>
      </c>
      <c r="T63" s="95">
        <f>IF(Table4[[#This Row],[Scope]]="Unchanged",6.42*Table4[[#This Row],[ISC Base]],IF(Table4[[#This Row],[Scope]]="Changed",7.52*(Table4[[#This Row],[ISC Base]] - 0.029) - 3.25 * POWER(Table4[[#This Row],[ISC Base]] - 0.02,15),NA()))</f>
        <v>3.3733761599999994</v>
      </c>
      <c r="U63" s="95">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89" t="s">
        <v>240</v>
      </c>
      <c r="W63" s="95">
        <f>VLOOKUP(Table4[[#This Row],[Threat Event Initiation]],NIST_Scale_LOAI[],2,FALSE())</f>
        <v>0.2</v>
      </c>
      <c r="X6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1" t="s">
        <v>429</v>
      </c>
      <c r="AA63" s="109" t="s">
        <v>264</v>
      </c>
      <c r="AB63" s="110"/>
      <c r="AC63" s="39"/>
      <c r="AD63" s="39"/>
      <c r="AE63" s="39"/>
      <c r="AF63" s="94"/>
      <c r="AG63" s="94"/>
      <c r="AH63" s="94"/>
      <c r="AI63" s="94"/>
      <c r="AJ63" s="103"/>
      <c r="AK6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95" t="e">
        <f>(1 - ((1 - VLOOKUP(Table4[[#This Row],[ConfidentialityP]],'Reference - CVSSv3.0'!$B$15:$C$17,2,FALSE())) * (1 - VLOOKUP(Table4[[#This Row],[IntegrityP]],'Reference - CVSSv3.0'!$B$15:$C$17,2,FALSE())) *  (1 - VLOOKUP(Table4[[#This Row],[AvailabilityP]],'Reference - CVSSv3.0'!$B$15:$C$17,2,FALSE()))))</f>
        <v>#N/A</v>
      </c>
      <c r="AM63" s="95" t="e">
        <f>IF(Table4[[#This Row],[ScopeP]]="Unchanged",6.42*Table4[[#This Row],[ISC BaseP]],IF(Table4[[#This Row],[ScopeP]]="Changed",7.52*(Table4[[#This Row],[ISC BaseP]] - 0.029) - 3.25 * POWER(Table4[[#This Row],[ISC BaseP]] - 0.02,15),NA()))</f>
        <v>#N/A</v>
      </c>
      <c r="AN6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39"/>
    </row>
    <row r="64" spans="1:43" ht="169.5" customHeight="1" x14ac:dyDescent="0.35">
      <c r="A64" s="88">
        <v>60</v>
      </c>
      <c r="B64" s="89" t="s">
        <v>164</v>
      </c>
      <c r="C64" s="99" t="str">
        <f>IF(VLOOKUP(Table4[[#This Row],[T ID]],Table5[#All],5,FALSE())="No","Not in scope",VLOOKUP(Table4[[#This Row],[T ID]],Table5[#All],2,FALSE()))</f>
        <v>Elevation of privilege
(STRID[E])</v>
      </c>
      <c r="D64" s="91" t="s">
        <v>99</v>
      </c>
      <c r="E64" s="99" t="str">
        <f>IF(VLOOKUP(Table4[[#This Row],[V ID]],Vulnerabilities[#All],3,FALSE())="No","Not in scope",VLOOKUP(Table4[[#This Row],[V ID]],Vulnerabilities[#All],2,FALSE()))</f>
        <v>Controlled Use of Administrative Privileges over the network</v>
      </c>
      <c r="F64" s="112" t="s">
        <v>47</v>
      </c>
      <c r="G64" s="99" t="str">
        <f>VLOOKUP(Table4[[#This Row],[A ID]],Assets[#All],3,FALSE())</f>
        <v>Smart medic app (Azure Portal Administrator)</v>
      </c>
      <c r="H64" s="21" t="s">
        <v>263</v>
      </c>
      <c r="I64" s="21"/>
      <c r="J64" s="93" t="s">
        <v>245</v>
      </c>
      <c r="K64" s="93" t="s">
        <v>240</v>
      </c>
      <c r="L64" s="93" t="s">
        <v>250</v>
      </c>
      <c r="M64" s="94" t="s">
        <v>246</v>
      </c>
      <c r="N64" s="94" t="s">
        <v>240</v>
      </c>
      <c r="O64" s="94" t="s">
        <v>250</v>
      </c>
      <c r="P64" s="94" t="s">
        <v>242</v>
      </c>
      <c r="Q64" s="94" t="s">
        <v>243</v>
      </c>
      <c r="R6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5">
        <f>(1 - ((1 - VLOOKUP(Table4[[#This Row],[Confidentiality]],'Reference - CVSSv3.0'!$B$15:$C$17,2,FALSE())) * (1 - VLOOKUP(Table4[[#This Row],[Integrity]],'Reference - CVSSv3.0'!$B$15:$C$17,2,FALSE())) *  (1 - VLOOKUP(Table4[[#This Row],[Availability]],'Reference - CVSSv3.0'!$B$15:$C$17,2,FALSE()))))</f>
        <v>0.65680000000000005</v>
      </c>
      <c r="T64" s="95">
        <f>IF(Table4[[#This Row],[Scope]]="Unchanged",6.42*Table4[[#This Row],[ISC Base]],IF(Table4[[#This Row],[Scope]]="Changed",7.52*(Table4[[#This Row],[ISC Base]] - 0.029) - 3.25 * POWER(Table4[[#This Row],[ISC Base]] - 0.02,15),NA()))</f>
        <v>4.2166560000000004</v>
      </c>
      <c r="U64" s="95">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9" t="s">
        <v>251</v>
      </c>
      <c r="W64" s="95">
        <f>VLOOKUP(Table4[[#This Row],[Threat Event Initiation]],NIST_Scale_LOAI[],2,FALSE())</f>
        <v>0.5</v>
      </c>
      <c r="X6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1" t="s">
        <v>429</v>
      </c>
      <c r="AA64" s="109" t="s">
        <v>393</v>
      </c>
      <c r="AB64" s="110"/>
      <c r="AC64" s="39"/>
      <c r="AD64" s="39"/>
      <c r="AE64" s="39"/>
      <c r="AF64" s="94"/>
      <c r="AG64" s="94"/>
      <c r="AH64" s="94"/>
      <c r="AI64" s="94"/>
      <c r="AJ64" s="103"/>
      <c r="AK6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5" t="e">
        <f>(1 - ((1 - VLOOKUP(Table4[[#This Row],[ConfidentialityP]],'Reference - CVSSv3.0'!$B$15:$C$17,2,FALSE())) * (1 - VLOOKUP(Table4[[#This Row],[IntegrityP]],'Reference - CVSSv3.0'!$B$15:$C$17,2,FALSE())) *  (1 - VLOOKUP(Table4[[#This Row],[AvailabilityP]],'Reference - CVSSv3.0'!$B$15:$C$17,2,FALSE()))))</f>
        <v>#N/A</v>
      </c>
      <c r="AM64" s="95" t="e">
        <f>IF(Table4[[#This Row],[ScopeP]]="Unchanged",6.42*Table4[[#This Row],[ISC BaseP]],IF(Table4[[#This Row],[ScopeP]]="Changed",7.52*(Table4[[#This Row],[ISC BaseP]] - 0.029) - 3.25 * POWER(Table4[[#This Row],[ISC BaseP]] - 0.02,15),NA()))</f>
        <v>#N/A</v>
      </c>
      <c r="AN6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9"/>
    </row>
    <row r="65" spans="1:43" ht="196" x14ac:dyDescent="0.35">
      <c r="A65" s="88">
        <v>61</v>
      </c>
      <c r="B65" s="89" t="s">
        <v>167</v>
      </c>
      <c r="C65" s="99" t="str">
        <f>IF(VLOOKUP(Table4[[#This Row],[T ID]],Table5[#All],5,FALSE())="No","Not in scope",VLOOKUP(Table4[[#This Row],[T ID]],Table5[#All],2,FALSE()))</f>
        <v>Denial of service
(STRI(D)E)</v>
      </c>
      <c r="D65" s="91" t="s">
        <v>93</v>
      </c>
      <c r="E65" s="99" t="str">
        <f>IF(VLOOKUP(Table4[[#This Row],[V ID]],Vulnerabilities[#All],3,FALSE())="No","Not in scope",VLOOKUP(Table4[[#This Row],[V ID]],Vulnerabilities[#All],2,FALSE()))</f>
        <v>Unprotected network port(s) on network devices and connection points</v>
      </c>
      <c r="F65" s="100" t="s">
        <v>15</v>
      </c>
      <c r="G65" s="99" t="str">
        <f>VLOOKUP(Table4[[#This Row],[A ID]],Assets[#All],3,FALSE())</f>
        <v>Tablet OS/network details &amp; Tablet Application</v>
      </c>
      <c r="H65" s="21" t="s">
        <v>265</v>
      </c>
      <c r="I65" s="21"/>
      <c r="J65" s="93" t="s">
        <v>245</v>
      </c>
      <c r="K65" s="93" t="s">
        <v>245</v>
      </c>
      <c r="L65" s="93" t="s">
        <v>250</v>
      </c>
      <c r="M65" s="94" t="s">
        <v>246</v>
      </c>
      <c r="N65" s="94" t="s">
        <v>240</v>
      </c>
      <c r="O65" s="94" t="s">
        <v>240</v>
      </c>
      <c r="P65" s="94" t="s">
        <v>245</v>
      </c>
      <c r="Q65" s="94" t="s">
        <v>243</v>
      </c>
      <c r="R6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5">
        <f>(1 - ((1 - VLOOKUP(Table4[[#This Row],[Confidentiality]],'Reference - CVSSv3.0'!$B$15:$C$17,2,FALSE())) * (1 - VLOOKUP(Table4[[#This Row],[Integrity]],'Reference - CVSSv3.0'!$B$15:$C$17,2,FALSE())) *  (1 - VLOOKUP(Table4[[#This Row],[Availability]],'Reference - CVSSv3.0'!$B$15:$C$17,2,FALSE()))))</f>
        <v>0.56000000000000005</v>
      </c>
      <c r="T65" s="95">
        <f>IF(Table4[[#This Row],[Scope]]="Unchanged",6.42*Table4[[#This Row],[ISC Base]],IF(Table4[[#This Row],[Scope]]="Changed",7.52*(Table4[[#This Row],[ISC Base]] - 0.029) - 3.25 * POWER(Table4[[#This Row],[ISC Base]] - 0.02,15),NA()))</f>
        <v>3.5952000000000002</v>
      </c>
      <c r="U65" s="95">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9" t="s">
        <v>240</v>
      </c>
      <c r="W65" s="95">
        <f>VLOOKUP(Table4[[#This Row],[Threat Event Initiation]],NIST_Scale_LOAI[],2,FALSE())</f>
        <v>0.2</v>
      </c>
      <c r="X6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1" t="s">
        <v>431</v>
      </c>
      <c r="AA65" s="21" t="s">
        <v>248</v>
      </c>
      <c r="AB65" s="110"/>
      <c r="AC65" s="39"/>
      <c r="AD65" s="39"/>
      <c r="AE65" s="39"/>
      <c r="AF65" s="94"/>
      <c r="AG65" s="94"/>
      <c r="AH65" s="94"/>
      <c r="AI65" s="94"/>
      <c r="AJ65" s="103"/>
      <c r="AK6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5" t="e">
        <f>(1 - ((1 - VLOOKUP(Table4[[#This Row],[ConfidentialityP]],'Reference - CVSSv3.0'!$B$15:$C$17,2,FALSE())) * (1 - VLOOKUP(Table4[[#This Row],[IntegrityP]],'Reference - CVSSv3.0'!$B$15:$C$17,2,FALSE())) *  (1 - VLOOKUP(Table4[[#This Row],[AvailabilityP]],'Reference - CVSSv3.0'!$B$15:$C$17,2,FALSE()))))</f>
        <v>#N/A</v>
      </c>
      <c r="AM65" s="95" t="e">
        <f>IF(Table4[[#This Row],[ScopeP]]="Unchanged",6.42*Table4[[#This Row],[ISC BaseP]],IF(Table4[[#This Row],[ScopeP]]="Changed",7.52*(Table4[[#This Row],[ISC BaseP]] - 0.029) - 3.25 * POWER(Table4[[#This Row],[ISC BaseP]] - 0.02,15),NA()))</f>
        <v>#N/A</v>
      </c>
      <c r="AN6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9"/>
    </row>
    <row r="66" spans="1:43" ht="392" x14ac:dyDescent="0.35">
      <c r="A66" s="88">
        <v>62</v>
      </c>
      <c r="B66" s="89" t="s">
        <v>170</v>
      </c>
      <c r="C66" s="99" t="str">
        <f>IF(VLOOKUP(Table4[[#This Row],[T ID]],Table5[#All],5,FALSE())="No","Not in scope",VLOOKUP(Table4[[#This Row],[T ID]],Table5[#All],2,FALSE()))</f>
        <v>Information disclosure
(STR(I)DE)</v>
      </c>
      <c r="D66" s="91" t="s">
        <v>102</v>
      </c>
      <c r="E66" s="99" t="str">
        <f>IF(VLOOKUP(Table4[[#This Row],[V ID]],Vulnerabilities[#All],3,FALSE())="No","Not in scope",VLOOKUP(Table4[[#This Row],[V ID]],Vulnerabilities[#All],2,FALSE()))</f>
        <v>Unencrypted data at rest in all possible locations</v>
      </c>
      <c r="F66" s="14" t="s">
        <v>38</v>
      </c>
      <c r="G66" s="99" t="str">
        <f>VLOOKUP(Table4[[#This Row],[A ID]],Assets[#All],3,FALSE())</f>
        <v>Data at Rest</v>
      </c>
      <c r="H66" s="21" t="s">
        <v>266</v>
      </c>
      <c r="I66" s="21"/>
      <c r="J66" s="93" t="s">
        <v>240</v>
      </c>
      <c r="K66" s="93" t="s">
        <v>240</v>
      </c>
      <c r="L66" s="93" t="s">
        <v>240</v>
      </c>
      <c r="M66" s="94" t="s">
        <v>249</v>
      </c>
      <c r="N66" s="94" t="s">
        <v>250</v>
      </c>
      <c r="O66" s="94" t="s">
        <v>250</v>
      </c>
      <c r="P66" s="94" t="s">
        <v>245</v>
      </c>
      <c r="Q66" s="94" t="s">
        <v>243</v>
      </c>
      <c r="R6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5">
        <f>(1 - ((1 - VLOOKUP(Table4[[#This Row],[Confidentiality]],'Reference - CVSSv3.0'!$B$15:$C$17,2,FALSE())) * (1 - VLOOKUP(Table4[[#This Row],[Integrity]],'Reference - CVSSv3.0'!$B$15:$C$17,2,FALSE())) *  (1 - VLOOKUP(Table4[[#This Row],[Availability]],'Reference - CVSSv3.0'!$B$15:$C$17,2,FALSE()))))</f>
        <v>0.52544799999999992</v>
      </c>
      <c r="T66" s="95">
        <f>IF(Table4[[#This Row],[Scope]]="Unchanged",6.42*Table4[[#This Row],[ISC Base]],IF(Table4[[#This Row],[Scope]]="Changed",7.52*(Table4[[#This Row],[ISC Base]] - 0.029) - 3.25 * POWER(Table4[[#This Row],[ISC Base]] - 0.02,15),NA()))</f>
        <v>3.3733761599999994</v>
      </c>
      <c r="U66"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9" t="s">
        <v>251</v>
      </c>
      <c r="W66" s="95">
        <f>VLOOKUP(Table4[[#This Row],[Threat Event Initiation]],NIST_Scale_LOAI[],2,FALSE())</f>
        <v>0.5</v>
      </c>
      <c r="X6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21" t="s">
        <v>426</v>
      </c>
      <c r="AA66" s="249" t="s">
        <v>394</v>
      </c>
      <c r="AB66" s="110"/>
      <c r="AC66" s="39"/>
      <c r="AD66" s="39"/>
      <c r="AE66" s="39"/>
      <c r="AF66" s="94"/>
      <c r="AG66" s="94"/>
      <c r="AH66" s="94"/>
      <c r="AI66" s="94"/>
      <c r="AJ66" s="103"/>
      <c r="AK6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5" t="e">
        <f>(1 - ((1 - VLOOKUP(Table4[[#This Row],[ConfidentialityP]],'Reference - CVSSv3.0'!$B$15:$C$17,2,FALSE())) * (1 - VLOOKUP(Table4[[#This Row],[IntegrityP]],'Reference - CVSSv3.0'!$B$15:$C$17,2,FALSE())) *  (1 - VLOOKUP(Table4[[#This Row],[AvailabilityP]],'Reference - CVSSv3.0'!$B$15:$C$17,2,FALSE()))))</f>
        <v>#N/A</v>
      </c>
      <c r="AM66" s="95" t="e">
        <f>IF(Table4[[#This Row],[ScopeP]]="Unchanged",6.42*Table4[[#This Row],[ISC BaseP]],IF(Table4[[#This Row],[ScopeP]]="Changed",7.52*(Table4[[#This Row],[ISC BaseP]] - 0.029) - 3.25 * POWER(Table4[[#This Row],[ISC BaseP]] - 0.02,15),NA()))</f>
        <v>#N/A</v>
      </c>
      <c r="AN6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9"/>
    </row>
    <row r="67" spans="1:43" ht="409.5" x14ac:dyDescent="0.35">
      <c r="A67" s="88">
        <v>63</v>
      </c>
      <c r="B67" s="89" t="s">
        <v>170</v>
      </c>
      <c r="C67" s="99" t="str">
        <f>IF(VLOOKUP(Table4[[#This Row],[T ID]],Table5[#All],5,FALSE())="No","Not in scope",VLOOKUP(Table4[[#This Row],[T ID]],Table5[#All],2,FALSE()))</f>
        <v>Information disclosure
(STR(I)DE)</v>
      </c>
      <c r="D67" s="91" t="s">
        <v>104</v>
      </c>
      <c r="E67" s="99" t="str">
        <f>IF(VLOOKUP(Table4[[#This Row],[V ID]],Vulnerabilities[#All],3,FALSE())="No","Not in scope",VLOOKUP(Table4[[#This Row],[V ID]],Vulnerabilities[#All],2,FALSE()))</f>
        <v>Unencrypted data in transit in all flowchannels</v>
      </c>
      <c r="F67" s="14" t="s">
        <v>41</v>
      </c>
      <c r="G67" s="99" t="str">
        <f>VLOOKUP(Table4[[#This Row],[A ID]],Assets[#All],3,FALSE())</f>
        <v>Data in Transit</v>
      </c>
      <c r="H67" s="21" t="s">
        <v>266</v>
      </c>
      <c r="I67" s="21"/>
      <c r="J67" s="93" t="s">
        <v>240</v>
      </c>
      <c r="K67" s="93" t="s">
        <v>245</v>
      </c>
      <c r="L67" s="93" t="s">
        <v>240</v>
      </c>
      <c r="M67" s="94" t="s">
        <v>246</v>
      </c>
      <c r="N67" s="94" t="s">
        <v>250</v>
      </c>
      <c r="O67" s="94" t="s">
        <v>240</v>
      </c>
      <c r="P67" s="94" t="s">
        <v>245</v>
      </c>
      <c r="Q67" s="94" t="s">
        <v>243</v>
      </c>
      <c r="R6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5">
        <f>(1 - ((1 - VLOOKUP(Table4[[#This Row],[Confidentiality]],'Reference - CVSSv3.0'!$B$15:$C$17,2,FALSE())) * (1 - VLOOKUP(Table4[[#This Row],[Integrity]],'Reference - CVSSv3.0'!$B$15:$C$17,2,FALSE())) *  (1 - VLOOKUP(Table4[[#This Row],[Availability]],'Reference - CVSSv3.0'!$B$15:$C$17,2,FALSE()))))</f>
        <v>0.39159999999999995</v>
      </c>
      <c r="T67" s="95">
        <f>IF(Table4[[#This Row],[Scope]]="Unchanged",6.42*Table4[[#This Row],[ISC Base]],IF(Table4[[#This Row],[Scope]]="Changed",7.52*(Table4[[#This Row],[ISC Base]] - 0.029) - 3.25 * POWER(Table4[[#This Row],[ISC Base]] - 0.02,15),NA()))</f>
        <v>2.5140719999999996</v>
      </c>
      <c r="U67"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9" t="s">
        <v>251</v>
      </c>
      <c r="W67" s="95">
        <f>VLOOKUP(Table4[[#This Row],[Threat Event Initiation]],NIST_Scale_LOAI[],2,FALSE())</f>
        <v>0.5</v>
      </c>
      <c r="X6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21" t="s">
        <v>424</v>
      </c>
      <c r="AA67" s="250" t="s">
        <v>396</v>
      </c>
      <c r="AB67" s="110"/>
      <c r="AC67" s="39"/>
      <c r="AD67" s="39"/>
      <c r="AE67" s="39"/>
      <c r="AF67" s="94"/>
      <c r="AG67" s="94"/>
      <c r="AH67" s="94"/>
      <c r="AI67" s="94"/>
      <c r="AJ67" s="103"/>
      <c r="AK6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5" t="e">
        <f>(1 - ((1 - VLOOKUP(Table4[[#This Row],[ConfidentialityP]],'Reference - CVSSv3.0'!$B$15:$C$17,2,FALSE())) * (1 - VLOOKUP(Table4[[#This Row],[IntegrityP]],'Reference - CVSSv3.0'!$B$15:$C$17,2,FALSE())) *  (1 - VLOOKUP(Table4[[#This Row],[AvailabilityP]],'Reference - CVSSv3.0'!$B$15:$C$17,2,FALSE()))))</f>
        <v>#N/A</v>
      </c>
      <c r="AM67" s="95" t="e">
        <f>IF(Table4[[#This Row],[ScopeP]]="Unchanged",6.42*Table4[[#This Row],[ISC BaseP]],IF(Table4[[#This Row],[ScopeP]]="Changed",7.52*(Table4[[#This Row],[ISC BaseP]] - 0.029) - 3.25 * POWER(Table4[[#This Row],[ISC BaseP]] - 0.02,15),NA()))</f>
        <v>#N/A</v>
      </c>
      <c r="AN6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9"/>
    </row>
    <row r="68" spans="1:43" ht="364" x14ac:dyDescent="0.35">
      <c r="A68" s="88">
        <v>64</v>
      </c>
      <c r="B68" s="89" t="s">
        <v>170</v>
      </c>
      <c r="C68" s="99" t="str">
        <f>IF(VLOOKUP(Table4[[#This Row],[T ID]],Table5[#All],5,FALSE())="No","Not in scope",VLOOKUP(Table4[[#This Row],[T ID]],Table5[#All],2,FALSE()))</f>
        <v>Information disclosure
(STR(I)DE)</v>
      </c>
      <c r="D68" s="91" t="s">
        <v>106</v>
      </c>
      <c r="E68" s="99" t="str">
        <f>IF(VLOOKUP(Table4[[#This Row],[V ID]],Vulnerabilities[#All],3,FALSE())="No","Not in scope",VLOOKUP(Table4[[#This Row],[V ID]],Vulnerabilities[#All],2,FALSE()))</f>
        <v>Weak Encryption Implementaion in data at rest and in transit tactical and design wise</v>
      </c>
      <c r="F68" s="14" t="s">
        <v>38</v>
      </c>
      <c r="G68" s="99" t="str">
        <f>VLOOKUP(Table4[[#This Row],[A ID]],Assets[#All],3,FALSE())</f>
        <v>Data at Rest</v>
      </c>
      <c r="H68" s="21" t="s">
        <v>266</v>
      </c>
      <c r="I68" s="21"/>
      <c r="J68" s="93" t="s">
        <v>240</v>
      </c>
      <c r="K68" s="93" t="s">
        <v>240</v>
      </c>
      <c r="L68" s="93" t="s">
        <v>240</v>
      </c>
      <c r="M68" s="94" t="s">
        <v>249</v>
      </c>
      <c r="N68" s="94" t="s">
        <v>250</v>
      </c>
      <c r="O68" s="94" t="s">
        <v>250</v>
      </c>
      <c r="P68" s="94" t="s">
        <v>245</v>
      </c>
      <c r="Q68" s="94" t="s">
        <v>243</v>
      </c>
      <c r="R6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5">
        <f>(1 - ((1 - VLOOKUP(Table4[[#This Row],[Confidentiality]],'Reference - CVSSv3.0'!$B$15:$C$17,2,FALSE())) * (1 - VLOOKUP(Table4[[#This Row],[Integrity]],'Reference - CVSSv3.0'!$B$15:$C$17,2,FALSE())) *  (1 - VLOOKUP(Table4[[#This Row],[Availability]],'Reference - CVSSv3.0'!$B$15:$C$17,2,FALSE()))))</f>
        <v>0.52544799999999992</v>
      </c>
      <c r="T68" s="95">
        <f>IF(Table4[[#This Row],[Scope]]="Unchanged",6.42*Table4[[#This Row],[ISC Base]],IF(Table4[[#This Row],[Scope]]="Changed",7.52*(Table4[[#This Row],[ISC Base]] - 0.029) - 3.25 * POWER(Table4[[#This Row],[ISC Base]] - 0.02,15),NA()))</f>
        <v>3.3733761599999994</v>
      </c>
      <c r="U68"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9" t="s">
        <v>251</v>
      </c>
      <c r="W68" s="95">
        <f>VLOOKUP(Table4[[#This Row],[Threat Event Initiation]],NIST_Scale_LOAI[],2,FALSE())</f>
        <v>0.5</v>
      </c>
      <c r="X6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13" t="s">
        <v>430</v>
      </c>
      <c r="AA68" s="113" t="s">
        <v>395</v>
      </c>
      <c r="AB68" s="110"/>
      <c r="AC68" s="39"/>
      <c r="AD68" s="39"/>
      <c r="AE68" s="39"/>
      <c r="AF68" s="94"/>
      <c r="AG68" s="94"/>
      <c r="AH68" s="94"/>
      <c r="AI68" s="94"/>
      <c r="AJ68" s="103"/>
      <c r="AK6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5" t="e">
        <f>(1 - ((1 - VLOOKUP(Table4[[#This Row],[ConfidentialityP]],'Reference - CVSSv3.0'!$B$15:$C$17,2,FALSE())) * (1 - VLOOKUP(Table4[[#This Row],[IntegrityP]],'Reference - CVSSv3.0'!$B$15:$C$17,2,FALSE())) *  (1 - VLOOKUP(Table4[[#This Row],[AvailabilityP]],'Reference - CVSSv3.0'!$B$15:$C$17,2,FALSE()))))</f>
        <v>#N/A</v>
      </c>
      <c r="AM68" s="95" t="e">
        <f>IF(Table4[[#This Row],[ScopeP]]="Unchanged",6.42*Table4[[#This Row],[ISC BaseP]],IF(Table4[[#This Row],[ScopeP]]="Changed",7.52*(Table4[[#This Row],[ISC BaseP]] - 0.029) - 3.25 * POWER(Table4[[#This Row],[ISC BaseP]] - 0.02,15),NA()))</f>
        <v>#N/A</v>
      </c>
      <c r="AN6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9"/>
    </row>
    <row r="69" spans="1:43" ht="182" x14ac:dyDescent="0.35">
      <c r="A69" s="88">
        <v>65</v>
      </c>
      <c r="B69" s="89" t="s">
        <v>170</v>
      </c>
      <c r="C69" s="99" t="str">
        <f>IF(VLOOKUP(Table4[[#This Row],[T ID]],Table5[#All],5,FALSE())="No","Not in scope",VLOOKUP(Table4[[#This Row],[T ID]],Table5[#All],2,FALSE()))</f>
        <v>Information disclosure
(STR(I)DE)</v>
      </c>
      <c r="D69" s="91" t="s">
        <v>106</v>
      </c>
      <c r="E69" s="99" t="str">
        <f>IF(VLOOKUP(Table4[[#This Row],[V ID]],Vulnerabilities[#All],3,FALSE())="No","Not in scope",VLOOKUP(Table4[[#This Row],[V ID]],Vulnerabilities[#All],2,FALSE()))</f>
        <v>Weak Encryption Implementaion in data at rest and in transit tactical and design wise</v>
      </c>
      <c r="F69" s="14" t="s">
        <v>41</v>
      </c>
      <c r="G69" s="99" t="str">
        <f>VLOOKUP(Table4[[#This Row],[A ID]],Assets[#All],3,FALSE())</f>
        <v>Data in Transit</v>
      </c>
      <c r="H69" s="21" t="s">
        <v>266</v>
      </c>
      <c r="I69" s="21"/>
      <c r="J69" s="93" t="s">
        <v>240</v>
      </c>
      <c r="K69" s="93" t="s">
        <v>245</v>
      </c>
      <c r="L69" s="93" t="s">
        <v>240</v>
      </c>
      <c r="M69" s="94" t="s">
        <v>246</v>
      </c>
      <c r="N69" s="94" t="s">
        <v>250</v>
      </c>
      <c r="O69" s="94" t="s">
        <v>240</v>
      </c>
      <c r="P69" s="94" t="s">
        <v>245</v>
      </c>
      <c r="Q69" s="94" t="s">
        <v>243</v>
      </c>
      <c r="R6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5">
        <f>(1 - ((1 - VLOOKUP(Table4[[#This Row],[Confidentiality]],'Reference - CVSSv3.0'!$B$15:$C$17,2,FALSE())) * (1 - VLOOKUP(Table4[[#This Row],[Integrity]],'Reference - CVSSv3.0'!$B$15:$C$17,2,FALSE())) *  (1 - VLOOKUP(Table4[[#This Row],[Availability]],'Reference - CVSSv3.0'!$B$15:$C$17,2,FALSE()))))</f>
        <v>0.39159999999999995</v>
      </c>
      <c r="T69" s="95">
        <f>IF(Table4[[#This Row],[Scope]]="Unchanged",6.42*Table4[[#This Row],[ISC Base]],IF(Table4[[#This Row],[Scope]]="Changed",7.52*(Table4[[#This Row],[ISC Base]] - 0.029) - 3.25 * POWER(Table4[[#This Row],[ISC Base]] - 0.02,15),NA()))</f>
        <v>2.5140719999999996</v>
      </c>
      <c r="U69"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9" t="s">
        <v>251</v>
      </c>
      <c r="W69" s="95">
        <f>VLOOKUP(Table4[[#This Row],[Threat Event Initiation]],NIST_Scale_LOAI[],2,FALSE())</f>
        <v>0.5</v>
      </c>
      <c r="X6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13" t="s">
        <v>267</v>
      </c>
      <c r="AA69" s="21" t="s">
        <v>268</v>
      </c>
      <c r="AB69" s="110"/>
      <c r="AC69" s="39"/>
      <c r="AD69" s="39"/>
      <c r="AE69" s="39"/>
      <c r="AF69" s="94"/>
      <c r="AG69" s="94"/>
      <c r="AH69" s="94"/>
      <c r="AI69" s="94"/>
      <c r="AJ69" s="103"/>
      <c r="AK6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5" t="e">
        <f>(1 - ((1 - VLOOKUP(Table4[[#This Row],[ConfidentialityP]],'Reference - CVSSv3.0'!$B$15:$C$17,2,FALSE())) * (1 - VLOOKUP(Table4[[#This Row],[IntegrityP]],'Reference - CVSSv3.0'!$B$15:$C$17,2,FALSE())) *  (1 - VLOOKUP(Table4[[#This Row],[AvailabilityP]],'Reference - CVSSv3.0'!$B$15:$C$17,2,FALSE()))))</f>
        <v>#N/A</v>
      </c>
      <c r="AM69" s="95" t="e">
        <f>IF(Table4[[#This Row],[ScopeP]]="Unchanged",6.42*Table4[[#This Row],[ISC BaseP]],IF(Table4[[#This Row],[ScopeP]]="Changed",7.52*(Table4[[#This Row],[ISC BaseP]] - 0.029) - 3.25 * POWER(Table4[[#This Row],[ISC BaseP]] - 0.02,15),NA()))</f>
        <v>#N/A</v>
      </c>
      <c r="AN6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9"/>
    </row>
    <row r="70" spans="1:43" ht="140" x14ac:dyDescent="0.35">
      <c r="A70" s="88">
        <v>66</v>
      </c>
      <c r="B70" s="89" t="s">
        <v>170</v>
      </c>
      <c r="C70" s="99" t="str">
        <f>IF(VLOOKUP(Table4[[#This Row],[T ID]],Table5[#All],5,FALSE())="No","Not in scope",VLOOKUP(Table4[[#This Row],[T ID]],Table5[#All],2,FALSE()))</f>
        <v>Information disclosure
(STR(I)DE)</v>
      </c>
      <c r="D70" s="91" t="s">
        <v>108</v>
      </c>
      <c r="E70" s="99" t="str">
        <f>IF(VLOOKUP(Table4[[#This Row],[V ID]],Vulnerabilities[#All],3,FALSE())="No","Not in scope",VLOOKUP(Table4[[#This Row],[V ID]],Vulnerabilities[#All],2,FALSE()))</f>
        <v>Weak Algorthim implementation with respect cipher key size</v>
      </c>
      <c r="F70" s="14" t="s">
        <v>38</v>
      </c>
      <c r="G70" s="99" t="str">
        <f>VLOOKUP(Table4[[#This Row],[A ID]],Assets[#All],3,FALSE())</f>
        <v>Data at Rest</v>
      </c>
      <c r="H70" s="21" t="s">
        <v>266</v>
      </c>
      <c r="I70" s="21"/>
      <c r="J70" s="93" t="s">
        <v>240</v>
      </c>
      <c r="K70" s="93" t="s">
        <v>240</v>
      </c>
      <c r="L70" s="93" t="s">
        <v>240</v>
      </c>
      <c r="M70" s="94" t="s">
        <v>249</v>
      </c>
      <c r="N70" s="94" t="s">
        <v>250</v>
      </c>
      <c r="O70" s="94" t="s">
        <v>250</v>
      </c>
      <c r="P70" s="94" t="s">
        <v>245</v>
      </c>
      <c r="Q70" s="94" t="s">
        <v>243</v>
      </c>
      <c r="R7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95">
        <f>(1 - ((1 - VLOOKUP(Table4[[#This Row],[Confidentiality]],'Reference - CVSSv3.0'!$B$15:$C$17,2,FALSE())) * (1 - VLOOKUP(Table4[[#This Row],[Integrity]],'Reference - CVSSv3.0'!$B$15:$C$17,2,FALSE())) *  (1 - VLOOKUP(Table4[[#This Row],[Availability]],'Reference - CVSSv3.0'!$B$15:$C$17,2,FALSE()))))</f>
        <v>0.52544799999999992</v>
      </c>
      <c r="T70" s="95">
        <f>IF(Table4[[#This Row],[Scope]]="Unchanged",6.42*Table4[[#This Row],[ISC Base]],IF(Table4[[#This Row],[Scope]]="Changed",7.52*(Table4[[#This Row],[ISC Base]] - 0.029) - 3.25 * POWER(Table4[[#This Row],[ISC Base]] - 0.02,15),NA()))</f>
        <v>3.3733761599999994</v>
      </c>
      <c r="U70" s="95">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89" t="s">
        <v>251</v>
      </c>
      <c r="W70" s="95">
        <f>VLOOKUP(Table4[[#This Row],[Threat Event Initiation]],NIST_Scale_LOAI[],2,FALSE())</f>
        <v>0.5</v>
      </c>
      <c r="X7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1" t="s">
        <v>269</v>
      </c>
      <c r="AA70" s="250" t="s">
        <v>397</v>
      </c>
      <c r="AB70" s="110"/>
      <c r="AC70" s="39"/>
      <c r="AD70" s="39"/>
      <c r="AE70" s="39"/>
      <c r="AF70" s="94"/>
      <c r="AG70" s="94"/>
      <c r="AH70" s="94"/>
      <c r="AI70" s="94"/>
      <c r="AJ70" s="103"/>
      <c r="AK7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95" t="e">
        <f>(1 - ((1 - VLOOKUP(Table4[[#This Row],[ConfidentialityP]],'Reference - CVSSv3.0'!$B$15:$C$17,2,FALSE())) * (1 - VLOOKUP(Table4[[#This Row],[IntegrityP]],'Reference - CVSSv3.0'!$B$15:$C$17,2,FALSE())) *  (1 - VLOOKUP(Table4[[#This Row],[AvailabilityP]],'Reference - CVSSv3.0'!$B$15:$C$17,2,FALSE()))))</f>
        <v>#N/A</v>
      </c>
      <c r="AM70" s="95" t="e">
        <f>IF(Table4[[#This Row],[ScopeP]]="Unchanged",6.42*Table4[[#This Row],[ISC BaseP]],IF(Table4[[#This Row],[ScopeP]]="Changed",7.52*(Table4[[#This Row],[ISC BaseP]] - 0.029) - 3.25 * POWER(Table4[[#This Row],[ISC BaseP]] - 0.02,15),NA()))</f>
        <v>#N/A</v>
      </c>
      <c r="AN7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39"/>
    </row>
    <row r="71" spans="1:43" ht="140" x14ac:dyDescent="0.35">
      <c r="A71" s="88">
        <v>67</v>
      </c>
      <c r="B71" s="89" t="s">
        <v>170</v>
      </c>
      <c r="C71" s="99" t="str">
        <f>IF(VLOOKUP(Table4[[#This Row],[T ID]],Table5[#All],5,FALSE())="No","Not in scope",VLOOKUP(Table4[[#This Row],[T ID]],Table5[#All],2,FALSE()))</f>
        <v>Information disclosure
(STR(I)DE)</v>
      </c>
      <c r="D71" s="91" t="s">
        <v>108</v>
      </c>
      <c r="E71" s="99" t="str">
        <f>IF(VLOOKUP(Table4[[#This Row],[V ID]],Vulnerabilities[#All],3,FALSE())="No","Not in scope",VLOOKUP(Table4[[#This Row],[V ID]],Vulnerabilities[#All],2,FALSE()))</f>
        <v>Weak Algorthim implementation with respect cipher key size</v>
      </c>
      <c r="F71" s="14" t="s">
        <v>41</v>
      </c>
      <c r="G71" s="99" t="str">
        <f>VLOOKUP(Table4[[#This Row],[A ID]],Assets[#All],3,FALSE())</f>
        <v>Data in Transit</v>
      </c>
      <c r="H71" s="21" t="s">
        <v>266</v>
      </c>
      <c r="I71" s="21"/>
      <c r="J71" s="93" t="s">
        <v>240</v>
      </c>
      <c r="K71" s="93" t="s">
        <v>245</v>
      </c>
      <c r="L71" s="93" t="s">
        <v>240</v>
      </c>
      <c r="M71" s="94" t="s">
        <v>246</v>
      </c>
      <c r="N71" s="94" t="s">
        <v>250</v>
      </c>
      <c r="O71" s="94" t="s">
        <v>240</v>
      </c>
      <c r="P71" s="94" t="s">
        <v>245</v>
      </c>
      <c r="Q71" s="94" t="s">
        <v>243</v>
      </c>
      <c r="R7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95">
        <f>(1 - ((1 - VLOOKUP(Table4[[#This Row],[Confidentiality]],'Reference - CVSSv3.0'!$B$15:$C$17,2,FALSE())) * (1 - VLOOKUP(Table4[[#This Row],[Integrity]],'Reference - CVSSv3.0'!$B$15:$C$17,2,FALSE())) *  (1 - VLOOKUP(Table4[[#This Row],[Availability]],'Reference - CVSSv3.0'!$B$15:$C$17,2,FALSE()))))</f>
        <v>0.39159999999999995</v>
      </c>
      <c r="T71" s="95">
        <f>IF(Table4[[#This Row],[Scope]]="Unchanged",6.42*Table4[[#This Row],[ISC Base]],IF(Table4[[#This Row],[Scope]]="Changed",7.52*(Table4[[#This Row],[ISC Base]] - 0.029) - 3.25 * POWER(Table4[[#This Row],[ISC Base]] - 0.02,15),NA()))</f>
        <v>2.5140719999999996</v>
      </c>
      <c r="U71"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89" t="s">
        <v>251</v>
      </c>
      <c r="W71" s="95">
        <f>VLOOKUP(Table4[[#This Row],[Threat Event Initiation]],NIST_Scale_LOAI[],2,FALSE())</f>
        <v>0.5</v>
      </c>
      <c r="X7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1" t="s">
        <v>269</v>
      </c>
      <c r="AA71" s="250" t="s">
        <v>397</v>
      </c>
      <c r="AB71" s="110"/>
      <c r="AC71" s="39"/>
      <c r="AD71" s="39"/>
      <c r="AE71" s="39"/>
      <c r="AF71" s="94"/>
      <c r="AG71" s="94"/>
      <c r="AH71" s="94"/>
      <c r="AI71" s="94"/>
      <c r="AJ71" s="103"/>
      <c r="AK7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95" t="e">
        <f>(1 - ((1 - VLOOKUP(Table4[[#This Row],[ConfidentialityP]],'Reference - CVSSv3.0'!$B$15:$C$17,2,FALSE())) * (1 - VLOOKUP(Table4[[#This Row],[IntegrityP]],'Reference - CVSSv3.0'!$B$15:$C$17,2,FALSE())) *  (1 - VLOOKUP(Table4[[#This Row],[AvailabilityP]],'Reference - CVSSv3.0'!$B$15:$C$17,2,FALSE()))))</f>
        <v>#N/A</v>
      </c>
      <c r="AM71" s="95" t="e">
        <f>IF(Table4[[#This Row],[ScopeP]]="Unchanged",6.42*Table4[[#This Row],[ISC BaseP]],IF(Table4[[#This Row],[ScopeP]]="Changed",7.52*(Table4[[#This Row],[ISC BaseP]] - 0.029) - 3.25 * POWER(Table4[[#This Row],[ISC BaseP]] - 0.02,15),NA()))</f>
        <v>#N/A</v>
      </c>
      <c r="AN7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39"/>
    </row>
    <row r="72" spans="1:43" ht="182" x14ac:dyDescent="0.35">
      <c r="A72" s="88">
        <v>68</v>
      </c>
      <c r="B72" s="89" t="s">
        <v>170</v>
      </c>
      <c r="C72" s="99" t="str">
        <f>IF(VLOOKUP(Table4[[#This Row],[T ID]],Table5[#All],5,FALSE())="No","Not in scope",VLOOKUP(Table4[[#This Row],[T ID]],Table5[#All],2,FALSE()))</f>
        <v>Information disclosure
(STR(I)DE)</v>
      </c>
      <c r="D72" s="91" t="s">
        <v>113</v>
      </c>
      <c r="E72" s="99" t="str">
        <f>IF(VLOOKUP(Table4[[#This Row],[V ID]],Vulnerabilities[#All],3,FALSE())="No","Not in scope",VLOOKUP(Table4[[#This Row],[V ID]],Vulnerabilities[#All],2,FALSE()))</f>
        <v>InSecure Configuration for Software/OS on Mobile Devices, Laptops, Workstations, and Servers</v>
      </c>
      <c r="F72" s="100" t="s">
        <v>11</v>
      </c>
      <c r="G72" s="99" t="str">
        <f>VLOOKUP(Table4[[#This Row],[A ID]],Assets[#All],3,FALSE())</f>
        <v>Tablet Resources - web cam, microphone, OTG devices, Removable USB, Tablet Application, Network interfaces (Bluetooth, Wifi)</v>
      </c>
      <c r="H72" s="21" t="s">
        <v>266</v>
      </c>
      <c r="I72" s="21"/>
      <c r="J72" s="93" t="s">
        <v>240</v>
      </c>
      <c r="K72" s="93" t="s">
        <v>240</v>
      </c>
      <c r="L72" s="93" t="s">
        <v>240</v>
      </c>
      <c r="M72" s="94" t="s">
        <v>246</v>
      </c>
      <c r="N72" s="94" t="s">
        <v>250</v>
      </c>
      <c r="O72" s="94" t="s">
        <v>250</v>
      </c>
      <c r="P72" s="94" t="s">
        <v>245</v>
      </c>
      <c r="Q72" s="94" t="s">
        <v>243</v>
      </c>
      <c r="R7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5">
        <f>(1 - ((1 - VLOOKUP(Table4[[#This Row],[Confidentiality]],'Reference - CVSSv3.0'!$B$15:$C$17,2,FALSE())) * (1 - VLOOKUP(Table4[[#This Row],[Integrity]],'Reference - CVSSv3.0'!$B$15:$C$17,2,FALSE())) *  (1 - VLOOKUP(Table4[[#This Row],[Availability]],'Reference - CVSSv3.0'!$B$15:$C$17,2,FALSE()))))</f>
        <v>0.52544799999999992</v>
      </c>
      <c r="T72" s="95">
        <f>IF(Table4[[#This Row],[Scope]]="Unchanged",6.42*Table4[[#This Row],[ISC Base]],IF(Table4[[#This Row],[Scope]]="Changed",7.52*(Table4[[#This Row],[ISC Base]] - 0.029) - 3.25 * POWER(Table4[[#This Row],[ISC Base]] - 0.02,15),NA()))</f>
        <v>3.3733761599999994</v>
      </c>
      <c r="U72"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9" t="s">
        <v>251</v>
      </c>
      <c r="W72" s="95">
        <f>VLOOKUP(Table4[[#This Row],[Threat Event Initiation]],NIST_Scale_LOAI[],2,FALSE())</f>
        <v>0.5</v>
      </c>
      <c r="X7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21" t="s">
        <v>432</v>
      </c>
      <c r="AA72" s="21" t="s">
        <v>398</v>
      </c>
      <c r="AB72" s="110"/>
      <c r="AC72" s="39"/>
      <c r="AD72" s="39"/>
      <c r="AE72" s="39"/>
      <c r="AF72" s="94"/>
      <c r="AG72" s="94"/>
      <c r="AH72" s="94"/>
      <c r="AI72" s="94"/>
      <c r="AJ72" s="103"/>
      <c r="AK7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5" t="e">
        <f>(1 - ((1 - VLOOKUP(Table4[[#This Row],[ConfidentialityP]],'Reference - CVSSv3.0'!$B$15:$C$17,2,FALSE())) * (1 - VLOOKUP(Table4[[#This Row],[IntegrityP]],'Reference - CVSSv3.0'!$B$15:$C$17,2,FALSE())) *  (1 - VLOOKUP(Table4[[#This Row],[AvailabilityP]],'Reference - CVSSv3.0'!$B$15:$C$17,2,FALSE()))))</f>
        <v>#N/A</v>
      </c>
      <c r="AM72" s="95" t="e">
        <f>IF(Table4[[#This Row],[ScopeP]]="Unchanged",6.42*Table4[[#This Row],[ISC BaseP]],IF(Table4[[#This Row],[ScopeP]]="Changed",7.52*(Table4[[#This Row],[ISC BaseP]] - 0.029) - 3.25 * POWER(Table4[[#This Row],[ISC BaseP]] - 0.02,15),NA()))</f>
        <v>#N/A</v>
      </c>
      <c r="AN7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9"/>
    </row>
    <row r="73" spans="1:43" ht="350" x14ac:dyDescent="0.35">
      <c r="A73" s="88">
        <v>69</v>
      </c>
      <c r="B73" s="89" t="s">
        <v>170</v>
      </c>
      <c r="C73" s="99" t="str">
        <f>IF(VLOOKUP(Table4[[#This Row],[T ID]],Table5[#All],5,FALSE())="No","Not in scope",VLOOKUP(Table4[[#This Row],[T ID]],Table5[#All],2,FALSE()))</f>
        <v>Information disclosure
(STR(I)DE)</v>
      </c>
      <c r="D73" s="91" t="s">
        <v>97</v>
      </c>
      <c r="E73" s="99" t="str">
        <f>IF(VLOOKUP(Table4[[#This Row],[V ID]],Vulnerabilities[#All],3,FALSE())="No","Not in scope",VLOOKUP(Table4[[#This Row],[V ID]],Vulnerabilities[#All],2,FALSE()))</f>
        <v>Unencrypted Network segment through out the information flow</v>
      </c>
      <c r="F73" s="100" t="s">
        <v>41</v>
      </c>
      <c r="G73" s="99" t="str">
        <f>VLOOKUP(Table4[[#This Row],[A ID]],Assets[#All],3,FALSE())</f>
        <v>Data in Transit</v>
      </c>
      <c r="H73" s="21" t="s">
        <v>266</v>
      </c>
      <c r="I73" s="21"/>
      <c r="J73" s="93" t="s">
        <v>240</v>
      </c>
      <c r="K73" s="93" t="s">
        <v>245</v>
      </c>
      <c r="L73" s="93" t="s">
        <v>240</v>
      </c>
      <c r="M73" s="94" t="s">
        <v>246</v>
      </c>
      <c r="N73" s="94" t="s">
        <v>250</v>
      </c>
      <c r="O73" s="94" t="s">
        <v>240</v>
      </c>
      <c r="P73" s="94" t="s">
        <v>245</v>
      </c>
      <c r="Q73" s="94" t="s">
        <v>243</v>
      </c>
      <c r="R7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5">
        <f>(1 - ((1 - VLOOKUP(Table4[[#This Row],[Confidentiality]],'Reference - CVSSv3.0'!$B$15:$C$17,2,FALSE())) * (1 - VLOOKUP(Table4[[#This Row],[Integrity]],'Reference - CVSSv3.0'!$B$15:$C$17,2,FALSE())) *  (1 - VLOOKUP(Table4[[#This Row],[Availability]],'Reference - CVSSv3.0'!$B$15:$C$17,2,FALSE()))))</f>
        <v>0.39159999999999995</v>
      </c>
      <c r="T73" s="95">
        <f>IF(Table4[[#This Row],[Scope]]="Unchanged",6.42*Table4[[#This Row],[ISC Base]],IF(Table4[[#This Row],[Scope]]="Changed",7.52*(Table4[[#This Row],[ISC Base]] - 0.029) - 3.25 * POWER(Table4[[#This Row],[ISC Base]] - 0.02,15),NA()))</f>
        <v>2.5140719999999996</v>
      </c>
      <c r="U73"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9" t="s">
        <v>251</v>
      </c>
      <c r="W73" s="95">
        <f>VLOOKUP(Table4[[#This Row],[Threat Event Initiation]],NIST_Scale_LOAI[],2,FALSE())</f>
        <v>0.5</v>
      </c>
      <c r="X7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21" t="s">
        <v>419</v>
      </c>
      <c r="AA73" s="21" t="s">
        <v>271</v>
      </c>
      <c r="AB73" s="110"/>
      <c r="AC73" s="39"/>
      <c r="AD73" s="39"/>
      <c r="AE73" s="39"/>
      <c r="AF73" s="94"/>
      <c r="AG73" s="94"/>
      <c r="AH73" s="94"/>
      <c r="AI73" s="94"/>
      <c r="AJ73" s="103"/>
      <c r="AK7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5" t="e">
        <f>(1 - ((1 - VLOOKUP(Table4[[#This Row],[ConfidentialityP]],'Reference - CVSSv3.0'!$B$15:$C$17,2,FALSE())) * (1 - VLOOKUP(Table4[[#This Row],[IntegrityP]],'Reference - CVSSv3.0'!$B$15:$C$17,2,FALSE())) *  (1 - VLOOKUP(Table4[[#This Row],[AvailabilityP]],'Reference - CVSSv3.0'!$B$15:$C$17,2,FALSE()))))</f>
        <v>#N/A</v>
      </c>
      <c r="AM73" s="95" t="e">
        <f>IF(Table4[[#This Row],[ScopeP]]="Unchanged",6.42*Table4[[#This Row],[ISC BaseP]],IF(Table4[[#This Row],[ScopeP]]="Changed",7.52*(Table4[[#This Row],[ISC BaseP]] - 0.029) - 3.25 * POWER(Table4[[#This Row],[ISC BaseP]] - 0.02,15),NA()))</f>
        <v>#N/A</v>
      </c>
      <c r="AN7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9"/>
    </row>
    <row r="74" spans="1:43" ht="131.5" customHeight="1" x14ac:dyDescent="0.35">
      <c r="A74" s="88">
        <v>70</v>
      </c>
      <c r="B74" s="89" t="s">
        <v>170</v>
      </c>
      <c r="C74" s="99" t="str">
        <f>IF(VLOOKUP(Table4[[#This Row],[T ID]],Table5[#All],5,FALSE())="No","Not in scope",VLOOKUP(Table4[[#This Row],[T ID]],Table5[#All],2,FALSE()))</f>
        <v>Information disclosure
(STR(I)DE)</v>
      </c>
      <c r="D74" s="91" t="s">
        <v>77</v>
      </c>
      <c r="E74" s="99" t="str">
        <f>IF(VLOOKUP(Table4[[#This Row],[V ID]],Vulnerabilities[#All],3,FALSE())="No","Not in scope",VLOOKUP(Table4[[#This Row],[V ID]],Vulnerabilities[#All],2,FALSE()))</f>
        <v>Insecure communications in networks (hospital)</v>
      </c>
      <c r="F74" s="100" t="s">
        <v>41</v>
      </c>
      <c r="G74" s="99" t="str">
        <f>VLOOKUP(Table4[[#This Row],[A ID]],Assets[#All],3,FALSE())</f>
        <v>Data in Transit</v>
      </c>
      <c r="H74" s="21" t="s">
        <v>266</v>
      </c>
      <c r="I74" s="21"/>
      <c r="J74" s="93" t="s">
        <v>240</v>
      </c>
      <c r="K74" s="93" t="s">
        <v>245</v>
      </c>
      <c r="L74" s="93" t="s">
        <v>240</v>
      </c>
      <c r="M74" s="94" t="s">
        <v>246</v>
      </c>
      <c r="N74" s="94" t="s">
        <v>250</v>
      </c>
      <c r="O74" s="94" t="s">
        <v>240</v>
      </c>
      <c r="P74" s="94" t="s">
        <v>245</v>
      </c>
      <c r="Q74" s="94" t="s">
        <v>243</v>
      </c>
      <c r="R7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5">
        <f>(1 - ((1 - VLOOKUP(Table4[[#This Row],[Confidentiality]],'Reference - CVSSv3.0'!$B$15:$C$17,2,FALSE())) * (1 - VLOOKUP(Table4[[#This Row],[Integrity]],'Reference - CVSSv3.0'!$B$15:$C$17,2,FALSE())) *  (1 - VLOOKUP(Table4[[#This Row],[Availability]],'Reference - CVSSv3.0'!$B$15:$C$17,2,FALSE()))))</f>
        <v>0.39159999999999995</v>
      </c>
      <c r="T74" s="95">
        <f>IF(Table4[[#This Row],[Scope]]="Unchanged",6.42*Table4[[#This Row],[ISC Base]],IF(Table4[[#This Row],[Scope]]="Changed",7.52*(Table4[[#This Row],[ISC Base]] - 0.029) - 3.25 * POWER(Table4[[#This Row],[ISC Base]] - 0.02,15),NA()))</f>
        <v>2.5140719999999996</v>
      </c>
      <c r="U74"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9" t="s">
        <v>251</v>
      </c>
      <c r="W74" s="95">
        <f>VLOOKUP(Table4[[#This Row],[Threat Event Initiation]],NIST_Scale_LOAI[],2,FALSE())</f>
        <v>0.5</v>
      </c>
      <c r="X7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21" t="s">
        <v>272</v>
      </c>
      <c r="AA74" s="21" t="s">
        <v>273</v>
      </c>
      <c r="AB74" s="110"/>
      <c r="AC74" s="39"/>
      <c r="AD74" s="39"/>
      <c r="AE74" s="39"/>
      <c r="AF74" s="94"/>
      <c r="AG74" s="94"/>
      <c r="AH74" s="94"/>
      <c r="AI74" s="94"/>
      <c r="AJ74" s="103"/>
      <c r="AK7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5" t="e">
        <f>(1 - ((1 - VLOOKUP(Table4[[#This Row],[ConfidentialityP]],'Reference - CVSSv3.0'!$B$15:$C$17,2,FALSE())) * (1 - VLOOKUP(Table4[[#This Row],[IntegrityP]],'Reference - CVSSv3.0'!$B$15:$C$17,2,FALSE())) *  (1 - VLOOKUP(Table4[[#This Row],[AvailabilityP]],'Reference - CVSSv3.0'!$B$15:$C$17,2,FALSE()))))</f>
        <v>#N/A</v>
      </c>
      <c r="AM74" s="95" t="e">
        <f>IF(Table4[[#This Row],[ScopeP]]="Unchanged",6.42*Table4[[#This Row],[ISC BaseP]],IF(Table4[[#This Row],[ScopeP]]="Changed",7.52*(Table4[[#This Row],[ISC BaseP]] - 0.029) - 3.25 * POWER(Table4[[#This Row],[ISC BaseP]] - 0.02,15),NA()))</f>
        <v>#N/A</v>
      </c>
      <c r="AN7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9"/>
    </row>
    <row r="75" spans="1:43" ht="182" x14ac:dyDescent="0.35">
      <c r="A75" s="88">
        <v>71</v>
      </c>
      <c r="B75" s="89" t="s">
        <v>173</v>
      </c>
      <c r="C75" s="99" t="str">
        <f>IF(VLOOKUP(Table4[[#This Row],[T ID]],Table5[#All],5,FALSE())="No","Not in scope",VLOOKUP(Table4[[#This Row],[T ID]],Table5[#All],2,FALSE()))</f>
        <v>Data Access
(STR[I]DE)</v>
      </c>
      <c r="D75" s="60" t="s">
        <v>93</v>
      </c>
      <c r="E75" s="99" t="str">
        <f>IF(VLOOKUP(Table4[[#This Row],[V ID]],Vulnerabilities[#All],3,FALSE())="No","Not in scope",VLOOKUP(Table4[[#This Row],[V ID]],Vulnerabilities[#All],2,FALSE()))</f>
        <v>Unprotected network port(s) on network devices and connection points</v>
      </c>
      <c r="F75" s="100" t="s">
        <v>11</v>
      </c>
      <c r="G75" s="99" t="str">
        <f>VLOOKUP(Table4[[#This Row],[A ID]],Assets[#All],3,FALSE())</f>
        <v>Tablet Resources - web cam, microphone, OTG devices, Removable USB, Tablet Application, Network interfaces (Bluetooth, Wifi)</v>
      </c>
      <c r="H75" s="21" t="s">
        <v>274</v>
      </c>
      <c r="I75" s="21"/>
      <c r="J75" s="93" t="s">
        <v>245</v>
      </c>
      <c r="K75" s="93" t="s">
        <v>245</v>
      </c>
      <c r="L75" s="93" t="s">
        <v>250</v>
      </c>
      <c r="M75" s="94" t="s">
        <v>246</v>
      </c>
      <c r="N75" s="94" t="s">
        <v>250</v>
      </c>
      <c r="O75" s="94" t="s">
        <v>250</v>
      </c>
      <c r="P75" s="94" t="s">
        <v>245</v>
      </c>
      <c r="Q75" s="94" t="s">
        <v>243</v>
      </c>
      <c r="R7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5">
        <f>(1 - ((1 - VLOOKUP(Table4[[#This Row],[Confidentiality]],'Reference - CVSSv3.0'!$B$15:$C$17,2,FALSE())) * (1 - VLOOKUP(Table4[[#This Row],[Integrity]],'Reference - CVSSv3.0'!$B$15:$C$17,2,FALSE())) *  (1 - VLOOKUP(Table4[[#This Row],[Availability]],'Reference - CVSSv3.0'!$B$15:$C$17,2,FALSE()))))</f>
        <v>0.56000000000000005</v>
      </c>
      <c r="T75" s="95">
        <f>IF(Table4[[#This Row],[Scope]]="Unchanged",6.42*Table4[[#This Row],[ISC Base]],IF(Table4[[#This Row],[Scope]]="Changed",7.52*(Table4[[#This Row],[ISC Base]] - 0.029) - 3.25 * POWER(Table4[[#This Row],[ISC Base]] - 0.02,15),NA()))</f>
        <v>3.5952000000000002</v>
      </c>
      <c r="U75"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9" t="s">
        <v>240</v>
      </c>
      <c r="W75" s="95">
        <f>VLOOKUP(Table4[[#This Row],[Threat Event Initiation]],NIST_Scale_LOAI[],2,FALSE())</f>
        <v>0.2</v>
      </c>
      <c r="X7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21" t="s">
        <v>431</v>
      </c>
      <c r="AA75" s="21" t="s">
        <v>270</v>
      </c>
      <c r="AB75" s="110"/>
      <c r="AC75" s="39"/>
      <c r="AD75" s="39"/>
      <c r="AE75" s="39"/>
      <c r="AF75" s="94"/>
      <c r="AG75" s="94"/>
      <c r="AH75" s="94"/>
      <c r="AI75" s="94"/>
      <c r="AJ75" s="103"/>
      <c r="AK7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5" t="e">
        <f>(1 - ((1 - VLOOKUP(Table4[[#This Row],[ConfidentialityP]],'Reference - CVSSv3.0'!$B$15:$C$17,2,FALSE())) * (1 - VLOOKUP(Table4[[#This Row],[IntegrityP]],'Reference - CVSSv3.0'!$B$15:$C$17,2,FALSE())) *  (1 - VLOOKUP(Table4[[#This Row],[AvailabilityP]],'Reference - CVSSv3.0'!$B$15:$C$17,2,FALSE()))))</f>
        <v>#N/A</v>
      </c>
      <c r="AM75" s="95" t="e">
        <f>IF(Table4[[#This Row],[ScopeP]]="Unchanged",6.42*Table4[[#This Row],[ISC BaseP]],IF(Table4[[#This Row],[ScopeP]]="Changed",7.52*(Table4[[#This Row],[ISC BaseP]] - 0.029) - 3.25 * POWER(Table4[[#This Row],[ISC BaseP]] - 0.02,15),NA()))</f>
        <v>#N/A</v>
      </c>
      <c r="AN7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9"/>
    </row>
    <row r="76" spans="1:43" ht="182" x14ac:dyDescent="0.35">
      <c r="A76" s="88">
        <v>72</v>
      </c>
      <c r="B76" s="89" t="s">
        <v>173</v>
      </c>
      <c r="C76" s="99" t="str">
        <f>IF(VLOOKUP(Table4[[#This Row],[T ID]],Table5[#All],5,FALSE())="No","Not in scope",VLOOKUP(Table4[[#This Row],[T ID]],Table5[#All],2,FALSE()))</f>
        <v>Data Access
(STR[I]DE)</v>
      </c>
      <c r="D76" s="60" t="s">
        <v>93</v>
      </c>
      <c r="E76" s="99" t="str">
        <f>IF(VLOOKUP(Table4[[#This Row],[V ID]],Vulnerabilities[#All],3,FALSE())="No","Not in scope",VLOOKUP(Table4[[#This Row],[V ID]],Vulnerabilities[#All],2,FALSE()))</f>
        <v>Unprotected network port(s) on network devices and connection points</v>
      </c>
      <c r="F76" s="100" t="s">
        <v>15</v>
      </c>
      <c r="G76" s="99" t="str">
        <f>VLOOKUP(Table4[[#This Row],[A ID]],Assets[#All],3,FALSE())</f>
        <v>Tablet OS/network details &amp; Tablet Application</v>
      </c>
      <c r="H76" s="21" t="s">
        <v>274</v>
      </c>
      <c r="I76" s="21"/>
      <c r="J76" s="93" t="s">
        <v>245</v>
      </c>
      <c r="K76" s="93" t="s">
        <v>240</v>
      </c>
      <c r="L76" s="93" t="s">
        <v>240</v>
      </c>
      <c r="M76" s="94" t="s">
        <v>246</v>
      </c>
      <c r="N76" s="94" t="s">
        <v>250</v>
      </c>
      <c r="O76" s="94" t="s">
        <v>250</v>
      </c>
      <c r="P76" s="94" t="s">
        <v>245</v>
      </c>
      <c r="Q76" s="94" t="s">
        <v>243</v>
      </c>
      <c r="R7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5">
        <f>(1 - ((1 - VLOOKUP(Table4[[#This Row],[Confidentiality]],'Reference - CVSSv3.0'!$B$15:$C$17,2,FALSE())) * (1 - VLOOKUP(Table4[[#This Row],[Integrity]],'Reference - CVSSv3.0'!$B$15:$C$17,2,FALSE())) *  (1 - VLOOKUP(Table4[[#This Row],[Availability]],'Reference - CVSSv3.0'!$B$15:$C$17,2,FALSE()))))</f>
        <v>0.39159999999999995</v>
      </c>
      <c r="T76" s="95">
        <f>IF(Table4[[#This Row],[Scope]]="Unchanged",6.42*Table4[[#This Row],[ISC Base]],IF(Table4[[#This Row],[Scope]]="Changed",7.52*(Table4[[#This Row],[ISC Base]] - 0.029) - 3.25 * POWER(Table4[[#This Row],[ISC Base]] - 0.02,15),NA()))</f>
        <v>2.5140719999999996</v>
      </c>
      <c r="U76"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9" t="s">
        <v>240</v>
      </c>
      <c r="W76" s="95">
        <f>VLOOKUP(Table4[[#This Row],[Threat Event Initiation]],NIST_Scale_LOAI[],2,FALSE())</f>
        <v>0.2</v>
      </c>
      <c r="X7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21" t="s">
        <v>431</v>
      </c>
      <c r="AA76" s="21" t="s">
        <v>270</v>
      </c>
      <c r="AB76" s="110"/>
      <c r="AC76" s="39"/>
      <c r="AD76" s="39"/>
      <c r="AE76" s="39"/>
      <c r="AF76" s="94"/>
      <c r="AG76" s="94"/>
      <c r="AH76" s="94"/>
      <c r="AI76" s="94"/>
      <c r="AJ76" s="103"/>
      <c r="AK7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5" t="e">
        <f>(1 - ((1 - VLOOKUP(Table4[[#This Row],[ConfidentialityP]],'Reference - CVSSv3.0'!$B$15:$C$17,2,FALSE())) * (1 - VLOOKUP(Table4[[#This Row],[IntegrityP]],'Reference - CVSSv3.0'!$B$15:$C$17,2,FALSE())) *  (1 - VLOOKUP(Table4[[#This Row],[AvailabilityP]],'Reference - CVSSv3.0'!$B$15:$C$17,2,FALSE()))))</f>
        <v>#N/A</v>
      </c>
      <c r="AM76" s="95" t="e">
        <f>IF(Table4[[#This Row],[ScopeP]]="Unchanged",6.42*Table4[[#This Row],[ISC BaseP]],IF(Table4[[#This Row],[ScopeP]]="Changed",7.52*(Table4[[#This Row],[ISC BaseP]] - 0.029) - 3.25 * POWER(Table4[[#This Row],[ISC BaseP]] - 0.02,15),NA()))</f>
        <v>#N/A</v>
      </c>
      <c r="AN7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9"/>
    </row>
    <row r="77" spans="1:43" ht="409.6" customHeight="1" x14ac:dyDescent="0.35">
      <c r="A77" s="88">
        <v>73</v>
      </c>
      <c r="B77" s="89" t="s">
        <v>173</v>
      </c>
      <c r="C77" s="99" t="str">
        <f>IF(VLOOKUP(Table4[[#This Row],[T ID]],Table5[#All],5,FALSE())="No","Not in scope",VLOOKUP(Table4[[#This Row],[T ID]],Table5[#All],2,FALSE()))</f>
        <v>Data Access
(STR[I]DE)</v>
      </c>
      <c r="D77" s="60" t="s">
        <v>67</v>
      </c>
      <c r="E77" s="99" t="str">
        <f>IF(VLOOKUP(Table4[[#This Row],[V ID]],Vulnerabilities[#All],3,FALSE())="No","Not in scope",VLOOKUP(Table4[[#This Row],[V ID]],Vulnerabilities[#All],2,FALSE()))</f>
        <v>Devices with default passwords needs to be checked for bruteforce attacks</v>
      </c>
      <c r="F77" s="14" t="s">
        <v>38</v>
      </c>
      <c r="G77" s="99" t="str">
        <f>VLOOKUP(Table4[[#This Row],[A ID]],Assets[#All],3,FALSE())</f>
        <v>Data at Rest</v>
      </c>
      <c r="H77" s="21" t="s">
        <v>274</v>
      </c>
      <c r="I77" s="21"/>
      <c r="J77" s="93" t="s">
        <v>240</v>
      </c>
      <c r="K77" s="93" t="s">
        <v>240</v>
      </c>
      <c r="L77" s="93" t="s">
        <v>240</v>
      </c>
      <c r="M77" s="94" t="s">
        <v>246</v>
      </c>
      <c r="N77" s="94" t="s">
        <v>250</v>
      </c>
      <c r="O77" s="94" t="s">
        <v>250</v>
      </c>
      <c r="P77" s="94" t="s">
        <v>245</v>
      </c>
      <c r="Q77" s="94" t="s">
        <v>243</v>
      </c>
      <c r="R7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5">
        <f>(1 - ((1 - VLOOKUP(Table4[[#This Row],[Confidentiality]],'Reference - CVSSv3.0'!$B$15:$C$17,2,FALSE())) * (1 - VLOOKUP(Table4[[#This Row],[Integrity]],'Reference - CVSSv3.0'!$B$15:$C$17,2,FALSE())) *  (1 - VLOOKUP(Table4[[#This Row],[Availability]],'Reference - CVSSv3.0'!$B$15:$C$17,2,FALSE()))))</f>
        <v>0.52544799999999992</v>
      </c>
      <c r="T77" s="95">
        <f>IF(Table4[[#This Row],[Scope]]="Unchanged",6.42*Table4[[#This Row],[ISC Base]],IF(Table4[[#This Row],[Scope]]="Changed",7.52*(Table4[[#This Row],[ISC Base]] - 0.029) - 3.25 * POWER(Table4[[#This Row],[ISC Base]] - 0.02,15),NA()))</f>
        <v>3.3733761599999994</v>
      </c>
      <c r="U77"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9" t="s">
        <v>240</v>
      </c>
      <c r="W77" s="95">
        <f>VLOOKUP(Table4[[#This Row],[Threat Event Initiation]],NIST_Scale_LOAI[],2,FALSE())</f>
        <v>0.2</v>
      </c>
      <c r="X7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13" t="s">
        <v>275</v>
      </c>
      <c r="AA77" s="21" t="s">
        <v>276</v>
      </c>
      <c r="AB77" s="110"/>
      <c r="AC77" s="39"/>
      <c r="AD77" s="39"/>
      <c r="AE77" s="39"/>
      <c r="AF77" s="94"/>
      <c r="AG77" s="94"/>
      <c r="AH77" s="94"/>
      <c r="AI77" s="94"/>
      <c r="AJ77" s="103"/>
      <c r="AK7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5" t="e">
        <f>(1 - ((1 - VLOOKUP(Table4[[#This Row],[ConfidentialityP]],'Reference - CVSSv3.0'!$B$15:$C$17,2,FALSE())) * (1 - VLOOKUP(Table4[[#This Row],[IntegrityP]],'Reference - CVSSv3.0'!$B$15:$C$17,2,FALSE())) *  (1 - VLOOKUP(Table4[[#This Row],[AvailabilityP]],'Reference - CVSSv3.0'!$B$15:$C$17,2,FALSE()))))</f>
        <v>#N/A</v>
      </c>
      <c r="AM77" s="95" t="e">
        <f>IF(Table4[[#This Row],[ScopeP]]="Unchanged",6.42*Table4[[#This Row],[ISC BaseP]],IF(Table4[[#This Row],[ScopeP]]="Changed",7.52*(Table4[[#This Row],[ISC BaseP]] - 0.029) - 3.25 * POWER(Table4[[#This Row],[ISC BaseP]] - 0.02,15),NA()))</f>
        <v>#N/A</v>
      </c>
      <c r="AN7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9"/>
    </row>
    <row r="78" spans="1:43" ht="409.5" x14ac:dyDescent="0.35">
      <c r="A78" s="88">
        <v>74</v>
      </c>
      <c r="B78" s="89" t="s">
        <v>173</v>
      </c>
      <c r="C78" s="99" t="str">
        <f>IF(VLOOKUP(Table4[[#This Row],[T ID]],Table5[#All],5,FALSE())="No","Not in scope",VLOOKUP(Table4[[#This Row],[T ID]],Table5[#All],2,FALSE()))</f>
        <v>Data Access
(STR[I]DE)</v>
      </c>
      <c r="D78" s="60" t="s">
        <v>67</v>
      </c>
      <c r="E78" s="99" t="str">
        <f>IF(VLOOKUP(Table4[[#This Row],[V ID]],Vulnerabilities[#All],3,FALSE())="No","Not in scope",VLOOKUP(Table4[[#This Row],[V ID]],Vulnerabilities[#All],2,FALSE()))</f>
        <v>Devices with default passwords needs to be checked for bruteforce attacks</v>
      </c>
      <c r="F78" s="108" t="s">
        <v>23</v>
      </c>
      <c r="G78" s="99" t="str">
        <f>VLOOKUP(Table4[[#This Row],[A ID]],Assets[#All],3,FALSE())</f>
        <v>Authentication/Authorisation method of all device(s)/app</v>
      </c>
      <c r="H78" s="21" t="s">
        <v>277</v>
      </c>
      <c r="I78" s="21"/>
      <c r="J78" s="93" t="s">
        <v>250</v>
      </c>
      <c r="K78" s="93" t="s">
        <v>245</v>
      </c>
      <c r="L78" s="93" t="s">
        <v>245</v>
      </c>
      <c r="M78" s="94" t="s">
        <v>246</v>
      </c>
      <c r="N78" s="94" t="s">
        <v>250</v>
      </c>
      <c r="O78" s="94" t="s">
        <v>250</v>
      </c>
      <c r="P78" s="94" t="s">
        <v>245</v>
      </c>
      <c r="Q78" s="94" t="s">
        <v>243</v>
      </c>
      <c r="R7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5">
        <f>(1 - ((1 - VLOOKUP(Table4[[#This Row],[Confidentiality]],'Reference - CVSSv3.0'!$B$15:$C$17,2,FALSE())) * (1 - VLOOKUP(Table4[[#This Row],[Integrity]],'Reference - CVSSv3.0'!$B$15:$C$17,2,FALSE())) *  (1 - VLOOKUP(Table4[[#This Row],[Availability]],'Reference - CVSSv3.0'!$B$15:$C$17,2,FALSE()))))</f>
        <v>0.56000000000000005</v>
      </c>
      <c r="T78" s="95">
        <f>IF(Table4[[#This Row],[Scope]]="Unchanged",6.42*Table4[[#This Row],[ISC Base]],IF(Table4[[#This Row],[Scope]]="Changed",7.52*(Table4[[#This Row],[ISC Base]] - 0.029) - 3.25 * POWER(Table4[[#This Row],[ISC Base]] - 0.02,15),NA()))</f>
        <v>3.5952000000000002</v>
      </c>
      <c r="U78"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9" t="s">
        <v>251</v>
      </c>
      <c r="W78" s="95">
        <f>VLOOKUP(Table4[[#This Row],[Threat Event Initiation]],NIST_Scale_LOAI[],2,FALSE())</f>
        <v>0.5</v>
      </c>
      <c r="X7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13" t="s">
        <v>275</v>
      </c>
      <c r="AA78" s="250" t="s">
        <v>399</v>
      </c>
      <c r="AB78" s="110"/>
      <c r="AC78" s="39"/>
      <c r="AD78" s="39"/>
      <c r="AE78" s="39"/>
      <c r="AF78" s="94"/>
      <c r="AG78" s="94"/>
      <c r="AH78" s="94"/>
      <c r="AI78" s="94"/>
      <c r="AJ78" s="103"/>
      <c r="AK7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5" t="e">
        <f>(1 - ((1 - VLOOKUP(Table4[[#This Row],[ConfidentialityP]],'Reference - CVSSv3.0'!$B$15:$C$17,2,FALSE())) * (1 - VLOOKUP(Table4[[#This Row],[IntegrityP]],'Reference - CVSSv3.0'!$B$15:$C$17,2,FALSE())) *  (1 - VLOOKUP(Table4[[#This Row],[AvailabilityP]],'Reference - CVSSv3.0'!$B$15:$C$17,2,FALSE()))))</f>
        <v>#N/A</v>
      </c>
      <c r="AM78" s="95" t="e">
        <f>IF(Table4[[#This Row],[ScopeP]]="Unchanged",6.42*Table4[[#This Row],[ISC BaseP]],IF(Table4[[#This Row],[ScopeP]]="Changed",7.52*(Table4[[#This Row],[ISC BaseP]] - 0.029) - 3.25 * POWER(Table4[[#This Row],[ISC BaseP]] - 0.02,15),NA()))</f>
        <v>#N/A</v>
      </c>
      <c r="AN7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9"/>
    </row>
    <row r="79" spans="1:43" ht="409.5" x14ac:dyDescent="0.35">
      <c r="A79" s="105">
        <v>75</v>
      </c>
      <c r="B79" s="89" t="s">
        <v>173</v>
      </c>
      <c r="C79" s="99" t="str">
        <f>IF(VLOOKUP(Table4[[#This Row],[T ID]],Table5[#All],5,FALSE())="No","Not in scope",VLOOKUP(Table4[[#This Row],[T ID]],Table5[#All],2,FALSE()))</f>
        <v>Data Access
(STR[I]DE)</v>
      </c>
      <c r="D79" s="60" t="s">
        <v>67</v>
      </c>
      <c r="E79" s="99" t="str">
        <f>IF(VLOOKUP(Table4[[#This Row],[V ID]],Vulnerabilities[#All],3,FALSE())="No","Not in scope",VLOOKUP(Table4[[#This Row],[V ID]],Vulnerabilities[#All],2,FALSE()))</f>
        <v>Devices with default passwords needs to be checked for bruteforce attacks</v>
      </c>
      <c r="F79" s="14" t="s">
        <v>41</v>
      </c>
      <c r="G79" s="99" t="str">
        <f>VLOOKUP(Table4[[#This Row],[A ID]],Assets[#All],3,FALSE())</f>
        <v>Data in Transit</v>
      </c>
      <c r="H79" s="21" t="s">
        <v>277</v>
      </c>
      <c r="I79" s="21"/>
      <c r="J79" s="93" t="s">
        <v>250</v>
      </c>
      <c r="K79" s="93" t="s">
        <v>245</v>
      </c>
      <c r="L79" s="93" t="s">
        <v>245</v>
      </c>
      <c r="M79" s="94" t="s">
        <v>246</v>
      </c>
      <c r="N79" s="94" t="s">
        <v>250</v>
      </c>
      <c r="O79" s="94" t="s">
        <v>250</v>
      </c>
      <c r="P79" s="94" t="s">
        <v>245</v>
      </c>
      <c r="Q79" s="94" t="s">
        <v>243</v>
      </c>
      <c r="R7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5">
        <f>(1 - ((1 - VLOOKUP(Table4[[#This Row],[Confidentiality]],'Reference - CVSSv3.0'!$B$15:$C$17,2,FALSE())) * (1 - VLOOKUP(Table4[[#This Row],[Integrity]],'Reference - CVSSv3.0'!$B$15:$C$17,2,FALSE())) *  (1 - VLOOKUP(Table4[[#This Row],[Availability]],'Reference - CVSSv3.0'!$B$15:$C$17,2,FALSE()))))</f>
        <v>0.56000000000000005</v>
      </c>
      <c r="T79" s="95">
        <f>IF(Table4[[#This Row],[Scope]]="Unchanged",6.42*Table4[[#This Row],[ISC Base]],IF(Table4[[#This Row],[Scope]]="Changed",7.52*(Table4[[#This Row],[ISC Base]] - 0.029) - 3.25 * POWER(Table4[[#This Row],[ISC Base]] - 0.02,15),NA()))</f>
        <v>3.5952000000000002</v>
      </c>
      <c r="U79" s="95">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9" t="s">
        <v>240</v>
      </c>
      <c r="W79" s="95">
        <f>VLOOKUP(Table4[[#This Row],[Threat Event Initiation]],NIST_Scale_LOAI[],2,FALSE())</f>
        <v>0.2</v>
      </c>
      <c r="X7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13" t="s">
        <v>278</v>
      </c>
      <c r="AA79" s="250" t="s">
        <v>400</v>
      </c>
      <c r="AB79" s="110"/>
      <c r="AC79" s="39"/>
      <c r="AD79" s="39"/>
      <c r="AE79" s="39"/>
      <c r="AF79" s="94"/>
      <c r="AG79" s="94"/>
      <c r="AH79" s="94"/>
      <c r="AI79" s="94"/>
      <c r="AJ79" s="103"/>
      <c r="AK7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5" t="e">
        <f>(1 - ((1 - VLOOKUP(Table4[[#This Row],[ConfidentialityP]],'Reference - CVSSv3.0'!$B$15:$C$17,2,FALSE())) * (1 - VLOOKUP(Table4[[#This Row],[IntegrityP]],'Reference - CVSSv3.0'!$B$15:$C$17,2,FALSE())) *  (1 - VLOOKUP(Table4[[#This Row],[AvailabilityP]],'Reference - CVSSv3.0'!$B$15:$C$17,2,FALSE()))))</f>
        <v>#N/A</v>
      </c>
      <c r="AM79" s="95" t="e">
        <f>IF(Table4[[#This Row],[ScopeP]]="Unchanged",6.42*Table4[[#This Row],[ISC BaseP]],IF(Table4[[#This Row],[ScopeP]]="Changed",7.52*(Table4[[#This Row],[ISC BaseP]] - 0.029) - 3.25 * POWER(Table4[[#This Row],[ISC BaseP]] - 0.02,15),NA()))</f>
        <v>#N/A</v>
      </c>
      <c r="AN7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9"/>
    </row>
    <row r="80" spans="1:43" ht="409.5" x14ac:dyDescent="0.35">
      <c r="A80" s="88">
        <v>76</v>
      </c>
      <c r="B80" s="89" t="s">
        <v>173</v>
      </c>
      <c r="C80" s="99" t="str">
        <f>IF(VLOOKUP(Table4[[#This Row],[T ID]],Table5[#All],5,FALSE())="No","Not in scope",VLOOKUP(Table4[[#This Row],[T ID]],Table5[#All],2,FALSE()))</f>
        <v>Data Access
(STR[I]DE)</v>
      </c>
      <c r="D80" s="60" t="s">
        <v>73</v>
      </c>
      <c r="E80" s="99" t="str">
        <f>IF(VLOOKUP(Table4[[#This Row],[V ID]],Vulnerabilities[#All],3,FALSE())="No","Not in scope",VLOOKUP(Table4[[#This Row],[V ID]],Vulnerabilities[#All],2,FALSE()))</f>
        <v>The password complexity or location vulnerability. Like weak passwords and hardcoded passwords.</v>
      </c>
      <c r="F80" s="14" t="s">
        <v>38</v>
      </c>
      <c r="G80" s="99" t="str">
        <f>VLOOKUP(Table4[[#This Row],[A ID]],Assets[#All],3,FALSE())</f>
        <v>Data at Rest</v>
      </c>
      <c r="H80" s="21" t="s">
        <v>277</v>
      </c>
      <c r="I80" s="21"/>
      <c r="J80" s="93" t="s">
        <v>240</v>
      </c>
      <c r="K80" s="93" t="s">
        <v>240</v>
      </c>
      <c r="L80" s="93" t="s">
        <v>240</v>
      </c>
      <c r="M80" s="94" t="s">
        <v>246</v>
      </c>
      <c r="N80" s="94" t="s">
        <v>250</v>
      </c>
      <c r="O80" s="94" t="s">
        <v>250</v>
      </c>
      <c r="P80" s="94" t="s">
        <v>245</v>
      </c>
      <c r="Q80" s="94" t="s">
        <v>243</v>
      </c>
      <c r="R8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95">
        <f>(1 - ((1 - VLOOKUP(Table4[[#This Row],[Confidentiality]],'Reference - CVSSv3.0'!$B$15:$C$17,2,FALSE())) * (1 - VLOOKUP(Table4[[#This Row],[Integrity]],'Reference - CVSSv3.0'!$B$15:$C$17,2,FALSE())) *  (1 - VLOOKUP(Table4[[#This Row],[Availability]],'Reference - CVSSv3.0'!$B$15:$C$17,2,FALSE()))))</f>
        <v>0.52544799999999992</v>
      </c>
      <c r="T80" s="95">
        <f>IF(Table4[[#This Row],[Scope]]="Unchanged",6.42*Table4[[#This Row],[ISC Base]],IF(Table4[[#This Row],[Scope]]="Changed",7.52*(Table4[[#This Row],[ISC Base]] - 0.029) - 3.25 * POWER(Table4[[#This Row],[ISC Base]] - 0.02,15),NA()))</f>
        <v>3.3733761599999994</v>
      </c>
      <c r="U80" s="95">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89" t="s">
        <v>240</v>
      </c>
      <c r="W80" s="95">
        <f>VLOOKUP(Table4[[#This Row],[Threat Event Initiation]],NIST_Scale_LOAI[],2,FALSE())</f>
        <v>0.2</v>
      </c>
      <c r="X8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1" t="s">
        <v>421</v>
      </c>
      <c r="AA80" s="113" t="s">
        <v>279</v>
      </c>
      <c r="AB80" s="110"/>
      <c r="AC80" s="39"/>
      <c r="AD80" s="39"/>
      <c r="AE80" s="39"/>
      <c r="AF80" s="94"/>
      <c r="AG80" s="94"/>
      <c r="AH80" s="94"/>
      <c r="AI80" s="94"/>
      <c r="AJ80" s="103"/>
      <c r="AK8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5" t="e">
        <f>(1 - ((1 - VLOOKUP(Table4[[#This Row],[ConfidentialityP]],'Reference - CVSSv3.0'!$B$15:$C$17,2,FALSE())) * (1 - VLOOKUP(Table4[[#This Row],[IntegrityP]],'Reference - CVSSv3.0'!$B$15:$C$17,2,FALSE())) *  (1 - VLOOKUP(Table4[[#This Row],[AvailabilityP]],'Reference - CVSSv3.0'!$B$15:$C$17,2,FALSE()))))</f>
        <v>#N/A</v>
      </c>
      <c r="AM80" s="95" t="e">
        <f>IF(Table4[[#This Row],[ScopeP]]="Unchanged",6.42*Table4[[#This Row],[ISC BaseP]],IF(Table4[[#This Row],[ScopeP]]="Changed",7.52*(Table4[[#This Row],[ISC BaseP]] - 0.029) - 3.25 * POWER(Table4[[#This Row],[ISC BaseP]] - 0.02,15),NA()))</f>
        <v>#N/A</v>
      </c>
      <c r="AN8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9"/>
    </row>
    <row r="81" spans="1:44" ht="182" x14ac:dyDescent="0.35">
      <c r="A81" s="105">
        <v>77</v>
      </c>
      <c r="B81" s="89" t="s">
        <v>173</v>
      </c>
      <c r="C81" s="99" t="str">
        <f>IF(VLOOKUP(Table4[[#This Row],[T ID]],Table5[#All],5,FALSE())="No","Not in scope",VLOOKUP(Table4[[#This Row],[T ID]],Table5[#All],2,FALSE()))</f>
        <v>Data Access
(STR[I]DE)</v>
      </c>
      <c r="D81" s="60" t="s">
        <v>95</v>
      </c>
      <c r="E81" s="99" t="str">
        <f>IF(VLOOKUP(Table4[[#This Row],[V ID]],Vulnerabilities[#All],3,FALSE())="No","Not in scope",VLOOKUP(Table4[[#This Row],[V ID]],Vulnerabilities[#All],2,FALSE()))</f>
        <v>Unprotected external USB Port on the tablet/devices.</v>
      </c>
      <c r="F81" s="100" t="s">
        <v>11</v>
      </c>
      <c r="G81" s="99" t="str">
        <f>VLOOKUP(Table4[[#This Row],[A ID]],Assets[#All],3,FALSE())</f>
        <v>Tablet Resources - web cam, microphone, OTG devices, Removable USB, Tablet Application, Network interfaces (Bluetooth, Wifi)</v>
      </c>
      <c r="H81" s="21" t="s">
        <v>277</v>
      </c>
      <c r="I81" s="21"/>
      <c r="J81" s="93" t="s">
        <v>245</v>
      </c>
      <c r="K81" s="93" t="s">
        <v>240</v>
      </c>
      <c r="L81" s="93" t="s">
        <v>240</v>
      </c>
      <c r="M81" s="94" t="s">
        <v>241</v>
      </c>
      <c r="N81" s="94" t="s">
        <v>250</v>
      </c>
      <c r="O81" s="94" t="s">
        <v>250</v>
      </c>
      <c r="P81" s="94" t="s">
        <v>245</v>
      </c>
      <c r="Q81" s="94" t="s">
        <v>243</v>
      </c>
      <c r="R8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5">
        <f>(1 - ((1 - VLOOKUP(Table4[[#This Row],[Confidentiality]],'Reference - CVSSv3.0'!$B$15:$C$17,2,FALSE())) * (1 - VLOOKUP(Table4[[#This Row],[Integrity]],'Reference - CVSSv3.0'!$B$15:$C$17,2,FALSE())) *  (1 - VLOOKUP(Table4[[#This Row],[Availability]],'Reference - CVSSv3.0'!$B$15:$C$17,2,FALSE()))))</f>
        <v>0.39159999999999995</v>
      </c>
      <c r="T81" s="95">
        <f>IF(Table4[[#This Row],[Scope]]="Unchanged",6.42*Table4[[#This Row],[ISC Base]],IF(Table4[[#This Row],[Scope]]="Changed",7.52*(Table4[[#This Row],[ISC Base]] - 0.029) - 3.25 * POWER(Table4[[#This Row],[ISC Base]] - 0.02,15),NA()))</f>
        <v>2.5140719999999996</v>
      </c>
      <c r="U81" s="95">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9" t="s">
        <v>251</v>
      </c>
      <c r="W81" s="95">
        <f>VLOOKUP(Table4[[#This Row],[Threat Event Initiation]],NIST_Scale_LOAI[],2,FALSE())</f>
        <v>0.5</v>
      </c>
      <c r="X8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21" t="s">
        <v>431</v>
      </c>
      <c r="AA81" s="21" t="s">
        <v>270</v>
      </c>
      <c r="AB81" s="110"/>
      <c r="AC81" s="39"/>
      <c r="AD81" s="39"/>
      <c r="AE81" s="39"/>
      <c r="AF81" s="94"/>
      <c r="AG81" s="94"/>
      <c r="AH81" s="94"/>
      <c r="AI81" s="94"/>
      <c r="AJ81" s="103"/>
      <c r="AK8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5" t="e">
        <f>(1 - ((1 - VLOOKUP(Table4[[#This Row],[ConfidentialityP]],'Reference - CVSSv3.0'!$B$15:$C$17,2,FALSE())) * (1 - VLOOKUP(Table4[[#This Row],[IntegrityP]],'Reference - CVSSv3.0'!$B$15:$C$17,2,FALSE())) *  (1 - VLOOKUP(Table4[[#This Row],[AvailabilityP]],'Reference - CVSSv3.0'!$B$15:$C$17,2,FALSE()))))</f>
        <v>#N/A</v>
      </c>
      <c r="AM81" s="95" t="e">
        <f>IF(Table4[[#This Row],[ScopeP]]="Unchanged",6.42*Table4[[#This Row],[ISC BaseP]],IF(Table4[[#This Row],[ScopeP]]="Changed",7.52*(Table4[[#This Row],[ISC BaseP]] - 0.029) - 3.25 * POWER(Table4[[#This Row],[ISC BaseP]] - 0.02,15),NA()))</f>
        <v>#N/A</v>
      </c>
      <c r="AN81"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9"/>
    </row>
    <row r="82" spans="1:44" ht="182" x14ac:dyDescent="0.35">
      <c r="A82" s="88">
        <v>78</v>
      </c>
      <c r="B82" s="89" t="s">
        <v>176</v>
      </c>
      <c r="C82" s="99" t="str">
        <f>IF(VLOOKUP(Table4[[#This Row],[T ID]],Table5[#All],5,FALSE())="No","Not in scope",VLOOKUP(Table4[[#This Row],[T ID]],Table5[#All],2,FALSE()))</f>
        <v>Open network port exploit
(TTP)</v>
      </c>
      <c r="D82" s="91" t="s">
        <v>93</v>
      </c>
      <c r="E82" s="99" t="str">
        <f>IF(VLOOKUP(Table4[[#This Row],[V ID]],Vulnerabilities[#All],3,FALSE())="No","Not in scope",VLOOKUP(Table4[[#This Row],[V ID]],Vulnerabilities[#All],2,FALSE()))</f>
        <v>Unprotected network port(s) on network devices and connection points</v>
      </c>
      <c r="F82" s="100" t="s">
        <v>15</v>
      </c>
      <c r="G82" s="99" t="str">
        <f>VLOOKUP(Table4[[#This Row],[A ID]],Assets[#All],3,FALSE())</f>
        <v>Tablet OS/network details &amp; Tablet Application</v>
      </c>
      <c r="H82" s="21" t="s">
        <v>280</v>
      </c>
      <c r="I82" s="21"/>
      <c r="J82" s="93" t="s">
        <v>245</v>
      </c>
      <c r="K82" s="93" t="s">
        <v>245</v>
      </c>
      <c r="L82" s="93" t="s">
        <v>240</v>
      </c>
      <c r="M82" s="94" t="s">
        <v>246</v>
      </c>
      <c r="N82" s="94" t="s">
        <v>250</v>
      </c>
      <c r="O82" s="94" t="s">
        <v>240</v>
      </c>
      <c r="P82" s="94" t="s">
        <v>245</v>
      </c>
      <c r="Q82" s="94" t="s">
        <v>243</v>
      </c>
      <c r="R8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5">
        <f>(1 - ((1 - VLOOKUP(Table4[[#This Row],[Confidentiality]],'Reference - CVSSv3.0'!$B$15:$C$17,2,FALSE())) * (1 - VLOOKUP(Table4[[#This Row],[Integrity]],'Reference - CVSSv3.0'!$B$15:$C$17,2,FALSE())) *  (1 - VLOOKUP(Table4[[#This Row],[Availability]],'Reference - CVSSv3.0'!$B$15:$C$17,2,FALSE()))))</f>
        <v>0.21999999999999997</v>
      </c>
      <c r="T82" s="95">
        <f>IF(Table4[[#This Row],[Scope]]="Unchanged",6.42*Table4[[#This Row],[ISC Base]],IF(Table4[[#This Row],[Scope]]="Changed",7.52*(Table4[[#This Row],[ISC Base]] - 0.029) - 3.25 * POWER(Table4[[#This Row],[ISC Base]] - 0.02,15),NA()))</f>
        <v>1.4123999999999999</v>
      </c>
      <c r="U82"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9" t="s">
        <v>251</v>
      </c>
      <c r="W82" s="95">
        <f>VLOOKUP(Table4[[#This Row],[Threat Event Initiation]],NIST_Scale_LOAI[],2,FALSE())</f>
        <v>0.5</v>
      </c>
      <c r="X8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21" t="s">
        <v>431</v>
      </c>
      <c r="AA82" s="21" t="s">
        <v>270</v>
      </c>
      <c r="AB82" s="110"/>
      <c r="AC82" s="39"/>
      <c r="AD82" s="39"/>
      <c r="AE82" s="39"/>
      <c r="AF82" s="94"/>
      <c r="AG82" s="94"/>
      <c r="AH82" s="94"/>
      <c r="AI82" s="94"/>
      <c r="AJ82" s="103"/>
      <c r="AK8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5" t="e">
        <f>(1 - ((1 - VLOOKUP(Table4[[#This Row],[ConfidentialityP]],'Reference - CVSSv3.0'!$B$15:$C$17,2,FALSE())) * (1 - VLOOKUP(Table4[[#This Row],[IntegrityP]],'Reference - CVSSv3.0'!$B$15:$C$17,2,FALSE())) *  (1 - VLOOKUP(Table4[[#This Row],[AvailabilityP]],'Reference - CVSSv3.0'!$B$15:$C$17,2,FALSE()))))</f>
        <v>#N/A</v>
      </c>
      <c r="AM82" s="95" t="e">
        <f>IF(Table4[[#This Row],[ScopeP]]="Unchanged",6.42*Table4[[#This Row],[ISC BaseP]],IF(Table4[[#This Row],[ScopeP]]="Changed",7.52*(Table4[[#This Row],[ISC BaseP]] - 0.029) - 3.25 * POWER(Table4[[#This Row],[ISC BaseP]] - 0.02,15),NA()))</f>
        <v>#N/A</v>
      </c>
      <c r="AN82"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9"/>
    </row>
    <row r="83" spans="1:44" ht="124.5" customHeight="1" x14ac:dyDescent="0.35">
      <c r="A83" s="88">
        <v>79</v>
      </c>
      <c r="B83" s="89" t="s">
        <v>176</v>
      </c>
      <c r="C83" s="99" t="str">
        <f>IF(VLOOKUP(Table4[[#This Row],[T ID]],Table5[#All],5,FALSE())="No","Not in scope",VLOOKUP(Table4[[#This Row],[T ID]],Table5[#All],2,FALSE()))</f>
        <v>Open network port exploit
(TTP)</v>
      </c>
      <c r="D83" s="91" t="s">
        <v>93</v>
      </c>
      <c r="E83" s="99" t="str">
        <f>IF(VLOOKUP(Table4[[#This Row],[V ID]],Vulnerabilities[#All],3,FALSE())="No","Not in scope",VLOOKUP(Table4[[#This Row],[V ID]],Vulnerabilities[#All],2,FALSE()))</f>
        <v>Unprotected network port(s) on network devices and connection points</v>
      </c>
      <c r="F83" s="100" t="s">
        <v>35</v>
      </c>
      <c r="G83" s="99" t="str">
        <f>VLOOKUP(Table4[[#This Row],[A ID]],Assets[#All],3,FALSE())</f>
        <v>Wireless Network device (Scope of HDO)</v>
      </c>
      <c r="H83" s="21" t="s">
        <v>280</v>
      </c>
      <c r="I83" s="21"/>
      <c r="J83" s="93" t="s">
        <v>245</v>
      </c>
      <c r="K83" s="93" t="s">
        <v>245</v>
      </c>
      <c r="L83" s="93" t="s">
        <v>240</v>
      </c>
      <c r="M83" s="94" t="s">
        <v>246</v>
      </c>
      <c r="N83" s="94" t="s">
        <v>250</v>
      </c>
      <c r="O83" s="94" t="s">
        <v>240</v>
      </c>
      <c r="P83" s="94" t="s">
        <v>245</v>
      </c>
      <c r="Q83" s="94" t="s">
        <v>243</v>
      </c>
      <c r="R8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5">
        <f>(1 - ((1 - VLOOKUP(Table4[[#This Row],[Confidentiality]],'Reference - CVSSv3.0'!$B$15:$C$17,2,FALSE())) * (1 - VLOOKUP(Table4[[#This Row],[Integrity]],'Reference - CVSSv3.0'!$B$15:$C$17,2,FALSE())) *  (1 - VLOOKUP(Table4[[#This Row],[Availability]],'Reference - CVSSv3.0'!$B$15:$C$17,2,FALSE()))))</f>
        <v>0.21999999999999997</v>
      </c>
      <c r="T83" s="95">
        <f>IF(Table4[[#This Row],[Scope]]="Unchanged",6.42*Table4[[#This Row],[ISC Base]],IF(Table4[[#This Row],[Scope]]="Changed",7.52*(Table4[[#This Row],[ISC Base]] - 0.029) - 3.25 * POWER(Table4[[#This Row],[ISC Base]] - 0.02,15),NA()))</f>
        <v>1.4123999999999999</v>
      </c>
      <c r="U83"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9" t="s">
        <v>251</v>
      </c>
      <c r="W83" s="95">
        <f>VLOOKUP(Table4[[#This Row],[Threat Event Initiation]],NIST_Scale_LOAI[],2,FALSE())</f>
        <v>0.5</v>
      </c>
      <c r="X8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13" t="s">
        <v>281</v>
      </c>
      <c r="AA83" s="113" t="s">
        <v>282</v>
      </c>
      <c r="AB83" s="110"/>
      <c r="AC83" s="39"/>
      <c r="AD83" s="39"/>
      <c r="AE83" s="39"/>
      <c r="AF83" s="94"/>
      <c r="AG83" s="94"/>
      <c r="AH83" s="94"/>
      <c r="AI83" s="94"/>
      <c r="AJ83" s="103"/>
      <c r="AK8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5" t="e">
        <f>(1 - ((1 - VLOOKUP(Table4[[#This Row],[ConfidentialityP]],'Reference - CVSSv3.0'!$B$15:$C$17,2,FALSE())) * (1 - VLOOKUP(Table4[[#This Row],[IntegrityP]],'Reference - CVSSv3.0'!$B$15:$C$17,2,FALSE())) *  (1 - VLOOKUP(Table4[[#This Row],[AvailabilityP]],'Reference - CVSSv3.0'!$B$15:$C$17,2,FALSE()))))</f>
        <v>#N/A</v>
      </c>
      <c r="AM83" s="95" t="e">
        <f>IF(Table4[[#This Row],[ScopeP]]="Unchanged",6.42*Table4[[#This Row],[ISC BaseP]],IF(Table4[[#This Row],[ScopeP]]="Changed",7.52*(Table4[[#This Row],[ISC BaseP]] - 0.029) - 3.25 * POWER(Table4[[#This Row],[ISC BaseP]] - 0.02,15),NA()))</f>
        <v>#N/A</v>
      </c>
      <c r="AN8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9"/>
    </row>
    <row r="84" spans="1:44" ht="182" x14ac:dyDescent="0.35">
      <c r="A84" s="88">
        <v>80</v>
      </c>
      <c r="B84" s="89" t="s">
        <v>176</v>
      </c>
      <c r="C84" s="99" t="str">
        <f>IF(VLOOKUP(Table4[[#This Row],[T ID]],Table5[#All],5,FALSE())="No","Not in scope",VLOOKUP(Table4[[#This Row],[T ID]],Table5[#All],2,FALSE()))</f>
        <v>Open network port exploit
(TTP)</v>
      </c>
      <c r="D84" s="91" t="s">
        <v>97</v>
      </c>
      <c r="E84" s="99" t="str">
        <f>IF(VLOOKUP(Table4[[#This Row],[V ID]],Vulnerabilities[#All],3,FALSE())="No","Not in scope",VLOOKUP(Table4[[#This Row],[V ID]],Vulnerabilities[#All],2,FALSE()))</f>
        <v>Unencrypted Network segment through out the information flow</v>
      </c>
      <c r="F84" s="100" t="s">
        <v>15</v>
      </c>
      <c r="G84" s="99" t="str">
        <f>VLOOKUP(Table4[[#This Row],[A ID]],Assets[#All],3,FALSE())</f>
        <v>Tablet OS/network details &amp; Tablet Application</v>
      </c>
      <c r="H84" s="21" t="s">
        <v>280</v>
      </c>
      <c r="I84" s="21"/>
      <c r="J84" s="93" t="s">
        <v>245</v>
      </c>
      <c r="K84" s="93" t="s">
        <v>245</v>
      </c>
      <c r="L84" s="93" t="s">
        <v>240</v>
      </c>
      <c r="M84" s="94" t="s">
        <v>246</v>
      </c>
      <c r="N84" s="94" t="s">
        <v>250</v>
      </c>
      <c r="O84" s="94" t="s">
        <v>240</v>
      </c>
      <c r="P84" s="94" t="s">
        <v>245</v>
      </c>
      <c r="Q84" s="94" t="s">
        <v>243</v>
      </c>
      <c r="R8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5">
        <f>(1 - ((1 - VLOOKUP(Table4[[#This Row],[Confidentiality]],'Reference - CVSSv3.0'!$B$15:$C$17,2,FALSE())) * (1 - VLOOKUP(Table4[[#This Row],[Integrity]],'Reference - CVSSv3.0'!$B$15:$C$17,2,FALSE())) *  (1 - VLOOKUP(Table4[[#This Row],[Availability]],'Reference - CVSSv3.0'!$B$15:$C$17,2,FALSE()))))</f>
        <v>0.21999999999999997</v>
      </c>
      <c r="T84" s="95">
        <f>IF(Table4[[#This Row],[Scope]]="Unchanged",6.42*Table4[[#This Row],[ISC Base]],IF(Table4[[#This Row],[Scope]]="Changed",7.52*(Table4[[#This Row],[ISC Base]] - 0.029) - 3.25 * POWER(Table4[[#This Row],[ISC Base]] - 0.02,15),NA()))</f>
        <v>1.4123999999999999</v>
      </c>
      <c r="U84"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9" t="s">
        <v>251</v>
      </c>
      <c r="W84" s="95">
        <f>VLOOKUP(Table4[[#This Row],[Threat Event Initiation]],NIST_Scale_LOAI[],2,FALSE())</f>
        <v>0.5</v>
      </c>
      <c r="X8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21" t="s">
        <v>431</v>
      </c>
      <c r="AA84" s="21" t="s">
        <v>270</v>
      </c>
      <c r="AB84" s="110"/>
      <c r="AC84" s="39"/>
      <c r="AD84" s="39"/>
      <c r="AE84" s="39"/>
      <c r="AF84" s="94"/>
      <c r="AG84" s="94"/>
      <c r="AH84" s="94"/>
      <c r="AI84" s="94"/>
      <c r="AJ84" s="103"/>
      <c r="AK8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5" t="e">
        <f>(1 - ((1 - VLOOKUP(Table4[[#This Row],[ConfidentialityP]],'Reference - CVSSv3.0'!$B$15:$C$17,2,FALSE())) * (1 - VLOOKUP(Table4[[#This Row],[IntegrityP]],'Reference - CVSSv3.0'!$B$15:$C$17,2,FALSE())) *  (1 - VLOOKUP(Table4[[#This Row],[AvailabilityP]],'Reference - CVSSv3.0'!$B$15:$C$17,2,FALSE()))))</f>
        <v>#N/A</v>
      </c>
      <c r="AM84" s="95" t="e">
        <f>IF(Table4[[#This Row],[ScopeP]]="Unchanged",6.42*Table4[[#This Row],[ISC BaseP]],IF(Table4[[#This Row],[ScopeP]]="Changed",7.52*(Table4[[#This Row],[ISC BaseP]] - 0.029) - 3.25 * POWER(Table4[[#This Row],[ISC BaseP]] - 0.02,15),NA()))</f>
        <v>#N/A</v>
      </c>
      <c r="AN8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9"/>
    </row>
    <row r="85" spans="1:44" ht="409.5" x14ac:dyDescent="0.35">
      <c r="A85" s="88">
        <v>81</v>
      </c>
      <c r="B85" s="89" t="s">
        <v>176</v>
      </c>
      <c r="C85" s="99" t="str">
        <f>IF(VLOOKUP(Table4[[#This Row],[T ID]],Table5[#All],5,FALSE())="No","Not in scope",VLOOKUP(Table4[[#This Row],[T ID]],Table5[#All],2,FALSE()))</f>
        <v>Open network port exploit
(TTP)</v>
      </c>
      <c r="D85" s="91" t="s">
        <v>104</v>
      </c>
      <c r="E85" s="99" t="str">
        <f>IF(VLOOKUP(Table4[[#This Row],[V ID]],Vulnerabilities[#All],3,FALSE())="No","Not in scope",VLOOKUP(Table4[[#This Row],[V ID]],Vulnerabilities[#All],2,FALSE()))</f>
        <v>Unencrypted data in transit in all flowchannels</v>
      </c>
      <c r="F85" s="100" t="s">
        <v>41</v>
      </c>
      <c r="G85" s="99" t="str">
        <f>VLOOKUP(Table4[[#This Row],[A ID]],Assets[#All],3,FALSE())</f>
        <v>Data in Transit</v>
      </c>
      <c r="H85" s="21" t="s">
        <v>283</v>
      </c>
      <c r="I85" s="21"/>
      <c r="J85" s="93" t="s">
        <v>245</v>
      </c>
      <c r="K85" s="93" t="s">
        <v>245</v>
      </c>
      <c r="L85" s="93" t="s">
        <v>240</v>
      </c>
      <c r="M85" s="94" t="s">
        <v>246</v>
      </c>
      <c r="N85" s="94" t="s">
        <v>250</v>
      </c>
      <c r="O85" s="94" t="s">
        <v>240</v>
      </c>
      <c r="P85" s="94" t="s">
        <v>245</v>
      </c>
      <c r="Q85" s="94" t="s">
        <v>243</v>
      </c>
      <c r="R85"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5">
        <f>(1 - ((1 - VLOOKUP(Table4[[#This Row],[Confidentiality]],'Reference - CVSSv3.0'!$B$15:$C$17,2,FALSE())) * (1 - VLOOKUP(Table4[[#This Row],[Integrity]],'Reference - CVSSv3.0'!$B$15:$C$17,2,FALSE())) *  (1 - VLOOKUP(Table4[[#This Row],[Availability]],'Reference - CVSSv3.0'!$B$15:$C$17,2,FALSE()))))</f>
        <v>0.21999999999999997</v>
      </c>
      <c r="T85" s="95">
        <f>IF(Table4[[#This Row],[Scope]]="Unchanged",6.42*Table4[[#This Row],[ISC Base]],IF(Table4[[#This Row],[Scope]]="Changed",7.52*(Table4[[#This Row],[ISC Base]] - 0.029) - 3.25 * POWER(Table4[[#This Row],[ISC Base]] - 0.02,15),NA()))</f>
        <v>1.4123999999999999</v>
      </c>
      <c r="U85" s="95">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9" t="s">
        <v>251</v>
      </c>
      <c r="W85" s="95">
        <f>VLOOKUP(Table4[[#This Row],[Threat Event Initiation]],NIST_Scale_LOAI[],2,FALSE())</f>
        <v>0.5</v>
      </c>
      <c r="X85"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21" t="s">
        <v>424</v>
      </c>
      <c r="AA85" s="21" t="s">
        <v>284</v>
      </c>
      <c r="AB85" s="110"/>
      <c r="AC85" s="39"/>
      <c r="AD85" s="39"/>
      <c r="AE85" s="39"/>
      <c r="AF85" s="94"/>
      <c r="AG85" s="94"/>
      <c r="AH85" s="94"/>
      <c r="AI85" s="94"/>
      <c r="AJ85" s="103"/>
      <c r="AK85"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5" t="e">
        <f>(1 - ((1 - VLOOKUP(Table4[[#This Row],[ConfidentialityP]],'Reference - CVSSv3.0'!$B$15:$C$17,2,FALSE())) * (1 - VLOOKUP(Table4[[#This Row],[IntegrityP]],'Reference - CVSSv3.0'!$B$15:$C$17,2,FALSE())) *  (1 - VLOOKUP(Table4[[#This Row],[AvailabilityP]],'Reference - CVSSv3.0'!$B$15:$C$17,2,FALSE()))))</f>
        <v>#N/A</v>
      </c>
      <c r="AM85" s="95" t="e">
        <f>IF(Table4[[#This Row],[ScopeP]]="Unchanged",6.42*Table4[[#This Row],[ISC BaseP]],IF(Table4[[#This Row],[ScopeP]]="Changed",7.52*(Table4[[#This Row],[ISC BaseP]] - 0.029) - 3.25 * POWER(Table4[[#This Row],[ISC BaseP]] - 0.02,15),NA()))</f>
        <v>#N/A</v>
      </c>
      <c r="AN85"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9"/>
    </row>
    <row r="86" spans="1:44" ht="136.5" customHeight="1" x14ac:dyDescent="0.35">
      <c r="A86" s="105">
        <v>82</v>
      </c>
      <c r="B86" s="89" t="s">
        <v>176</v>
      </c>
      <c r="C86" s="99" t="str">
        <f>IF(VLOOKUP(Table4[[#This Row],[T ID]],Table5[#All],5,FALSE())="No","Not in scope",VLOOKUP(Table4[[#This Row],[T ID]],Table5[#All],2,FALSE()))</f>
        <v>Open network port exploit
(TTP)</v>
      </c>
      <c r="D86" s="114" t="s">
        <v>77</v>
      </c>
      <c r="E86" s="99" t="str">
        <f>IF(VLOOKUP(Table4[[#This Row],[V ID]],Vulnerabilities[#All],3,FALSE())="No","Not in scope",VLOOKUP(Table4[[#This Row],[V ID]],Vulnerabilities[#All],2,FALSE()))</f>
        <v>Insecure communications in networks (hospital)</v>
      </c>
      <c r="F86" s="100" t="s">
        <v>15</v>
      </c>
      <c r="G86" s="99" t="str">
        <f>VLOOKUP(Table4[[#This Row],[A ID]],Assets[#All],3,FALSE())</f>
        <v>Tablet OS/network details &amp; Tablet Application</v>
      </c>
      <c r="H86" s="21" t="s">
        <v>280</v>
      </c>
      <c r="I86" s="21"/>
      <c r="J86" s="93" t="s">
        <v>245</v>
      </c>
      <c r="K86" s="93" t="s">
        <v>240</v>
      </c>
      <c r="L86" s="93" t="s">
        <v>240</v>
      </c>
      <c r="M86" s="94" t="s">
        <v>246</v>
      </c>
      <c r="N86" s="94" t="s">
        <v>250</v>
      </c>
      <c r="O86" s="94" t="s">
        <v>240</v>
      </c>
      <c r="P86" s="94" t="s">
        <v>245</v>
      </c>
      <c r="Q86" s="94" t="s">
        <v>243</v>
      </c>
      <c r="R8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5">
        <f>(1 - ((1 - VLOOKUP(Table4[[#This Row],[Confidentiality]],'Reference - CVSSv3.0'!$B$15:$C$17,2,FALSE())) * (1 - VLOOKUP(Table4[[#This Row],[Integrity]],'Reference - CVSSv3.0'!$B$15:$C$17,2,FALSE())) *  (1 - VLOOKUP(Table4[[#This Row],[Availability]],'Reference - CVSSv3.0'!$B$15:$C$17,2,FALSE()))))</f>
        <v>0.39159999999999995</v>
      </c>
      <c r="T86" s="95">
        <f>IF(Table4[[#This Row],[Scope]]="Unchanged",6.42*Table4[[#This Row],[ISC Base]],IF(Table4[[#This Row],[Scope]]="Changed",7.52*(Table4[[#This Row],[ISC Base]] - 0.029) - 3.25 * POWER(Table4[[#This Row],[ISC Base]] - 0.02,15),NA()))</f>
        <v>2.5140719999999996</v>
      </c>
      <c r="U86" s="95">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9" t="s">
        <v>251</v>
      </c>
      <c r="W86" s="95">
        <f>VLOOKUP(Table4[[#This Row],[Threat Event Initiation]],NIST_Scale_LOAI[],2,FALSE())</f>
        <v>0.5</v>
      </c>
      <c r="X8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21" t="s">
        <v>431</v>
      </c>
      <c r="AA86" s="21" t="s">
        <v>270</v>
      </c>
      <c r="AB86" s="110"/>
      <c r="AC86" s="39"/>
      <c r="AD86" s="39"/>
      <c r="AE86" s="39"/>
      <c r="AF86" s="94"/>
      <c r="AG86" s="94"/>
      <c r="AH86" s="94"/>
      <c r="AI86" s="94"/>
      <c r="AJ86" s="103"/>
      <c r="AK8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5" t="e">
        <f>(1 - ((1 - VLOOKUP(Table4[[#This Row],[ConfidentialityP]],'Reference - CVSSv3.0'!$B$15:$C$17,2,FALSE())) * (1 - VLOOKUP(Table4[[#This Row],[IntegrityP]],'Reference - CVSSv3.0'!$B$15:$C$17,2,FALSE())) *  (1 - VLOOKUP(Table4[[#This Row],[AvailabilityP]],'Reference - CVSSv3.0'!$B$15:$C$17,2,FALSE()))))</f>
        <v>#N/A</v>
      </c>
      <c r="AM86" s="95" t="e">
        <f>IF(Table4[[#This Row],[ScopeP]]="Unchanged",6.42*Table4[[#This Row],[ISC BaseP]],IF(Table4[[#This Row],[ScopeP]]="Changed",7.52*(Table4[[#This Row],[ISC BaseP]] - 0.029) - 3.25 * POWER(Table4[[#This Row],[ISC BaseP]] - 0.02,15),NA()))</f>
        <v>#N/A</v>
      </c>
      <c r="AN8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9"/>
    </row>
    <row r="87" spans="1:44" ht="252" x14ac:dyDescent="0.35">
      <c r="A87" s="88">
        <v>83</v>
      </c>
      <c r="B87" s="89" t="s">
        <v>179</v>
      </c>
      <c r="C87" s="99" t="str">
        <f>IF(VLOOKUP(Table4[[#This Row],[T ID]],Table5[#All],5,FALSE())="No","Not in scope",VLOOKUP(Table4[[#This Row],[T ID]],Table5[#All],2,FALSE()))</f>
        <v>Brute-force Attack
(CAPEC-112)</v>
      </c>
      <c r="D87" s="60" t="s">
        <v>67</v>
      </c>
      <c r="E87" s="99" t="str">
        <f>IF(VLOOKUP(Table4[[#This Row],[V ID]],Vulnerabilities[#All],3,FALSE())="No","Not in scope",VLOOKUP(Table4[[#This Row],[V ID]],Vulnerabilities[#All],2,FALSE()))</f>
        <v>Devices with default passwords needs to be checked for bruteforce attacks</v>
      </c>
      <c r="F87" s="100" t="s">
        <v>44</v>
      </c>
      <c r="G87" s="99" t="str">
        <f>VLOOKUP(Table4[[#This Row],[A ID]],Assets[#All],3,FALSE())</f>
        <v>Smart medic app (Stryker Admin Web Application)</v>
      </c>
      <c r="H87" s="21" t="s">
        <v>285</v>
      </c>
      <c r="I87" s="21"/>
      <c r="J87" s="93" t="s">
        <v>240</v>
      </c>
      <c r="K87" s="93" t="s">
        <v>245</v>
      </c>
      <c r="L87" s="93" t="s">
        <v>240</v>
      </c>
      <c r="M87" s="94" t="s">
        <v>246</v>
      </c>
      <c r="N87" s="94" t="s">
        <v>250</v>
      </c>
      <c r="O87" s="94" t="s">
        <v>250</v>
      </c>
      <c r="P87" s="94" t="s">
        <v>245</v>
      </c>
      <c r="Q87" s="94" t="s">
        <v>243</v>
      </c>
      <c r="R87"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5">
        <f>(1 - ((1 - VLOOKUP(Table4[[#This Row],[Confidentiality]],'Reference - CVSSv3.0'!$B$15:$C$17,2,FALSE())) * (1 - VLOOKUP(Table4[[#This Row],[Integrity]],'Reference - CVSSv3.0'!$B$15:$C$17,2,FALSE())) *  (1 - VLOOKUP(Table4[[#This Row],[Availability]],'Reference - CVSSv3.0'!$B$15:$C$17,2,FALSE()))))</f>
        <v>0.39159999999999995</v>
      </c>
      <c r="T87" s="95">
        <f>IF(Table4[[#This Row],[Scope]]="Unchanged",6.42*Table4[[#This Row],[ISC Base]],IF(Table4[[#This Row],[Scope]]="Changed",7.52*(Table4[[#This Row],[ISC Base]] - 0.029) - 3.25 * POWER(Table4[[#This Row],[ISC Base]] - 0.02,15),NA()))</f>
        <v>2.5140719999999996</v>
      </c>
      <c r="U87"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9" t="s">
        <v>251</v>
      </c>
      <c r="W87" s="95">
        <f>VLOOKUP(Table4[[#This Row],[Threat Event Initiation]],NIST_Scale_LOAI[],2,FALSE())</f>
        <v>0.5</v>
      </c>
      <c r="X87"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21" t="s">
        <v>422</v>
      </c>
      <c r="AA87" s="21" t="s">
        <v>286</v>
      </c>
      <c r="AB87" s="110"/>
      <c r="AC87" s="39"/>
      <c r="AD87" s="39"/>
      <c r="AE87" s="39"/>
      <c r="AF87" s="94"/>
      <c r="AG87" s="94"/>
      <c r="AH87" s="94"/>
      <c r="AI87" s="94"/>
      <c r="AJ87" s="103"/>
      <c r="AK87"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5" t="e">
        <f>(1 - ((1 - VLOOKUP(Table4[[#This Row],[ConfidentialityP]],'Reference - CVSSv3.0'!$B$15:$C$17,2,FALSE())) * (1 - VLOOKUP(Table4[[#This Row],[IntegrityP]],'Reference - CVSSv3.0'!$B$15:$C$17,2,FALSE())) *  (1 - VLOOKUP(Table4[[#This Row],[AvailabilityP]],'Reference - CVSSv3.0'!$B$15:$C$17,2,FALSE()))))</f>
        <v>#N/A</v>
      </c>
      <c r="AM87" s="95" t="e">
        <f>IF(Table4[[#This Row],[ScopeP]]="Unchanged",6.42*Table4[[#This Row],[ISC BaseP]],IF(Table4[[#This Row],[ScopeP]]="Changed",7.52*(Table4[[#This Row],[ISC BaseP]] - 0.029) - 3.25 * POWER(Table4[[#This Row],[ISC BaseP]] - 0.02,15),NA()))</f>
        <v>#N/A</v>
      </c>
      <c r="AN87"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9"/>
    </row>
    <row r="88" spans="1:44" ht="139" customHeight="1" x14ac:dyDescent="0.35">
      <c r="A88" s="88">
        <v>84</v>
      </c>
      <c r="B88" s="89" t="s">
        <v>179</v>
      </c>
      <c r="C88" s="99" t="str">
        <f>IF(VLOOKUP(Table4[[#This Row],[T ID]],Table5[#All],5,FALSE())="No","Not in scope",VLOOKUP(Table4[[#This Row],[T ID]],Table5[#All],2,FALSE()))</f>
        <v>Brute-force Attack
(CAPEC-112)</v>
      </c>
      <c r="D88" s="60" t="s">
        <v>67</v>
      </c>
      <c r="E88" s="99" t="str">
        <f>IF(VLOOKUP(Table4[[#This Row],[V ID]],Vulnerabilities[#All],3,FALSE())="No","Not in scope",VLOOKUP(Table4[[#This Row],[V ID]],Vulnerabilities[#All],2,FALSE()))</f>
        <v>Devices with default passwords needs to be checked for bruteforce attacks</v>
      </c>
      <c r="F88" s="100" t="s">
        <v>47</v>
      </c>
      <c r="G88" s="99" t="str">
        <f>VLOOKUP(Table4[[#This Row],[A ID]],Assets[#All],3,FALSE())</f>
        <v>Smart medic app (Azure Portal Administrator)</v>
      </c>
      <c r="H88" s="21" t="s">
        <v>285</v>
      </c>
      <c r="I88" s="21"/>
      <c r="J88" s="93" t="s">
        <v>240</v>
      </c>
      <c r="K88" s="93" t="s">
        <v>245</v>
      </c>
      <c r="L88" s="93" t="s">
        <v>240</v>
      </c>
      <c r="M88" s="94" t="s">
        <v>246</v>
      </c>
      <c r="N88" s="94" t="s">
        <v>250</v>
      </c>
      <c r="O88" s="94" t="s">
        <v>250</v>
      </c>
      <c r="P88" s="94" t="s">
        <v>245</v>
      </c>
      <c r="Q88" s="94" t="s">
        <v>243</v>
      </c>
      <c r="R88"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5">
        <f>(1 - ((1 - VLOOKUP(Table4[[#This Row],[Confidentiality]],'Reference - CVSSv3.0'!$B$15:$C$17,2,FALSE())) * (1 - VLOOKUP(Table4[[#This Row],[Integrity]],'Reference - CVSSv3.0'!$B$15:$C$17,2,FALSE())) *  (1 - VLOOKUP(Table4[[#This Row],[Availability]],'Reference - CVSSv3.0'!$B$15:$C$17,2,FALSE()))))</f>
        <v>0.39159999999999995</v>
      </c>
      <c r="T88" s="95">
        <f>IF(Table4[[#This Row],[Scope]]="Unchanged",6.42*Table4[[#This Row],[ISC Base]],IF(Table4[[#This Row],[Scope]]="Changed",7.52*(Table4[[#This Row],[ISC Base]] - 0.029) - 3.25 * POWER(Table4[[#This Row],[ISC Base]] - 0.02,15),NA()))</f>
        <v>2.5140719999999996</v>
      </c>
      <c r="U88"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9" t="s">
        <v>251</v>
      </c>
      <c r="W88" s="95">
        <f>VLOOKUP(Table4[[#This Row],[Threat Event Initiation]],NIST_Scale_LOAI[],2,FALSE())</f>
        <v>0.5</v>
      </c>
      <c r="X88"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21" t="s">
        <v>422</v>
      </c>
      <c r="AA88" s="21" t="s">
        <v>286</v>
      </c>
      <c r="AB88" s="110"/>
      <c r="AC88" s="39"/>
      <c r="AD88" s="39"/>
      <c r="AE88" s="39"/>
      <c r="AF88" s="94"/>
      <c r="AG88" s="94"/>
      <c r="AH88" s="94"/>
      <c r="AI88" s="94"/>
      <c r="AJ88" s="103"/>
      <c r="AK88"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5" t="e">
        <f>(1 - ((1 - VLOOKUP(Table4[[#This Row],[ConfidentialityP]],'Reference - CVSSv3.0'!$B$15:$C$17,2,FALSE())) * (1 - VLOOKUP(Table4[[#This Row],[IntegrityP]],'Reference - CVSSv3.0'!$B$15:$C$17,2,FALSE())) *  (1 - VLOOKUP(Table4[[#This Row],[AvailabilityP]],'Reference - CVSSv3.0'!$B$15:$C$17,2,FALSE()))))</f>
        <v>#N/A</v>
      </c>
      <c r="AM88" s="95" t="e">
        <f>IF(Table4[[#This Row],[ScopeP]]="Unchanged",6.42*Table4[[#This Row],[ISC BaseP]],IF(Table4[[#This Row],[ScopeP]]="Changed",7.52*(Table4[[#This Row],[ISC BaseP]] - 0.029) - 3.25 * POWER(Table4[[#This Row],[ISC BaseP]] - 0.02,15),NA()))</f>
        <v>#N/A</v>
      </c>
      <c r="AN88"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9"/>
    </row>
    <row r="89" spans="1:44" ht="409.5" x14ac:dyDescent="0.35">
      <c r="A89" s="88">
        <v>85</v>
      </c>
      <c r="B89" s="89" t="s">
        <v>179</v>
      </c>
      <c r="C89" s="99" t="str">
        <f>IF(VLOOKUP(Table4[[#This Row],[T ID]],Table5[#All],5,FALSE())="No","Not in scope",VLOOKUP(Table4[[#This Row],[T ID]],Table5[#All],2,FALSE()))</f>
        <v>Brute-force Attack
(CAPEC-112)</v>
      </c>
      <c r="D89" s="60" t="s">
        <v>73</v>
      </c>
      <c r="E89" s="99" t="str">
        <f>IF(VLOOKUP(Table4[[#This Row],[V ID]],Vulnerabilities[#All],3,FALSE())="No","Not in scope",VLOOKUP(Table4[[#This Row],[V ID]],Vulnerabilities[#All],2,FALSE()))</f>
        <v>The password complexity or location vulnerability. Like weak passwords and hardcoded passwords.</v>
      </c>
      <c r="F89" s="100" t="s">
        <v>44</v>
      </c>
      <c r="G89" s="99" t="str">
        <f>VLOOKUP(Table4[[#This Row],[A ID]],Assets[#All],3,FALSE())</f>
        <v>Smart medic app (Stryker Admin Web Application)</v>
      </c>
      <c r="H89" s="21" t="s">
        <v>285</v>
      </c>
      <c r="I89" s="21"/>
      <c r="J89" s="93" t="s">
        <v>240</v>
      </c>
      <c r="K89" s="93" t="s">
        <v>245</v>
      </c>
      <c r="L89" s="93" t="s">
        <v>240</v>
      </c>
      <c r="M89" s="94" t="s">
        <v>246</v>
      </c>
      <c r="N89" s="94" t="s">
        <v>250</v>
      </c>
      <c r="O89" s="94" t="s">
        <v>250</v>
      </c>
      <c r="P89" s="94" t="s">
        <v>245</v>
      </c>
      <c r="Q89" s="94" t="s">
        <v>243</v>
      </c>
      <c r="R89"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5">
        <f>(1 - ((1 - VLOOKUP(Table4[[#This Row],[Confidentiality]],'Reference - CVSSv3.0'!$B$15:$C$17,2,FALSE())) * (1 - VLOOKUP(Table4[[#This Row],[Integrity]],'Reference - CVSSv3.0'!$B$15:$C$17,2,FALSE())) *  (1 - VLOOKUP(Table4[[#This Row],[Availability]],'Reference - CVSSv3.0'!$B$15:$C$17,2,FALSE()))))</f>
        <v>0.39159999999999995</v>
      </c>
      <c r="T89" s="95">
        <f>IF(Table4[[#This Row],[Scope]]="Unchanged",6.42*Table4[[#This Row],[ISC Base]],IF(Table4[[#This Row],[Scope]]="Changed",7.52*(Table4[[#This Row],[ISC Base]] - 0.029) - 3.25 * POWER(Table4[[#This Row],[ISC Base]] - 0.02,15),NA()))</f>
        <v>2.5140719999999996</v>
      </c>
      <c r="U89"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9" t="s">
        <v>251</v>
      </c>
      <c r="W89" s="95">
        <f>VLOOKUP(Table4[[#This Row],[Threat Event Initiation]],NIST_Scale_LOAI[],2,FALSE())</f>
        <v>0.5</v>
      </c>
      <c r="X89"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21" t="s">
        <v>421</v>
      </c>
      <c r="AA89" s="113" t="s">
        <v>287</v>
      </c>
      <c r="AB89" s="110"/>
      <c r="AC89" s="39"/>
      <c r="AD89" s="39"/>
      <c r="AE89" s="39"/>
      <c r="AF89" s="94"/>
      <c r="AG89" s="94"/>
      <c r="AH89" s="94"/>
      <c r="AI89" s="94"/>
      <c r="AJ89" s="103"/>
      <c r="AK89"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5" t="e">
        <f>(1 - ((1 - VLOOKUP(Table4[[#This Row],[ConfidentialityP]],'Reference - CVSSv3.0'!$B$15:$C$17,2,FALSE())) * (1 - VLOOKUP(Table4[[#This Row],[IntegrityP]],'Reference - CVSSv3.0'!$B$15:$C$17,2,FALSE())) *  (1 - VLOOKUP(Table4[[#This Row],[AvailabilityP]],'Reference - CVSSv3.0'!$B$15:$C$17,2,FALSE()))))</f>
        <v>#N/A</v>
      </c>
      <c r="AM89" s="95" t="e">
        <f>IF(Table4[[#This Row],[ScopeP]]="Unchanged",6.42*Table4[[#This Row],[ISC BaseP]],IF(Table4[[#This Row],[ScopeP]]="Changed",7.52*(Table4[[#This Row],[ISC BaseP]] - 0.029) - 3.25 * POWER(Table4[[#This Row],[ISC BaseP]] - 0.02,15),NA()))</f>
        <v>#N/A</v>
      </c>
      <c r="AN89"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9"/>
    </row>
    <row r="90" spans="1:44" ht="409.5" x14ac:dyDescent="0.35">
      <c r="A90" s="88">
        <v>86</v>
      </c>
      <c r="B90" s="89" t="s">
        <v>179</v>
      </c>
      <c r="C90" s="99" t="str">
        <f>IF(VLOOKUP(Table4[[#This Row],[T ID]],Table5[#All],5,FALSE())="No","Not in scope",VLOOKUP(Table4[[#This Row],[T ID]],Table5[#All],2,FALSE()))</f>
        <v>Brute-force Attack
(CAPEC-112)</v>
      </c>
      <c r="D90" s="60" t="s">
        <v>73</v>
      </c>
      <c r="E90" s="99" t="str">
        <f>IF(VLOOKUP(Table4[[#This Row],[V ID]],Vulnerabilities[#All],3,FALSE())="No","Not in scope",VLOOKUP(Table4[[#This Row],[V ID]],Vulnerabilities[#All],2,FALSE()))</f>
        <v>The password complexity or location vulnerability. Like weak passwords and hardcoded passwords.</v>
      </c>
      <c r="F90" s="100" t="s">
        <v>47</v>
      </c>
      <c r="G90" s="99" t="str">
        <f>VLOOKUP(Table4[[#This Row],[A ID]],Assets[#All],3,FALSE())</f>
        <v>Smart medic app (Azure Portal Administrator)</v>
      </c>
      <c r="H90" s="21" t="s">
        <v>285</v>
      </c>
      <c r="I90" s="21"/>
      <c r="J90" s="93" t="s">
        <v>240</v>
      </c>
      <c r="K90" s="93" t="s">
        <v>245</v>
      </c>
      <c r="L90" s="93" t="s">
        <v>240</v>
      </c>
      <c r="M90" s="94" t="s">
        <v>246</v>
      </c>
      <c r="N90" s="94" t="s">
        <v>250</v>
      </c>
      <c r="O90" s="94" t="s">
        <v>250</v>
      </c>
      <c r="P90" s="94" t="s">
        <v>245</v>
      </c>
      <c r="Q90" s="94" t="s">
        <v>243</v>
      </c>
      <c r="R90"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5">
        <f>(1 - ((1 - VLOOKUP(Table4[[#This Row],[Confidentiality]],'Reference - CVSSv3.0'!$B$15:$C$17,2,FALSE())) * (1 - VLOOKUP(Table4[[#This Row],[Integrity]],'Reference - CVSSv3.0'!$B$15:$C$17,2,FALSE())) *  (1 - VLOOKUP(Table4[[#This Row],[Availability]],'Reference - CVSSv3.0'!$B$15:$C$17,2,FALSE()))))</f>
        <v>0.39159999999999995</v>
      </c>
      <c r="T90" s="95">
        <f>IF(Table4[[#This Row],[Scope]]="Unchanged",6.42*Table4[[#This Row],[ISC Base]],IF(Table4[[#This Row],[Scope]]="Changed",7.52*(Table4[[#This Row],[ISC Base]] - 0.029) - 3.25 * POWER(Table4[[#This Row],[ISC Base]] - 0.02,15),NA()))</f>
        <v>2.5140719999999996</v>
      </c>
      <c r="U90"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9" t="s">
        <v>251</v>
      </c>
      <c r="W90" s="95">
        <f>VLOOKUP(Table4[[#This Row],[Threat Event Initiation]],NIST_Scale_LOAI[],2,FALSE())</f>
        <v>0.5</v>
      </c>
      <c r="X90"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21" t="s">
        <v>423</v>
      </c>
      <c r="AA90" s="113" t="s">
        <v>287</v>
      </c>
      <c r="AB90" s="110"/>
      <c r="AC90" s="39"/>
      <c r="AD90" s="39"/>
      <c r="AE90" s="39"/>
      <c r="AF90" s="94"/>
      <c r="AG90" s="94"/>
      <c r="AH90" s="94"/>
      <c r="AI90" s="94"/>
      <c r="AJ90" s="103"/>
      <c r="AK90"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5" t="e">
        <f>(1 - ((1 - VLOOKUP(Table4[[#This Row],[ConfidentialityP]],'Reference - CVSSv3.0'!$B$15:$C$17,2,FALSE())) * (1 - VLOOKUP(Table4[[#This Row],[IntegrityP]],'Reference - CVSSv3.0'!$B$15:$C$17,2,FALSE())) *  (1 - VLOOKUP(Table4[[#This Row],[AvailabilityP]],'Reference - CVSSv3.0'!$B$15:$C$17,2,FALSE()))))</f>
        <v>#N/A</v>
      </c>
      <c r="AM90" s="95" t="e">
        <f>IF(Table4[[#This Row],[ScopeP]]="Unchanged",6.42*Table4[[#This Row],[ISC BaseP]],IF(Table4[[#This Row],[ScopeP]]="Changed",7.52*(Table4[[#This Row],[ISC BaseP]] - 0.029) - 3.25 * POWER(Table4[[#This Row],[ISC BaseP]] - 0.02,15),NA()))</f>
        <v>#N/A</v>
      </c>
      <c r="AN90"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9"/>
    </row>
    <row r="91" spans="1:44" s="126" customFormat="1" ht="409.5" x14ac:dyDescent="0.35">
      <c r="A91" s="88">
        <v>87</v>
      </c>
      <c r="B91" s="115" t="s">
        <v>179</v>
      </c>
      <c r="C91" s="99" t="str">
        <f>IF(VLOOKUP(Table4[[#This Row],[T ID]],Table5[#All],5,FALSE())="No","Not in scope",VLOOKUP(Table4[[#This Row],[T ID]],Table5[#All],2,FALSE()))</f>
        <v>Brute-force Attack
(CAPEC-112)</v>
      </c>
      <c r="D91" s="116" t="s">
        <v>106</v>
      </c>
      <c r="E91" s="99" t="str">
        <f>IF(VLOOKUP(Table4[[#This Row],[V ID]],Vulnerabilities[#All],3,FALSE())="No","Not in scope",VLOOKUP(Table4[[#This Row],[V ID]],Vulnerabilities[#All],2,FALSE()))</f>
        <v>Weak Encryption Implementaion in data at rest and in transit tactical and design wise</v>
      </c>
      <c r="F91" s="117" t="s">
        <v>38</v>
      </c>
      <c r="G91" s="99" t="str">
        <f>VLOOKUP(Table4[[#This Row],[A ID]],Assets[#All],3,FALSE())</f>
        <v>Data at Rest</v>
      </c>
      <c r="H91" s="113" t="s">
        <v>288</v>
      </c>
      <c r="I91" s="113"/>
      <c r="J91" s="118" t="s">
        <v>240</v>
      </c>
      <c r="K91" s="118" t="s">
        <v>245</v>
      </c>
      <c r="L91" s="118" t="s">
        <v>240</v>
      </c>
      <c r="M91" s="94" t="s">
        <v>249</v>
      </c>
      <c r="N91" s="118" t="s">
        <v>250</v>
      </c>
      <c r="O91" s="94" t="s">
        <v>250</v>
      </c>
      <c r="P91" s="94" t="s">
        <v>245</v>
      </c>
      <c r="Q91" s="118" t="s">
        <v>243</v>
      </c>
      <c r="R91"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5">
        <f>(1 - ((1 - VLOOKUP(Table4[[#This Row],[Confidentiality]],'Reference - CVSSv3.0'!$B$15:$C$17,2,FALSE())) * (1 - VLOOKUP(Table4[[#This Row],[Integrity]],'Reference - CVSSv3.0'!$B$15:$C$17,2,FALSE())) *  (1 - VLOOKUP(Table4[[#This Row],[Availability]],'Reference - CVSSv3.0'!$B$15:$C$17,2,FALSE()))))</f>
        <v>0.39159999999999995</v>
      </c>
      <c r="T91" s="95">
        <f>IF(Table4[[#This Row],[Scope]]="Unchanged",6.42*Table4[[#This Row],[ISC Base]],IF(Table4[[#This Row],[Scope]]="Changed",7.52*(Table4[[#This Row],[ISC Base]] - 0.029) - 3.25 * POWER(Table4[[#This Row],[ISC Base]] - 0.02,15),NA()))</f>
        <v>2.5140719999999996</v>
      </c>
      <c r="U91" s="95">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9" t="s">
        <v>251</v>
      </c>
      <c r="W91" s="95">
        <f>VLOOKUP(Table4[[#This Row],[Threat Event Initiation]],NIST_Scale_LOAI[],2,FALSE())</f>
        <v>0.5</v>
      </c>
      <c r="X91"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13" t="s">
        <v>289</v>
      </c>
      <c r="AA91" s="113" t="s">
        <v>290</v>
      </c>
      <c r="AB91" s="120"/>
      <c r="AC91" s="121"/>
      <c r="AD91" s="121"/>
      <c r="AE91" s="121"/>
      <c r="AF91" s="118"/>
      <c r="AG91" s="118"/>
      <c r="AH91" s="118"/>
      <c r="AI91" s="118"/>
      <c r="AJ91" s="122"/>
      <c r="AK91"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5" t="e">
        <f>(1 - ((1 - VLOOKUP(Table4[[#This Row],[ConfidentialityP]],'Reference - CVSSv3.0'!$B$15:$C$17,2,FALSE())) * (1 - VLOOKUP(Table4[[#This Row],[IntegrityP]],'Reference - CVSSv3.0'!$B$15:$C$17,2,FALSE())) *  (1 - VLOOKUP(Table4[[#This Row],[AvailabilityP]],'Reference - CVSSv3.0'!$B$15:$C$17,2,FALSE()))))</f>
        <v>#N/A</v>
      </c>
      <c r="AM91" s="95" t="e">
        <f>IF(Table4[[#This Row],[ScopeP]]="Unchanged",6.42*Table4[[#This Row],[ISC BaseP]],IF(Table4[[#This Row],[ScopeP]]="Changed",7.52*(Table4[[#This Row],[ISC BaseP]] - 0.029) - 3.25 * POWER(Table4[[#This Row],[ISC BaseP]] - 0.02,15),NA()))</f>
        <v>#N/A</v>
      </c>
      <c r="AN91" s="12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2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2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121"/>
      <c r="AR91" s="125"/>
    </row>
    <row r="92" spans="1:44" s="126" customFormat="1" ht="182" x14ac:dyDescent="0.35">
      <c r="A92" s="88">
        <v>88</v>
      </c>
      <c r="B92" s="115" t="s">
        <v>179</v>
      </c>
      <c r="C92" s="99" t="str">
        <f>IF(VLOOKUP(Table4[[#This Row],[T ID]],Table5[#All],5,FALSE())="No","Not in scope",VLOOKUP(Table4[[#This Row],[T ID]],Table5[#All],2,FALSE()))</f>
        <v>Brute-force Attack
(CAPEC-112)</v>
      </c>
      <c r="D92" s="116" t="s">
        <v>106</v>
      </c>
      <c r="E92" s="99" t="str">
        <f>IF(VLOOKUP(Table4[[#This Row],[V ID]],Vulnerabilities[#All],3,FALSE())="No","Not in scope",VLOOKUP(Table4[[#This Row],[V ID]],Vulnerabilities[#All],2,FALSE()))</f>
        <v>Weak Encryption Implementaion in data at rest and in transit tactical and design wise</v>
      </c>
      <c r="F92" s="117" t="s">
        <v>41</v>
      </c>
      <c r="G92" s="99" t="str">
        <f>VLOOKUP(Table4[[#This Row],[A ID]],Assets[#All],3,FALSE())</f>
        <v>Data in Transit</v>
      </c>
      <c r="H92" s="113" t="s">
        <v>288</v>
      </c>
      <c r="I92" s="113"/>
      <c r="J92" s="118" t="s">
        <v>240</v>
      </c>
      <c r="K92" s="118" t="s">
        <v>245</v>
      </c>
      <c r="L92" s="118" t="s">
        <v>240</v>
      </c>
      <c r="M92" s="94" t="s">
        <v>246</v>
      </c>
      <c r="N92" s="118" t="s">
        <v>250</v>
      </c>
      <c r="O92" s="94" t="s">
        <v>250</v>
      </c>
      <c r="P92" s="94" t="s">
        <v>245</v>
      </c>
      <c r="Q92" s="118" t="s">
        <v>243</v>
      </c>
      <c r="R92"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5">
        <f>(1 - ((1 - VLOOKUP(Table4[[#This Row],[Confidentiality]],'Reference - CVSSv3.0'!$B$15:$C$17,2,FALSE())) * (1 - VLOOKUP(Table4[[#This Row],[Integrity]],'Reference - CVSSv3.0'!$B$15:$C$17,2,FALSE())) *  (1 - VLOOKUP(Table4[[#This Row],[Availability]],'Reference - CVSSv3.0'!$B$15:$C$17,2,FALSE()))))</f>
        <v>0.39159999999999995</v>
      </c>
      <c r="T92" s="95">
        <f>IF(Table4[[#This Row],[Scope]]="Unchanged",6.42*Table4[[#This Row],[ISC Base]],IF(Table4[[#This Row],[Scope]]="Changed",7.52*(Table4[[#This Row],[ISC Base]] - 0.029) - 3.25 * POWER(Table4[[#This Row],[ISC Base]] - 0.02,15),NA()))</f>
        <v>2.5140719999999996</v>
      </c>
      <c r="U92" s="95">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9" t="s">
        <v>251</v>
      </c>
      <c r="W92" s="95">
        <f>VLOOKUP(Table4[[#This Row],[Threat Event Initiation]],NIST_Scale_LOAI[],2,FALSE())</f>
        <v>0.5</v>
      </c>
      <c r="X92"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13" t="s">
        <v>267</v>
      </c>
      <c r="AA92" s="21" t="s">
        <v>291</v>
      </c>
      <c r="AB92" s="120"/>
      <c r="AC92" s="121"/>
      <c r="AD92" s="121"/>
      <c r="AE92" s="121"/>
      <c r="AF92" s="118"/>
      <c r="AG92" s="118"/>
      <c r="AH92" s="118"/>
      <c r="AI92" s="118"/>
      <c r="AJ92" s="122"/>
      <c r="AK92"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5" t="e">
        <f>(1 - ((1 - VLOOKUP(Table4[[#This Row],[ConfidentialityP]],'Reference - CVSSv3.0'!$B$15:$C$17,2,FALSE())) * (1 - VLOOKUP(Table4[[#This Row],[IntegrityP]],'Reference - CVSSv3.0'!$B$15:$C$17,2,FALSE())) *  (1 - VLOOKUP(Table4[[#This Row],[AvailabilityP]],'Reference - CVSSv3.0'!$B$15:$C$17,2,FALSE()))))</f>
        <v>#N/A</v>
      </c>
      <c r="AM92" s="95" t="e">
        <f>IF(Table4[[#This Row],[ScopeP]]="Unchanged",6.42*Table4[[#This Row],[ISC BaseP]],IF(Table4[[#This Row],[ScopeP]]="Changed",7.52*(Table4[[#This Row],[ISC BaseP]] - 0.029) - 3.25 * POWER(Table4[[#This Row],[ISC BaseP]] - 0.02,15),NA()))</f>
        <v>#N/A</v>
      </c>
      <c r="AN92" s="12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2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2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121"/>
      <c r="AR92" s="125"/>
    </row>
    <row r="93" spans="1:44" ht="97.5" customHeight="1" x14ac:dyDescent="0.35">
      <c r="A93" s="88">
        <v>89</v>
      </c>
      <c r="B93" s="89" t="s">
        <v>182</v>
      </c>
      <c r="C93" s="99" t="str">
        <f>IF(VLOOKUP(Table4[[#This Row],[T ID]],Table5[#All],5,FALSE())="No","Not in scope",VLOOKUP(Table4[[#This Row],[T ID]],Table5[#All],2,FALSE()))</f>
        <v>Social Engineering
(TTP)</v>
      </c>
      <c r="D93" s="91" t="s">
        <v>115</v>
      </c>
      <c r="E93" s="99" t="str">
        <f>IF(VLOOKUP(Table4[[#This Row],[V ID]],Vulnerabilities[#All],3,FALSE())="No","Not in scope",VLOOKUP(Table4[[#This Row],[V ID]],Vulnerabilities[#All],2,FALSE()))</f>
        <v>Legacy system identification if any</v>
      </c>
      <c r="F93" s="100" t="s">
        <v>44</v>
      </c>
      <c r="G93" s="99" t="str">
        <f>VLOOKUP(Table4[[#This Row],[A ID]],Assets[#All],3,FALSE())</f>
        <v>Smart medic app (Stryker Admin Web Application)</v>
      </c>
      <c r="H93" s="21" t="s">
        <v>292</v>
      </c>
      <c r="I93" s="21"/>
      <c r="J93" s="93" t="s">
        <v>245</v>
      </c>
      <c r="K93" s="93" t="s">
        <v>240</v>
      </c>
      <c r="L93" s="93" t="s">
        <v>250</v>
      </c>
      <c r="M93" s="94" t="s">
        <v>293</v>
      </c>
      <c r="N93" s="94" t="s">
        <v>250</v>
      </c>
      <c r="O93" s="94" t="s">
        <v>250</v>
      </c>
      <c r="P93" s="94" t="s">
        <v>242</v>
      </c>
      <c r="Q93" s="94" t="s">
        <v>243</v>
      </c>
      <c r="R93"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5">
        <f>(1 - ((1 - VLOOKUP(Table4[[#This Row],[Confidentiality]],'Reference - CVSSv3.0'!$B$15:$C$17,2,FALSE())) * (1 - VLOOKUP(Table4[[#This Row],[Integrity]],'Reference - CVSSv3.0'!$B$15:$C$17,2,FALSE())) *  (1 - VLOOKUP(Table4[[#This Row],[Availability]],'Reference - CVSSv3.0'!$B$15:$C$17,2,FALSE()))))</f>
        <v>0.65680000000000005</v>
      </c>
      <c r="T93" s="95">
        <f>IF(Table4[[#This Row],[Scope]]="Unchanged",6.42*Table4[[#This Row],[ISC Base]],IF(Table4[[#This Row],[Scope]]="Changed",7.52*(Table4[[#This Row],[ISC Base]] - 0.029) - 3.25 * POWER(Table4[[#This Row],[ISC Base]] - 0.02,15),NA()))</f>
        <v>4.2166560000000004</v>
      </c>
      <c r="U93" s="9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9" t="s">
        <v>251</v>
      </c>
      <c r="W93" s="95">
        <f>VLOOKUP(Table4[[#This Row],[Threat Event Initiation]],NIST_Scale_LOAI[],2,FALSE())</f>
        <v>0.5</v>
      </c>
      <c r="X93"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13" t="s">
        <v>428</v>
      </c>
      <c r="AA93" s="250" t="s">
        <v>294</v>
      </c>
      <c r="AB93" s="110"/>
      <c r="AC93" s="39"/>
      <c r="AD93" s="39"/>
      <c r="AE93" s="39"/>
      <c r="AF93" s="94"/>
      <c r="AG93" s="94"/>
      <c r="AH93" s="94"/>
      <c r="AI93" s="94"/>
      <c r="AJ93" s="103"/>
      <c r="AK93"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5" t="e">
        <f>(1 - ((1 - VLOOKUP(Table4[[#This Row],[ConfidentialityP]],'Reference - CVSSv3.0'!$B$15:$C$17,2,FALSE())) * (1 - VLOOKUP(Table4[[#This Row],[IntegrityP]],'Reference - CVSSv3.0'!$B$15:$C$17,2,FALSE())) *  (1 - VLOOKUP(Table4[[#This Row],[AvailabilityP]],'Reference - CVSSv3.0'!$B$15:$C$17,2,FALSE()))))</f>
        <v>#N/A</v>
      </c>
      <c r="AM93" s="95" t="e">
        <f>IF(Table4[[#This Row],[ScopeP]]="Unchanged",6.42*Table4[[#This Row],[ISC BaseP]],IF(Table4[[#This Row],[ScopeP]]="Changed",7.52*(Table4[[#This Row],[ISC BaseP]] - 0.029) - 3.25 * POWER(Table4[[#This Row],[ISC BaseP]] - 0.02,15),NA()))</f>
        <v>#N/A</v>
      </c>
      <c r="AN93"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9"/>
    </row>
    <row r="94" spans="1:44" ht="140" x14ac:dyDescent="0.35">
      <c r="A94" s="127">
        <v>90</v>
      </c>
      <c r="B94" s="89" t="s">
        <v>182</v>
      </c>
      <c r="C94" s="99" t="str">
        <f>IF(VLOOKUP(Table4[[#This Row],[T ID]],Table5[#All],5,FALSE())="No","Not in scope",VLOOKUP(Table4[[#This Row],[T ID]],Table5[#All],2,FALSE()))</f>
        <v>Social Engineering
(TTP)</v>
      </c>
      <c r="D94" s="91" t="s">
        <v>75</v>
      </c>
      <c r="E94" s="99" t="str">
        <f>IF(VLOOKUP(Table4[[#This Row],[V ID]],Vulnerabilities[#All],3,FALSE())="No","Not in scope",VLOOKUP(Table4[[#This Row],[V ID]],Vulnerabilities[#All],2,FALSE()))</f>
        <v>Checking authentication modes for possible hacks and bypasses</v>
      </c>
      <c r="F94" s="14" t="s">
        <v>32</v>
      </c>
      <c r="G94" s="99" t="str">
        <f>VLOOKUP(Table4[[#This Row],[A ID]],Assets[#All],3,FALSE())</f>
        <v>Interface/API Communication</v>
      </c>
      <c r="H94" s="21" t="s">
        <v>295</v>
      </c>
      <c r="I94" s="21"/>
      <c r="J94" s="93" t="s">
        <v>245</v>
      </c>
      <c r="K94" s="93" t="s">
        <v>240</v>
      </c>
      <c r="L94" s="93" t="s">
        <v>250</v>
      </c>
      <c r="M94" s="94" t="s">
        <v>293</v>
      </c>
      <c r="N94" s="94" t="s">
        <v>250</v>
      </c>
      <c r="O94" s="94" t="s">
        <v>250</v>
      </c>
      <c r="P94" s="94" t="s">
        <v>242</v>
      </c>
      <c r="Q94" s="94" t="s">
        <v>243</v>
      </c>
      <c r="R94"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5">
        <f>(1 - ((1 - VLOOKUP(Table4[[#This Row],[Confidentiality]],'Reference - CVSSv3.0'!$B$15:$C$17,2,FALSE())) * (1 - VLOOKUP(Table4[[#This Row],[Integrity]],'Reference - CVSSv3.0'!$B$15:$C$17,2,FALSE())) *  (1 - VLOOKUP(Table4[[#This Row],[Availability]],'Reference - CVSSv3.0'!$B$15:$C$17,2,FALSE()))))</f>
        <v>0.65680000000000005</v>
      </c>
      <c r="T94" s="95">
        <f>IF(Table4[[#This Row],[Scope]]="Unchanged",6.42*Table4[[#This Row],[ISC Base]],IF(Table4[[#This Row],[Scope]]="Changed",7.52*(Table4[[#This Row],[ISC Base]] - 0.029) - 3.25 * POWER(Table4[[#This Row],[ISC Base]] - 0.02,15),NA()))</f>
        <v>4.2166560000000004</v>
      </c>
      <c r="U94" s="95">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9" t="s">
        <v>251</v>
      </c>
      <c r="W94" s="95">
        <f>VLOOKUP(Table4[[#This Row],[Threat Event Initiation]],NIST_Scale_LOAI[],2,FALSE())</f>
        <v>0.5</v>
      </c>
      <c r="X94"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13" t="s">
        <v>296</v>
      </c>
      <c r="AA94" s="250" t="s">
        <v>294</v>
      </c>
      <c r="AB94" s="110"/>
      <c r="AC94" s="39"/>
      <c r="AD94" s="39"/>
      <c r="AE94" s="39"/>
      <c r="AF94" s="94"/>
      <c r="AG94" s="94"/>
      <c r="AH94" s="94"/>
      <c r="AI94" s="94"/>
      <c r="AJ94" s="103"/>
      <c r="AK94"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5" t="e">
        <f>(1 - ((1 - VLOOKUP(Table4[[#This Row],[ConfidentialityP]],'Reference - CVSSv3.0'!$B$15:$C$17,2,FALSE())) * (1 - VLOOKUP(Table4[[#This Row],[IntegrityP]],'Reference - CVSSv3.0'!$B$15:$C$17,2,FALSE())) *  (1 - VLOOKUP(Table4[[#This Row],[AvailabilityP]],'Reference - CVSSv3.0'!$B$15:$C$17,2,FALSE()))))</f>
        <v>#N/A</v>
      </c>
      <c r="AM94" s="95" t="e">
        <f>IF(Table4[[#This Row],[ScopeP]]="Unchanged",6.42*Table4[[#This Row],[ISC BaseP]],IF(Table4[[#This Row],[ScopeP]]="Changed",7.52*(Table4[[#This Row],[ISC BaseP]] - 0.029) - 3.25 * POWER(Table4[[#This Row],[ISC BaseP]] - 0.02,15),NA()))</f>
        <v>#N/A</v>
      </c>
      <c r="AN94"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9"/>
    </row>
    <row r="95" spans="1:44" ht="158.5" customHeight="1" x14ac:dyDescent="0.35">
      <c r="A95" s="128">
        <v>91</v>
      </c>
      <c r="B95" s="114" t="s">
        <v>185</v>
      </c>
      <c r="C95" s="129" t="str">
        <f>IF(VLOOKUP(Table4[[#This Row],[T ID]],Table5[#All],5,FALSE())="No","Not in scope",VLOOKUP(Table4[[#This Row],[T ID]],Table5[#All],2,FALSE()))</f>
        <v>Lack of evidence to conclude any malicious attempt/attack
(ST[R]IDE)</v>
      </c>
      <c r="D95" s="114" t="s">
        <v>133</v>
      </c>
      <c r="E95" s="129" t="str">
        <f>IF(VLOOKUP(Table4[[#This Row],[V ID]],Vulnerabilities[#All],3,FALSE())="No","Not in scope",VLOOKUP(Table4[[#This Row],[V ID]],Vulnerabilities[#All],2,FALSE()))</f>
        <v xml:space="preserve">Insufficient Logging information </v>
      </c>
      <c r="F95" s="130" t="s">
        <v>47</v>
      </c>
      <c r="G95" s="129" t="str">
        <f>VLOOKUP(Table4[[#This Row],[A ID]],Assets[#All],3,FALSE())</f>
        <v>Smart medic app (Azure Portal Administrator)</v>
      </c>
      <c r="H95" s="23" t="s">
        <v>297</v>
      </c>
      <c r="I95" s="41"/>
      <c r="J95" s="114" t="s">
        <v>240</v>
      </c>
      <c r="K95" s="114" t="s">
        <v>240</v>
      </c>
      <c r="L95" s="114" t="s">
        <v>240</v>
      </c>
      <c r="M95" s="131" t="s">
        <v>249</v>
      </c>
      <c r="N95" s="131" t="s">
        <v>240</v>
      </c>
      <c r="O95" s="131" t="s">
        <v>240</v>
      </c>
      <c r="P95" s="131" t="s">
        <v>245</v>
      </c>
      <c r="Q95" s="131" t="s">
        <v>243</v>
      </c>
      <c r="R95"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133">
        <f>(1 - ((1 - VLOOKUP(Table4[[#This Row],[Confidentiality]],'Reference - CVSSv3.0'!$B$15:$C$17,2,FALSE())) * (1 - VLOOKUP(Table4[[#This Row],[Integrity]],'Reference - CVSSv3.0'!$B$15:$C$17,2,FALSE())) *  (1 - VLOOKUP(Table4[[#This Row],[Availability]],'Reference - CVSSv3.0'!$B$15:$C$17,2,FALSE()))))</f>
        <v>0.52544799999999992</v>
      </c>
      <c r="T95" s="133">
        <f>IF(Table4[[#This Row],[Scope]]="Unchanged",6.42*Table4[[#This Row],[ISC Base]],IF(Table4[[#This Row],[Scope]]="Changed",7.52*(Table4[[#This Row],[ISC Base]] - 0.029) - 3.25 * POWER(Table4[[#This Row],[ISC Base]] - 0.02,15),NA()))</f>
        <v>3.3733761599999994</v>
      </c>
      <c r="U95" s="13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134" t="s">
        <v>240</v>
      </c>
      <c r="W95" s="133">
        <f>VLOOKUP(Table4[[#This Row],[Threat Event Initiation]],NIST_Scale_LOAI[],2,FALSE())</f>
        <v>0.2</v>
      </c>
      <c r="X95"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3" t="s">
        <v>298</v>
      </c>
      <c r="AA95" s="251" t="s">
        <v>401</v>
      </c>
      <c r="AB95" s="136"/>
      <c r="AC95" s="41"/>
      <c r="AD95" s="41"/>
      <c r="AE95" s="41"/>
      <c r="AF95" s="131"/>
      <c r="AG95" s="131"/>
      <c r="AH95" s="131"/>
      <c r="AI95" s="131"/>
      <c r="AJ95" s="137"/>
      <c r="AK95"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133" t="e">
        <f>(1 - ((1 - VLOOKUP(Table4[[#This Row],[ConfidentialityP]],'Reference - CVSSv3.0'!$B$15:$C$17,2,FALSE())) * (1 - VLOOKUP(Table4[[#This Row],[IntegrityP]],'Reference - CVSSv3.0'!$B$15:$C$17,2,FALSE())) *  (1 - VLOOKUP(Table4[[#This Row],[AvailabilityP]],'Reference - CVSSv3.0'!$B$15:$C$17,2,FALSE()))))</f>
        <v>#N/A</v>
      </c>
      <c r="AM95" s="133" t="e">
        <f>IF(Table4[[#This Row],[ScopeP]]="Unchanged",6.42*Table4[[#This Row],[ISC BaseP]],IF(Table4[[#This Row],[ScopeP]]="Changed",7.52*(Table4[[#This Row],[ISC BaseP]] - 0.029) - 3.25 * POWER(Table4[[#This Row],[ISC BaseP]] - 0.02,15),NA()))</f>
        <v>#N/A</v>
      </c>
      <c r="AN95"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41"/>
    </row>
    <row r="96" spans="1:44" ht="164" customHeight="1" x14ac:dyDescent="0.35">
      <c r="A96" s="139">
        <v>92</v>
      </c>
      <c r="B96" s="91" t="s">
        <v>185</v>
      </c>
      <c r="C96" s="99" t="str">
        <f>IF(VLOOKUP(Table4[[#This Row],[T ID]],Table5[#All],5,FALSE())="No","Not in scope",VLOOKUP(Table4[[#This Row],[T ID]],Table5[#All],2,FALSE()))</f>
        <v>Lack of evidence to conclude any malicious attempt/attack
(ST[R]IDE)</v>
      </c>
      <c r="D96" s="91" t="s">
        <v>135</v>
      </c>
      <c r="E96" s="99" t="str">
        <f>IF(VLOOKUP(Table4[[#This Row],[V ID]],Vulnerabilities[#All],3,FALSE())="No","Not in scope",VLOOKUP(Table4[[#This Row],[V ID]],Vulnerabilities[#All],2,FALSE()))</f>
        <v>Insufficient Access permissions for accessing and modifying Log files</v>
      </c>
      <c r="F96" s="100" t="s">
        <v>47</v>
      </c>
      <c r="G96" s="99" t="str">
        <f>VLOOKUP(Table4[[#This Row],[A ID]],Assets[#All],3,FALSE())</f>
        <v>Smart medic app (Azure Portal Administrator)</v>
      </c>
      <c r="H96" s="23" t="s">
        <v>297</v>
      </c>
      <c r="I96" s="39"/>
      <c r="J96" s="91" t="s">
        <v>240</v>
      </c>
      <c r="K96" s="91" t="s">
        <v>240</v>
      </c>
      <c r="L96" s="91" t="s">
        <v>240</v>
      </c>
      <c r="M96" s="94" t="s">
        <v>249</v>
      </c>
      <c r="N96" s="91" t="s">
        <v>240</v>
      </c>
      <c r="O96" s="91" t="s">
        <v>240</v>
      </c>
      <c r="P96" s="94" t="s">
        <v>245</v>
      </c>
      <c r="Q96" s="94" t="s">
        <v>243</v>
      </c>
      <c r="R96" s="101">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95">
        <f>(1 - ((1 - VLOOKUP(Table4[[#This Row],[Confidentiality]],'Reference - CVSSv3.0'!$B$15:$C$17,2,FALSE())) * (1 - VLOOKUP(Table4[[#This Row],[Integrity]],'Reference - CVSSv3.0'!$B$15:$C$17,2,FALSE())) *  (1 - VLOOKUP(Table4[[#This Row],[Availability]],'Reference - CVSSv3.0'!$B$15:$C$17,2,FALSE()))))</f>
        <v>0.52544799999999992</v>
      </c>
      <c r="T96" s="95">
        <f>IF(Table4[[#This Row],[Scope]]="Unchanged",6.42*Table4[[#This Row],[ISC Base]],IF(Table4[[#This Row],[Scope]]="Changed",7.52*(Table4[[#This Row],[ISC Base]] - 0.029) - 3.25 * POWER(Table4[[#This Row],[ISC Base]] - 0.02,15),NA()))</f>
        <v>3.3733761599999994</v>
      </c>
      <c r="U96" s="95">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140" t="s">
        <v>240</v>
      </c>
      <c r="W96" s="95">
        <f>VLOOKUP(Table4[[#This Row],[Threat Event Initiation]],NIST_Scale_LOAI[],2,FALSE())</f>
        <v>0.2</v>
      </c>
      <c r="X96" s="95">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10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3" t="s">
        <v>299</v>
      </c>
      <c r="AA96" s="249" t="s">
        <v>402</v>
      </c>
      <c r="AB96" s="110"/>
      <c r="AC96" s="39"/>
      <c r="AD96" s="39"/>
      <c r="AE96" s="39"/>
      <c r="AF96" s="94"/>
      <c r="AG96" s="94"/>
      <c r="AH96" s="94"/>
      <c r="AI96" s="94"/>
      <c r="AJ96" s="103"/>
      <c r="AK96" s="95"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95" t="e">
        <f>(1 - ((1 - VLOOKUP(Table4[[#This Row],[ConfidentialityP]],'Reference - CVSSv3.0'!$B$15:$C$17,2,FALSE())) * (1 - VLOOKUP(Table4[[#This Row],[IntegrityP]],'Reference - CVSSv3.0'!$B$15:$C$17,2,FALSE())) *  (1 - VLOOKUP(Table4[[#This Row],[AvailabilityP]],'Reference - CVSSv3.0'!$B$15:$C$17,2,FALSE()))))</f>
        <v>#N/A</v>
      </c>
      <c r="AM96" s="95" t="e">
        <f>IF(Table4[[#This Row],[ScopeP]]="Unchanged",6.42*Table4[[#This Row],[ISC BaseP]],IF(Table4[[#This Row],[ScopeP]]="Changed",7.52*(Table4[[#This Row],[ISC BaseP]] - 0.029) - 3.25 * POWER(Table4[[#This Row],[ISC BaseP]] - 0.02,15),NA()))</f>
        <v>#N/A</v>
      </c>
      <c r="AN96" s="95"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5"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10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39"/>
    </row>
    <row r="97" spans="1:43" ht="210" x14ac:dyDescent="0.35">
      <c r="A97" s="128">
        <v>93</v>
      </c>
      <c r="B97" s="114" t="s">
        <v>155</v>
      </c>
      <c r="C97" s="129" t="str">
        <f>IF(VLOOKUP(Table4[[#This Row],[T ID]],Table5[#All],5,FALSE())="No","Not in scope",VLOOKUP(Table4[[#This Row],[T ID]],Table5[#All],2,FALSE()))</f>
        <v>Gaining Access
([S]TRID[E])</v>
      </c>
      <c r="D97" s="114" t="s">
        <v>124</v>
      </c>
      <c r="E97" s="129" t="str">
        <f>IF(VLOOKUP(Table4[[#This Row],[V ID]],Vulnerabilities[#All],3,FALSE())="No","Not in scope",VLOOKUP(Table4[[#This Row],[V ID]],Vulnerabilities[#All],2,FALSE()))</f>
        <v>Error Info containing sensitive data for Failed Authentication attempts</v>
      </c>
      <c r="F97" s="130" t="s">
        <v>47</v>
      </c>
      <c r="G97" s="129" t="str">
        <f>VLOOKUP(Table4[[#This Row],[A ID]],Assets[#All],3,FALSE())</f>
        <v>Smart medic app (Azure Portal Administrator)</v>
      </c>
      <c r="H97" s="21" t="s">
        <v>285</v>
      </c>
      <c r="I97" s="41"/>
      <c r="J97" s="114" t="s">
        <v>240</v>
      </c>
      <c r="K97" s="114" t="s">
        <v>240</v>
      </c>
      <c r="L97" s="114" t="s">
        <v>250</v>
      </c>
      <c r="M97" s="131" t="s">
        <v>246</v>
      </c>
      <c r="N97" s="131" t="s">
        <v>250</v>
      </c>
      <c r="O97" s="131" t="s">
        <v>240</v>
      </c>
      <c r="P97" s="131" t="s">
        <v>245</v>
      </c>
      <c r="Q97" s="131" t="s">
        <v>243</v>
      </c>
      <c r="R97"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133">
        <f>(1 - ((1 - VLOOKUP(Table4[[#This Row],[Confidentiality]],'Reference - CVSSv3.0'!$B$15:$C$17,2,FALSE())) * (1 - VLOOKUP(Table4[[#This Row],[Integrity]],'Reference - CVSSv3.0'!$B$15:$C$17,2,FALSE())) *  (1 - VLOOKUP(Table4[[#This Row],[Availability]],'Reference - CVSSv3.0'!$B$15:$C$17,2,FALSE()))))</f>
        <v>0.73230400000000007</v>
      </c>
      <c r="T97" s="133">
        <f>IF(Table4[[#This Row],[Scope]]="Unchanged",6.42*Table4[[#This Row],[ISC Base]],IF(Table4[[#This Row],[Scope]]="Changed",7.52*(Table4[[#This Row],[ISC Base]] - 0.029) - 3.25 * POWER(Table4[[#This Row],[ISC Base]] - 0.02,15),NA()))</f>
        <v>4.7013916800000004</v>
      </c>
      <c r="U97"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134" t="s">
        <v>251</v>
      </c>
      <c r="W97" s="133">
        <f>VLOOKUP(Table4[[#This Row],[Threat Event Initiation]],NIST_Scale_LOAI[],2,FALSE())</f>
        <v>0.5</v>
      </c>
      <c r="X97"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3" t="s">
        <v>300</v>
      </c>
      <c r="AA97" s="252" t="s">
        <v>403</v>
      </c>
      <c r="AB97" s="136"/>
      <c r="AC97" s="41"/>
      <c r="AD97" s="41"/>
      <c r="AE97" s="41"/>
      <c r="AF97" s="131"/>
      <c r="AG97" s="131"/>
      <c r="AH97" s="131"/>
      <c r="AI97" s="131"/>
      <c r="AJ97" s="137"/>
      <c r="AK97"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133" t="e">
        <f>(1 - ((1 - VLOOKUP(Table4[[#This Row],[ConfidentialityP]],'Reference - CVSSv3.0'!$B$15:$C$17,2,FALSE())) * (1 - VLOOKUP(Table4[[#This Row],[IntegrityP]],'Reference - CVSSv3.0'!$B$15:$C$17,2,FALSE())) *  (1 - VLOOKUP(Table4[[#This Row],[AvailabilityP]],'Reference - CVSSv3.0'!$B$15:$C$17,2,FALSE()))))</f>
        <v>#N/A</v>
      </c>
      <c r="AM97" s="133" t="e">
        <f>IF(Table4[[#This Row],[ScopeP]]="Unchanged",6.42*Table4[[#This Row],[ISC BaseP]],IF(Table4[[#This Row],[ScopeP]]="Changed",7.52*(Table4[[#This Row],[ISC BaseP]] - 0.029) - 3.25 * POWER(Table4[[#This Row],[ISC BaseP]] - 0.02,15),NA()))</f>
        <v>#N/A</v>
      </c>
      <c r="AN97"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41"/>
    </row>
    <row r="98" spans="1:43" ht="126" x14ac:dyDescent="0.35">
      <c r="A98" s="128">
        <v>94</v>
      </c>
      <c r="B98" s="114" t="s">
        <v>155</v>
      </c>
      <c r="C98" s="129" t="str">
        <f>IF(VLOOKUP(Table4[[#This Row],[T ID]],Table5[#All],5,FALSE())="No","Not in scope",VLOOKUP(Table4[[#This Row],[T ID]],Table5[#All],2,FALSE()))</f>
        <v>Gaining Access
([S]TRID[E])</v>
      </c>
      <c r="D98" s="114" t="s">
        <v>138</v>
      </c>
      <c r="E98" s="129" t="str">
        <f>IF(VLOOKUP(Table4[[#This Row],[V ID]],Vulnerabilities[#All],3,FALSE())="No","Not in scope",VLOOKUP(Table4[[#This Row],[V ID]],Vulnerabilities[#All],2,FALSE()))</f>
        <v>Improper security (for ex.,Storage &amp; Access) for Key tokens and Certificates</v>
      </c>
      <c r="F98" s="130" t="s">
        <v>50</v>
      </c>
      <c r="G98" s="129" t="str">
        <f>VLOOKUP(Table4[[#This Row],[A ID]],Assets[#All],3,FALSE())</f>
        <v>Azure Cloud DataBase</v>
      </c>
      <c r="H98" s="21" t="s">
        <v>285</v>
      </c>
      <c r="I98" s="41"/>
      <c r="J98" s="114" t="s">
        <v>240</v>
      </c>
      <c r="K98" s="114" t="s">
        <v>240</v>
      </c>
      <c r="L98" s="114" t="s">
        <v>250</v>
      </c>
      <c r="M98" s="131" t="s">
        <v>246</v>
      </c>
      <c r="N98" s="131" t="s">
        <v>250</v>
      </c>
      <c r="O98" s="131" t="s">
        <v>240</v>
      </c>
      <c r="P98" s="131" t="s">
        <v>245</v>
      </c>
      <c r="Q98" s="131" t="s">
        <v>243</v>
      </c>
      <c r="R98"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33">
        <f>(1 - ((1 - VLOOKUP(Table4[[#This Row],[Confidentiality]],'Reference - CVSSv3.0'!$B$15:$C$17,2,FALSE())) * (1 - VLOOKUP(Table4[[#This Row],[Integrity]],'Reference - CVSSv3.0'!$B$15:$C$17,2,FALSE())) *  (1 - VLOOKUP(Table4[[#This Row],[Availability]],'Reference - CVSSv3.0'!$B$15:$C$17,2,FALSE()))))</f>
        <v>0.73230400000000007</v>
      </c>
      <c r="T98" s="133">
        <f>IF(Table4[[#This Row],[Scope]]="Unchanged",6.42*Table4[[#This Row],[ISC Base]],IF(Table4[[#This Row],[Scope]]="Changed",7.52*(Table4[[#This Row],[ISC Base]] - 0.029) - 3.25 * POWER(Table4[[#This Row],[ISC Base]] - 0.02,15),NA()))</f>
        <v>4.7013916800000004</v>
      </c>
      <c r="U98"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34" t="s">
        <v>251</v>
      </c>
      <c r="W98" s="133">
        <f>VLOOKUP(Table4[[#This Row],[Threat Event Initiation]],NIST_Scale_LOAI[],2,FALSE())</f>
        <v>0.5</v>
      </c>
      <c r="X98"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3" t="s">
        <v>301</v>
      </c>
      <c r="AA98" s="23" t="s">
        <v>302</v>
      </c>
      <c r="AB98" s="136"/>
      <c r="AC98" s="41"/>
      <c r="AD98" s="41"/>
      <c r="AE98" s="41"/>
      <c r="AF98" s="131"/>
      <c r="AG98" s="131"/>
      <c r="AH98" s="131"/>
      <c r="AI98" s="131"/>
      <c r="AJ98" s="137"/>
      <c r="AK98"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33" t="e">
        <f>(1 - ((1 - VLOOKUP(Table4[[#This Row],[ConfidentialityP]],'Reference - CVSSv3.0'!$B$15:$C$17,2,FALSE())) * (1 - VLOOKUP(Table4[[#This Row],[IntegrityP]],'Reference - CVSSv3.0'!$B$15:$C$17,2,FALSE())) *  (1 - VLOOKUP(Table4[[#This Row],[AvailabilityP]],'Reference - CVSSv3.0'!$B$15:$C$17,2,FALSE()))))</f>
        <v>#N/A</v>
      </c>
      <c r="AM98" s="133" t="e">
        <f>IF(Table4[[#This Row],[ScopeP]]="Unchanged",6.42*Table4[[#This Row],[ISC BaseP]],IF(Table4[[#This Row],[ScopeP]]="Changed",7.52*(Table4[[#This Row],[ISC BaseP]] - 0.029) - 3.25 * POWER(Table4[[#This Row],[ISC BaseP]] - 0.02,15),NA()))</f>
        <v>#N/A</v>
      </c>
      <c r="AN98"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41"/>
    </row>
    <row r="99" spans="1:43" ht="182" x14ac:dyDescent="0.35">
      <c r="A99" s="128">
        <v>95</v>
      </c>
      <c r="B99" s="114" t="s">
        <v>155</v>
      </c>
      <c r="C99" s="129" t="str">
        <f>IF(VLOOKUP(Table4[[#This Row],[T ID]],Table5[#All],5,FALSE())="No","Not in scope",VLOOKUP(Table4[[#This Row],[T ID]],Table5[#All],2,FALSE()))</f>
        <v>Gaining Access
([S]TRID[E])</v>
      </c>
      <c r="D99" s="114" t="s">
        <v>126</v>
      </c>
      <c r="E99" s="129" t="str">
        <f>IF(VLOOKUP(Table4[[#This Row],[V ID]],Vulnerabilities[#All],3,FALSE())="No","Not in scope",VLOOKUP(Table4[[#This Row],[V ID]],Vulnerabilities[#All],2,FALSE()))</f>
        <v>Absence of additional security factor along with user identification</v>
      </c>
      <c r="F99" s="130" t="s">
        <v>47</v>
      </c>
      <c r="G99" s="129" t="str">
        <f>VLOOKUP(Table4[[#This Row],[A ID]],Assets[#All],3,FALSE())</f>
        <v>Smart medic app (Azure Portal Administrator)</v>
      </c>
      <c r="H99" s="21" t="s">
        <v>285</v>
      </c>
      <c r="I99" s="41"/>
      <c r="J99" s="114" t="s">
        <v>240</v>
      </c>
      <c r="K99" s="114" t="s">
        <v>240</v>
      </c>
      <c r="L99" s="114" t="s">
        <v>250</v>
      </c>
      <c r="M99" s="131" t="s">
        <v>246</v>
      </c>
      <c r="N99" s="131" t="s">
        <v>250</v>
      </c>
      <c r="O99" s="131" t="s">
        <v>240</v>
      </c>
      <c r="P99" s="131" t="s">
        <v>245</v>
      </c>
      <c r="Q99" s="131" t="s">
        <v>243</v>
      </c>
      <c r="R99"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33">
        <f>(1 - ((1 - VLOOKUP(Table4[[#This Row],[Confidentiality]],'Reference - CVSSv3.0'!$B$15:$C$17,2,FALSE())) * (1 - VLOOKUP(Table4[[#This Row],[Integrity]],'Reference - CVSSv3.0'!$B$15:$C$17,2,FALSE())) *  (1 - VLOOKUP(Table4[[#This Row],[Availability]],'Reference - CVSSv3.0'!$B$15:$C$17,2,FALSE()))))</f>
        <v>0.73230400000000007</v>
      </c>
      <c r="T99" s="133">
        <f>IF(Table4[[#This Row],[Scope]]="Unchanged",6.42*Table4[[#This Row],[ISC Base]],IF(Table4[[#This Row],[Scope]]="Changed",7.52*(Table4[[#This Row],[ISC Base]] - 0.029) - 3.25 * POWER(Table4[[#This Row],[ISC Base]] - 0.02,15),NA()))</f>
        <v>4.7013916800000004</v>
      </c>
      <c r="U99"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34" t="s">
        <v>251</v>
      </c>
      <c r="W99" s="133">
        <f>VLOOKUP(Table4[[#This Row],[Threat Event Initiation]],NIST_Scale_LOAI[],2,FALSE())</f>
        <v>0.5</v>
      </c>
      <c r="X99"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3" t="s">
        <v>303</v>
      </c>
      <c r="AA99" s="252" t="s">
        <v>405</v>
      </c>
      <c r="AB99" s="136"/>
      <c r="AC99" s="41"/>
      <c r="AD99" s="41"/>
      <c r="AE99" s="41"/>
      <c r="AF99" s="131"/>
      <c r="AG99" s="131"/>
      <c r="AH99" s="131"/>
      <c r="AI99" s="131"/>
      <c r="AJ99" s="137"/>
      <c r="AK99"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33" t="e">
        <f>(1 - ((1 - VLOOKUP(Table4[[#This Row],[ConfidentialityP]],'Reference - CVSSv3.0'!$B$15:$C$17,2,FALSE())) * (1 - VLOOKUP(Table4[[#This Row],[IntegrityP]],'Reference - CVSSv3.0'!$B$15:$C$17,2,FALSE())) *  (1 - VLOOKUP(Table4[[#This Row],[AvailabilityP]],'Reference - CVSSv3.0'!$B$15:$C$17,2,FALSE()))))</f>
        <v>#N/A</v>
      </c>
      <c r="AM99" s="133" t="e">
        <f>IF(Table4[[#This Row],[ScopeP]]="Unchanged",6.42*Table4[[#This Row],[ISC BaseP]],IF(Table4[[#This Row],[ScopeP]]="Changed",7.52*(Table4[[#This Row],[ISC BaseP]] - 0.029) - 3.25 * POWER(Table4[[#This Row],[ISC BaseP]] - 0.02,15),NA()))</f>
        <v>#N/A</v>
      </c>
      <c r="AN99"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41"/>
    </row>
    <row r="100" spans="1:43" ht="132.5" customHeight="1" x14ac:dyDescent="0.35">
      <c r="A100" s="128">
        <v>96</v>
      </c>
      <c r="B100" s="114" t="s">
        <v>155</v>
      </c>
      <c r="C100" s="129" t="str">
        <f>IF(VLOOKUP(Table4[[#This Row],[T ID]],Table5[#All],5,FALSE())="No","Not in scope",VLOOKUP(Table4[[#This Row],[T ID]],Table5[#All],2,FALSE()))</f>
        <v>Gaining Access
([S]TRID[E])</v>
      </c>
      <c r="D100" s="114" t="s">
        <v>126</v>
      </c>
      <c r="E100" s="129" t="str">
        <f>IF(VLOOKUP(Table4[[#This Row],[V ID]],Vulnerabilities[#All],3,FALSE())="No","Not in scope",VLOOKUP(Table4[[#This Row],[V ID]],Vulnerabilities[#All],2,FALSE()))</f>
        <v>Absence of additional security factor along with user identification</v>
      </c>
      <c r="F100" s="130" t="s">
        <v>50</v>
      </c>
      <c r="G100" s="129" t="str">
        <f>VLOOKUP(Table4[[#This Row],[A ID]],Assets[#All],3,FALSE())</f>
        <v>Azure Cloud DataBase</v>
      </c>
      <c r="H100" s="21" t="s">
        <v>285</v>
      </c>
      <c r="I100" s="41"/>
      <c r="J100" s="114" t="s">
        <v>240</v>
      </c>
      <c r="K100" s="114" t="s">
        <v>240</v>
      </c>
      <c r="L100" s="114" t="s">
        <v>250</v>
      </c>
      <c r="M100" s="131" t="s">
        <v>246</v>
      </c>
      <c r="N100" s="131" t="s">
        <v>250</v>
      </c>
      <c r="O100" s="131" t="s">
        <v>240</v>
      </c>
      <c r="P100" s="131" t="s">
        <v>245</v>
      </c>
      <c r="Q100" s="131" t="s">
        <v>243</v>
      </c>
      <c r="R100"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33">
        <f>(1 - ((1 - VLOOKUP(Table4[[#This Row],[Confidentiality]],'Reference - CVSSv3.0'!$B$15:$C$17,2,FALSE())) * (1 - VLOOKUP(Table4[[#This Row],[Integrity]],'Reference - CVSSv3.0'!$B$15:$C$17,2,FALSE())) *  (1 - VLOOKUP(Table4[[#This Row],[Availability]],'Reference - CVSSv3.0'!$B$15:$C$17,2,FALSE()))))</f>
        <v>0.73230400000000007</v>
      </c>
      <c r="T100" s="133">
        <f>IF(Table4[[#This Row],[Scope]]="Unchanged",6.42*Table4[[#This Row],[ISC Base]],IF(Table4[[#This Row],[Scope]]="Changed",7.52*(Table4[[#This Row],[ISC Base]] - 0.029) - 3.25 * POWER(Table4[[#This Row],[ISC Base]] - 0.02,15),NA()))</f>
        <v>4.7013916800000004</v>
      </c>
      <c r="U100"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34" t="s">
        <v>251</v>
      </c>
      <c r="W100" s="133">
        <f>VLOOKUP(Table4[[#This Row],[Threat Event Initiation]],NIST_Scale_LOAI[],2,FALSE())</f>
        <v>0.5</v>
      </c>
      <c r="X100"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3" t="s">
        <v>304</v>
      </c>
      <c r="AA100" s="251" t="s">
        <v>404</v>
      </c>
      <c r="AB100" s="136"/>
      <c r="AC100" s="41"/>
      <c r="AD100" s="41"/>
      <c r="AE100" s="41"/>
      <c r="AF100" s="131"/>
      <c r="AG100" s="131"/>
      <c r="AH100" s="131"/>
      <c r="AI100" s="131"/>
      <c r="AJ100" s="137"/>
      <c r="AK100"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33" t="e">
        <f>(1 - ((1 - VLOOKUP(Table4[[#This Row],[ConfidentialityP]],'Reference - CVSSv3.0'!$B$15:$C$17,2,FALSE())) * (1 - VLOOKUP(Table4[[#This Row],[IntegrityP]],'Reference - CVSSv3.0'!$B$15:$C$17,2,FALSE())) *  (1 - VLOOKUP(Table4[[#This Row],[AvailabilityP]],'Reference - CVSSv3.0'!$B$15:$C$17,2,FALSE()))))</f>
        <v>#N/A</v>
      </c>
      <c r="AM100" s="133" t="e">
        <f>IF(Table4[[#This Row],[ScopeP]]="Unchanged",6.42*Table4[[#This Row],[ISC BaseP]],IF(Table4[[#This Row],[ScopeP]]="Changed",7.52*(Table4[[#This Row],[ISC BaseP]] - 0.029) - 3.25 * POWER(Table4[[#This Row],[ISC BaseP]] - 0.02,15),NA()))</f>
        <v>#N/A</v>
      </c>
      <c r="AN100"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41"/>
    </row>
    <row r="101" spans="1:43" ht="210" x14ac:dyDescent="0.35">
      <c r="A101" s="128">
        <v>97</v>
      </c>
      <c r="B101" s="114" t="s">
        <v>179</v>
      </c>
      <c r="C101" s="129" t="str">
        <f>IF(VLOOKUP(Table4[[#This Row],[T ID]],Table5[#All],5,FALSE())="No","Not in scope",VLOOKUP(Table4[[#This Row],[T ID]],Table5[#All],2,FALSE()))</f>
        <v>Brute-force Attack
(CAPEC-112)</v>
      </c>
      <c r="D101" s="114" t="s">
        <v>124</v>
      </c>
      <c r="E101" s="129" t="str">
        <f>IF(VLOOKUP(Table4[[#This Row],[V ID]],Vulnerabilities[#All],3,FALSE())="No","Not in scope",VLOOKUP(Table4[[#This Row],[V ID]],Vulnerabilities[#All],2,FALSE()))</f>
        <v>Error Info containing sensitive data for Failed Authentication attempts</v>
      </c>
      <c r="F101" s="130" t="s">
        <v>50</v>
      </c>
      <c r="G101" s="129" t="str">
        <f>VLOOKUP(Table4[[#This Row],[A ID]],Assets[#All],3,FALSE())</f>
        <v>Azure Cloud DataBase</v>
      </c>
      <c r="H101" s="21" t="s">
        <v>285</v>
      </c>
      <c r="I101" s="41"/>
      <c r="J101" s="114" t="s">
        <v>240</v>
      </c>
      <c r="K101" s="114" t="s">
        <v>240</v>
      </c>
      <c r="L101" s="114" t="s">
        <v>250</v>
      </c>
      <c r="M101" s="131" t="s">
        <v>246</v>
      </c>
      <c r="N101" s="131" t="s">
        <v>250</v>
      </c>
      <c r="O101" s="131" t="s">
        <v>240</v>
      </c>
      <c r="P101" s="131" t="s">
        <v>245</v>
      </c>
      <c r="Q101" s="131" t="s">
        <v>243</v>
      </c>
      <c r="R101"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33">
        <f>(1 - ((1 - VLOOKUP(Table4[[#This Row],[Confidentiality]],'Reference - CVSSv3.0'!$B$15:$C$17,2,FALSE())) * (1 - VLOOKUP(Table4[[#This Row],[Integrity]],'Reference - CVSSv3.0'!$B$15:$C$17,2,FALSE())) *  (1 - VLOOKUP(Table4[[#This Row],[Availability]],'Reference - CVSSv3.0'!$B$15:$C$17,2,FALSE()))))</f>
        <v>0.73230400000000007</v>
      </c>
      <c r="T101" s="133">
        <f>IF(Table4[[#This Row],[Scope]]="Unchanged",6.42*Table4[[#This Row],[ISC Base]],IF(Table4[[#This Row],[Scope]]="Changed",7.52*(Table4[[#This Row],[ISC Base]] - 0.029) - 3.25 * POWER(Table4[[#This Row],[ISC Base]] - 0.02,15),NA()))</f>
        <v>4.7013916800000004</v>
      </c>
      <c r="U101"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34" t="s">
        <v>251</v>
      </c>
      <c r="W101" s="133">
        <f>VLOOKUP(Table4[[#This Row],[Threat Event Initiation]],NIST_Scale_LOAI[],2,FALSE())</f>
        <v>0.5</v>
      </c>
      <c r="X101"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3" t="s">
        <v>300</v>
      </c>
      <c r="AA101" s="252" t="s">
        <v>406</v>
      </c>
      <c r="AB101" s="136"/>
      <c r="AC101" s="41"/>
      <c r="AD101" s="41"/>
      <c r="AE101" s="41"/>
      <c r="AF101" s="131"/>
      <c r="AG101" s="131"/>
      <c r="AH101" s="131"/>
      <c r="AI101" s="131"/>
      <c r="AJ101" s="137"/>
      <c r="AK101"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33" t="e">
        <f>(1 - ((1 - VLOOKUP(Table4[[#This Row],[ConfidentialityP]],'Reference - CVSSv3.0'!$B$15:$C$17,2,FALSE())) * (1 - VLOOKUP(Table4[[#This Row],[IntegrityP]],'Reference - CVSSv3.0'!$B$15:$C$17,2,FALSE())) *  (1 - VLOOKUP(Table4[[#This Row],[AvailabilityP]],'Reference - CVSSv3.0'!$B$15:$C$17,2,FALSE()))))</f>
        <v>#N/A</v>
      </c>
      <c r="AM101" s="133" t="e">
        <f>IF(Table4[[#This Row],[ScopeP]]="Unchanged",6.42*Table4[[#This Row],[ISC BaseP]],IF(Table4[[#This Row],[ScopeP]]="Changed",7.52*(Table4[[#This Row],[ISC BaseP]] - 0.029) - 3.25 * POWER(Table4[[#This Row],[ISC BaseP]] - 0.02,15),NA()))</f>
        <v>#N/A</v>
      </c>
      <c r="AN101"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41"/>
    </row>
    <row r="102" spans="1:43" ht="210" x14ac:dyDescent="0.35">
      <c r="A102" s="128">
        <v>98</v>
      </c>
      <c r="B102" s="114" t="s">
        <v>179</v>
      </c>
      <c r="C102" s="129" t="str">
        <f>IF(VLOOKUP(Table4[[#This Row],[T ID]],Table5[#All],5,FALSE())="No","Not in scope",VLOOKUP(Table4[[#This Row],[T ID]],Table5[#All],2,FALSE()))</f>
        <v>Brute-force Attack
(CAPEC-112)</v>
      </c>
      <c r="D102" s="114" t="s">
        <v>128</v>
      </c>
      <c r="E102" s="129" t="str">
        <f>IF(VLOOKUP(Table4[[#This Row],[V ID]],Vulnerabilities[#All],3,FALSE())="No","Not in scope",VLOOKUP(Table4[[#This Row],[V ID]],Vulnerabilities[#All],2,FALSE()))</f>
        <v>Having no limit on the login attempts</v>
      </c>
      <c r="F102" s="130" t="s">
        <v>47</v>
      </c>
      <c r="G102" s="129" t="str">
        <f>VLOOKUP(Table4[[#This Row],[A ID]],Assets[#All],3,FALSE())</f>
        <v>Smart medic app (Azure Portal Administrator)</v>
      </c>
      <c r="H102" s="21" t="s">
        <v>285</v>
      </c>
      <c r="I102" s="41"/>
      <c r="J102" s="114" t="s">
        <v>240</v>
      </c>
      <c r="K102" s="114" t="s">
        <v>240</v>
      </c>
      <c r="L102" s="114" t="s">
        <v>250</v>
      </c>
      <c r="M102" s="131" t="s">
        <v>246</v>
      </c>
      <c r="N102" s="131" t="s">
        <v>250</v>
      </c>
      <c r="O102" s="131" t="s">
        <v>240</v>
      </c>
      <c r="P102" s="131" t="s">
        <v>245</v>
      </c>
      <c r="Q102" s="131" t="s">
        <v>243</v>
      </c>
      <c r="R102"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33">
        <f>(1 - ((1 - VLOOKUP(Table4[[#This Row],[Confidentiality]],'Reference - CVSSv3.0'!$B$15:$C$17,2,FALSE())) * (1 - VLOOKUP(Table4[[#This Row],[Integrity]],'Reference - CVSSv3.0'!$B$15:$C$17,2,FALSE())) *  (1 - VLOOKUP(Table4[[#This Row],[Availability]],'Reference - CVSSv3.0'!$B$15:$C$17,2,FALSE()))))</f>
        <v>0.73230400000000007</v>
      </c>
      <c r="T102" s="133">
        <f>IF(Table4[[#This Row],[Scope]]="Unchanged",6.42*Table4[[#This Row],[ISC Base]],IF(Table4[[#This Row],[Scope]]="Changed",7.52*(Table4[[#This Row],[ISC Base]] - 0.029) - 3.25 * POWER(Table4[[#This Row],[ISC Base]] - 0.02,15),NA()))</f>
        <v>4.7013916800000004</v>
      </c>
      <c r="U102" s="13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34" t="s">
        <v>251</v>
      </c>
      <c r="W102" s="133">
        <f>VLOOKUP(Table4[[#This Row],[Threat Event Initiation]],NIST_Scale_LOAI[],2,FALSE())</f>
        <v>0.5</v>
      </c>
      <c r="X102"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3" t="s">
        <v>300</v>
      </c>
      <c r="AA102" s="252" t="s">
        <v>403</v>
      </c>
      <c r="AB102" s="136"/>
      <c r="AC102" s="41"/>
      <c r="AD102" s="41"/>
      <c r="AE102" s="41"/>
      <c r="AF102" s="131"/>
      <c r="AG102" s="131"/>
      <c r="AH102" s="131"/>
      <c r="AI102" s="131"/>
      <c r="AJ102" s="137"/>
      <c r="AK102"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33" t="e">
        <f>(1 - ((1 - VLOOKUP(Table4[[#This Row],[ConfidentialityP]],'Reference - CVSSv3.0'!$B$15:$C$17,2,FALSE())) * (1 - VLOOKUP(Table4[[#This Row],[IntegrityP]],'Reference - CVSSv3.0'!$B$15:$C$17,2,FALSE())) *  (1 - VLOOKUP(Table4[[#This Row],[AvailabilityP]],'Reference - CVSSv3.0'!$B$15:$C$17,2,FALSE()))))</f>
        <v>#N/A</v>
      </c>
      <c r="AM102" s="133" t="e">
        <f>IF(Table4[[#This Row],[ScopeP]]="Unchanged",6.42*Table4[[#This Row],[ISC BaseP]],IF(Table4[[#This Row],[ScopeP]]="Changed",7.52*(Table4[[#This Row],[ISC BaseP]] - 0.029) - 3.25 * POWER(Table4[[#This Row],[ISC BaseP]] - 0.02,15),NA()))</f>
        <v>#N/A</v>
      </c>
      <c r="AN102"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41"/>
    </row>
    <row r="103" spans="1:43" ht="168" x14ac:dyDescent="0.35">
      <c r="A103" s="58">
        <v>99</v>
      </c>
      <c r="B103" s="114" t="s">
        <v>188</v>
      </c>
      <c r="C103" s="129" t="str">
        <f>IF(VLOOKUP(Table4[[#This Row],[T ID]],Table5[#All],5,FALSE())="No","Not in scope",VLOOKUP(Table4[[#This Row],[T ID]],Table5[#All],2,FALSE()))</f>
        <v>Unauthorized Alterations
(S[T]RIDE)</v>
      </c>
      <c r="D103" s="114" t="s">
        <v>119</v>
      </c>
      <c r="E103" s="129" t="str">
        <f>IF(VLOOKUP(Table4[[#This Row],[V ID]],Vulnerabilities[#All],3,FALSE())="No","Not in scope",VLOOKUP(Table4[[#This Row],[V ID]],Vulnerabilities[#All],2,FALSE()))</f>
        <v>Improper/insufficient provisioning of IOT hub</v>
      </c>
      <c r="F103" s="130" t="s">
        <v>15</v>
      </c>
      <c r="G103" s="129" t="str">
        <f>VLOOKUP(Table4[[#This Row],[A ID]],Assets[#All],3,FALSE())</f>
        <v>Tablet OS/network details &amp; Tablet Application</v>
      </c>
      <c r="H103" s="23" t="s">
        <v>305</v>
      </c>
      <c r="I103" s="41"/>
      <c r="J103" s="114" t="s">
        <v>245</v>
      </c>
      <c r="K103" s="114" t="s">
        <v>245</v>
      </c>
      <c r="L103" s="114" t="s">
        <v>250</v>
      </c>
      <c r="M103" s="131" t="s">
        <v>246</v>
      </c>
      <c r="N103" s="131" t="s">
        <v>250</v>
      </c>
      <c r="O103" s="131" t="s">
        <v>250</v>
      </c>
      <c r="P103" s="131" t="s">
        <v>245</v>
      </c>
      <c r="Q103" s="131" t="s">
        <v>243</v>
      </c>
      <c r="R103"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33">
        <f>(1 - ((1 - VLOOKUP(Table4[[#This Row],[Confidentiality]],'Reference - CVSSv3.0'!$B$15:$C$17,2,FALSE())) * (1 - VLOOKUP(Table4[[#This Row],[Integrity]],'Reference - CVSSv3.0'!$B$15:$C$17,2,FALSE())) *  (1 - VLOOKUP(Table4[[#This Row],[Availability]],'Reference - CVSSv3.0'!$B$15:$C$17,2,FALSE()))))</f>
        <v>0.56000000000000005</v>
      </c>
      <c r="T103" s="133">
        <f>IF(Table4[[#This Row],[Scope]]="Unchanged",6.42*Table4[[#This Row],[ISC Base]],IF(Table4[[#This Row],[Scope]]="Changed",7.52*(Table4[[#This Row],[ISC Base]] - 0.029) - 3.25 * POWER(Table4[[#This Row],[ISC Base]] - 0.02,15),NA()))</f>
        <v>3.5952000000000002</v>
      </c>
      <c r="U103" s="133">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34" t="s">
        <v>240</v>
      </c>
      <c r="W103" s="133">
        <f>VLOOKUP(Table4[[#This Row],[Threat Event Initiation]],NIST_Scale_LOAI[],2,FALSE())</f>
        <v>0.2</v>
      </c>
      <c r="X103"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3" t="s">
        <v>306</v>
      </c>
      <c r="AA103" s="252" t="s">
        <v>307</v>
      </c>
      <c r="AB103" s="136"/>
      <c r="AC103" s="41"/>
      <c r="AD103" s="41"/>
      <c r="AE103" s="41"/>
      <c r="AF103" s="131"/>
      <c r="AG103" s="131"/>
      <c r="AH103" s="131"/>
      <c r="AI103" s="131"/>
      <c r="AJ103" s="137"/>
      <c r="AK103"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33" t="e">
        <f>(1 - ((1 - VLOOKUP(Table4[[#This Row],[ConfidentialityP]],'Reference - CVSSv3.0'!$B$15:$C$17,2,FALSE())) * (1 - VLOOKUP(Table4[[#This Row],[IntegrityP]],'Reference - CVSSv3.0'!$B$15:$C$17,2,FALSE())) *  (1 - VLOOKUP(Table4[[#This Row],[AvailabilityP]],'Reference - CVSSv3.0'!$B$15:$C$17,2,FALSE()))))</f>
        <v>#N/A</v>
      </c>
      <c r="AM103" s="133" t="e">
        <f>IF(Table4[[#This Row],[ScopeP]]="Unchanged",6.42*Table4[[#This Row],[ISC BaseP]],IF(Table4[[#This Row],[ScopeP]]="Changed",7.52*(Table4[[#This Row],[ISC BaseP]] - 0.029) - 3.25 * POWER(Table4[[#This Row],[ISC BaseP]] - 0.02,15),NA()))</f>
        <v>#N/A</v>
      </c>
      <c r="AN103"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41"/>
    </row>
    <row r="104" spans="1:43" ht="155" customHeight="1" x14ac:dyDescent="0.35">
      <c r="A104" s="58">
        <v>100</v>
      </c>
      <c r="B104" s="114" t="s">
        <v>188</v>
      </c>
      <c r="C104" s="129" t="str">
        <f>IF(VLOOKUP(Table4[[#This Row],[T ID]],Table5[#All],5,FALSE())="No","Not in scope",VLOOKUP(Table4[[#This Row],[T ID]],Table5[#All],2,FALSE()))</f>
        <v>Unauthorized Alterations
(S[T]RIDE)</v>
      </c>
      <c r="D104" s="114" t="s">
        <v>121</v>
      </c>
      <c r="E104" s="129" t="str">
        <f>IF(VLOOKUP(Table4[[#This Row],[V ID]],Vulnerabilities[#All],3,FALSE())="No","Not in scope",VLOOKUP(Table4[[#This Row],[V ID]],Vulnerabilities[#All],2,FALSE()))</f>
        <v>Unsecured communication with unauthenticated 3rd party devices</v>
      </c>
      <c r="F104" s="130" t="s">
        <v>15</v>
      </c>
      <c r="G104" s="129" t="str">
        <f>VLOOKUP(Table4[[#This Row],[A ID]],Assets[#All],3,FALSE())</f>
        <v>Tablet OS/network details &amp; Tablet Application</v>
      </c>
      <c r="H104" s="23" t="s">
        <v>308</v>
      </c>
      <c r="I104" s="41"/>
      <c r="J104" s="114" t="s">
        <v>245</v>
      </c>
      <c r="K104" s="114" t="s">
        <v>245</v>
      </c>
      <c r="L104" s="114" t="s">
        <v>250</v>
      </c>
      <c r="M104" s="131" t="s">
        <v>246</v>
      </c>
      <c r="N104" s="131" t="s">
        <v>250</v>
      </c>
      <c r="O104" s="131" t="s">
        <v>250</v>
      </c>
      <c r="P104" s="131" t="s">
        <v>245</v>
      </c>
      <c r="Q104" s="131" t="s">
        <v>243</v>
      </c>
      <c r="R104" s="13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133">
        <f>(1 - ((1 - VLOOKUP(Table4[[#This Row],[Confidentiality]],'Reference - CVSSv3.0'!$B$15:$C$17,2,FALSE())) * (1 - VLOOKUP(Table4[[#This Row],[Integrity]],'Reference - CVSSv3.0'!$B$15:$C$17,2,FALSE())) *  (1 - VLOOKUP(Table4[[#This Row],[Availability]],'Reference - CVSSv3.0'!$B$15:$C$17,2,FALSE()))))</f>
        <v>0.56000000000000005</v>
      </c>
      <c r="T104" s="133">
        <f>IF(Table4[[#This Row],[Scope]]="Unchanged",6.42*Table4[[#This Row],[ISC Base]],IF(Table4[[#This Row],[Scope]]="Changed",7.52*(Table4[[#This Row],[ISC Base]] - 0.029) - 3.25 * POWER(Table4[[#This Row],[ISC Base]] - 0.02,15),NA()))</f>
        <v>3.5952000000000002</v>
      </c>
      <c r="U104" s="133">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34" t="s">
        <v>240</v>
      </c>
      <c r="W104" s="133">
        <f>VLOOKUP(Table4[[#This Row],[Threat Event Initiation]],NIST_Scale_LOAI[],2,FALSE())</f>
        <v>0.2</v>
      </c>
      <c r="X104" s="133">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3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23" t="s">
        <v>309</v>
      </c>
      <c r="AA104" s="251" t="s">
        <v>407</v>
      </c>
      <c r="AB104" s="136"/>
      <c r="AC104" s="41"/>
      <c r="AD104" s="41"/>
      <c r="AE104" s="41"/>
      <c r="AF104" s="131"/>
      <c r="AG104" s="131"/>
      <c r="AH104" s="131"/>
      <c r="AI104" s="131"/>
      <c r="AJ104" s="137"/>
      <c r="AK104" s="133"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133" t="e">
        <f>(1 - ((1 - VLOOKUP(Table4[[#This Row],[ConfidentialityP]],'Reference - CVSSv3.0'!$B$15:$C$17,2,FALSE())) * (1 - VLOOKUP(Table4[[#This Row],[IntegrityP]],'Reference - CVSSv3.0'!$B$15:$C$17,2,FALSE())) *  (1 - VLOOKUP(Table4[[#This Row],[AvailabilityP]],'Reference - CVSSv3.0'!$B$15:$C$17,2,FALSE()))))</f>
        <v>#N/A</v>
      </c>
      <c r="AM104" s="133" t="e">
        <f>IF(Table4[[#This Row],[ScopeP]]="Unchanged",6.42*Table4[[#This Row],[ISC BaseP]],IF(Table4[[#This Row],[ScopeP]]="Changed",7.52*(Table4[[#This Row],[ISC BaseP]] - 0.029) - 3.25 * POWER(Table4[[#This Row],[ISC BaseP]] - 0.02,15),NA()))</f>
        <v>#N/A</v>
      </c>
      <c r="AN104" s="133"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133"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13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41"/>
    </row>
  </sheetData>
  <mergeCells count="4">
    <mergeCell ref="F3:I3"/>
    <mergeCell ref="J3:Y3"/>
    <mergeCell ref="Z3:AB3"/>
    <mergeCell ref="AC3:AQ3"/>
  </mergeCells>
  <conditionalFormatting sqref="AP5:AP46 Y5:Y104">
    <cfRule type="cellIs" dxfId="9" priority="2" operator="equal">
      <formula>"Critical"</formula>
    </cfRule>
    <cfRule type="cellIs" dxfId="8" priority="3" operator="equal">
      <formula>"HIGH"</formula>
    </cfRule>
    <cfRule type="cellIs" dxfId="7" priority="4" operator="equal">
      <formula>"Medium"</formula>
    </cfRule>
    <cfRule type="cellIs" dxfId="6" priority="5" operator="equal">
      <formula>"None"</formula>
    </cfRule>
    <cfRule type="cellIs" dxfId="5"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3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3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3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300-000008000000}">
      <formula1>0</formula1>
      <formula2>0</formula2>
    </dataValidation>
  </dataValidations>
  <pageMargins left="0.70833333333333304" right="0.70833333333333304" top="0.70902777777777803" bottom="0.74861111111111101" header="0.31527777777777799" footer="0.31527777777777799"/>
  <pageSetup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9000000}">
          <x14:formula1>
            <xm:f>'Reference - CVSSv3.0'!$B$15:$B$18</xm:f>
          </x14:formula1>
          <x14:formula2>
            <xm:f>0</xm:f>
          </x14:formula2>
          <xm:sqref>J5:L104 AC5:AE104 N96:O96</xm:sqref>
        </x14:dataValidation>
        <x14:dataValidation type="list" allowBlank="1" showInputMessage="1" showErrorMessage="1" xr:uid="{00000000-0002-0000-0300-00000A000000}">
          <x14:formula1>
            <xm:f>'Reference - CVSSv3.0'!$E$6:$E$8</xm:f>
          </x14:formula1>
          <x14:formula2>
            <xm:f>0</xm:f>
          </x14:formula2>
          <xm:sqref>N5:O95 AG5:AG104 N97:O104</xm:sqref>
        </x14:dataValidation>
        <x14:dataValidation type="list" allowBlank="1" showInputMessage="1" showErrorMessage="1" xr:uid="{00000000-0002-0000-0300-00000B000000}">
          <x14:formula1>
            <xm:f>'Reference - CVSSv3.0'!$B$21:$B$23</xm:f>
          </x14:formula1>
          <x14:formula2>
            <xm:f>0</xm:f>
          </x14:formula2>
          <xm:sqref>Q5:Q104 AJ5:AJ104</xm:sqref>
        </x14:dataValidation>
        <x14:dataValidation type="list" allowBlank="1" showInputMessage="1" showErrorMessage="1" xr:uid="{00000000-0002-0000-0300-00000C000000}">
          <x14:formula1>
            <xm:f>'Reference - CVSSv3.0'!$B$6:$B$10</xm:f>
          </x14:formula1>
          <x14:formula2>
            <xm:f>0</xm:f>
          </x14:formula2>
          <xm:sqref>M5:M104 AF5:AF104</xm:sqref>
        </x14:dataValidation>
        <x14:dataValidation type="list" allowBlank="1" showInputMessage="1" showErrorMessage="1" xr:uid="{00000000-0002-0000-0300-00000D000000}">
          <x14:formula1>
            <xm:f>'Reference - CVSSv3.0'!$H$6:$H$9</xm:f>
          </x14:formula1>
          <x14:formula2>
            <xm:f>0</xm:f>
          </x14:formula2>
          <xm:sqref>AH5:AH104</xm:sqref>
        </x14:dataValidation>
        <x14:dataValidation type="list" allowBlank="1" showInputMessage="1" showErrorMessage="1" xr:uid="{00000000-0002-0000-0300-00000E000000}">
          <x14:formula1>
            <xm:f>'Reference - CVSSv3.0'!$L$6:$L$8</xm:f>
          </x14:formula1>
          <x14:formula2>
            <xm:f>0</xm:f>
          </x14:formula2>
          <xm:sqref>P5:P104 AI5:AI104</xm:sqref>
        </x14:dataValidation>
        <x14:dataValidation type="list" allowBlank="1" showInputMessage="1" showErrorMessage="1" xr:uid="{00000000-0002-0000-0300-00000F000000}">
          <x14:formula1>
            <xm:f>'Reference - CVSSv3.0'!$Q$5:$Q$10</xm:f>
          </x14:formula1>
          <x14:formula2>
            <xm:f>0</xm:f>
          </x14:formula2>
          <xm:sqref>V5:V104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92"/>
  <sheetViews>
    <sheetView topLeftCell="A19" zoomScale="95" zoomScaleNormal="95" workbookViewId="0">
      <selection activeCell="K5" sqref="K5"/>
    </sheetView>
  </sheetViews>
  <sheetFormatPr defaultColWidth="9.1796875" defaultRowHeight="14.5" x14ac:dyDescent="0.35"/>
  <cols>
    <col min="1" max="1" width="9.1796875" style="141"/>
    <col min="2" max="2" width="4.81640625" style="141" customWidth="1"/>
    <col min="3" max="3" width="25.54296875" style="142" customWidth="1"/>
    <col min="4" max="4" width="5" style="141" customWidth="1"/>
    <col min="5" max="5" width="22" style="143" customWidth="1"/>
    <col min="6" max="6" width="6.1796875" style="141" customWidth="1"/>
    <col min="7" max="7" width="28.81640625" style="141" customWidth="1"/>
    <col min="8" max="8" width="38" style="141" customWidth="1"/>
    <col min="9" max="9" width="25.453125" style="141" customWidth="1"/>
    <col min="10" max="10" width="15" style="141" customWidth="1"/>
    <col min="11" max="11" width="35.81640625" style="141" customWidth="1"/>
    <col min="12" max="12" width="15" style="141" customWidth="1"/>
    <col min="13" max="13" width="36.81640625" style="141" customWidth="1"/>
    <col min="14" max="1024" width="9.1796875" style="141"/>
  </cols>
  <sheetData>
    <row r="1" spans="1:14" s="29" customFormat="1" ht="14" x14ac:dyDescent="0.3">
      <c r="A1" s="2" t="s">
        <v>310</v>
      </c>
      <c r="B1" s="64"/>
      <c r="C1" s="64"/>
      <c r="D1" s="64"/>
      <c r="E1" s="65"/>
      <c r="F1" s="64"/>
      <c r="G1" s="64"/>
      <c r="H1" s="64"/>
      <c r="I1" s="64"/>
      <c r="J1" s="64"/>
      <c r="K1" s="64"/>
      <c r="L1" s="64"/>
      <c r="M1" s="64"/>
    </row>
    <row r="2" spans="1:14" s="29" customFormat="1" ht="14" x14ac:dyDescent="0.3">
      <c r="A2" s="2"/>
      <c r="B2" s="64"/>
      <c r="C2" s="64"/>
      <c r="D2" s="64"/>
      <c r="E2" s="65"/>
      <c r="F2" s="64"/>
      <c r="G2" s="64"/>
      <c r="H2" s="64"/>
      <c r="I2" s="64"/>
      <c r="J2" s="64"/>
      <c r="K2" s="64"/>
      <c r="L2" s="64"/>
      <c r="M2" s="64"/>
    </row>
    <row r="3" spans="1:14" s="29" customFormat="1" ht="14" x14ac:dyDescent="0.3">
      <c r="A3" s="2"/>
      <c r="B3" s="64"/>
      <c r="C3" s="64"/>
      <c r="D3" s="64"/>
      <c r="E3" s="65"/>
      <c r="F3" s="64"/>
      <c r="G3" s="64"/>
      <c r="H3" s="64"/>
      <c r="I3" s="64"/>
      <c r="J3" s="64"/>
      <c r="K3" s="64"/>
      <c r="L3" s="64"/>
      <c r="M3" s="64"/>
    </row>
    <row r="4" spans="1:14" s="29" customFormat="1" ht="28" x14ac:dyDescent="0.35">
      <c r="A4" s="144" t="s">
        <v>197</v>
      </c>
      <c r="B4" s="145" t="s">
        <v>198</v>
      </c>
      <c r="C4" s="146" t="s">
        <v>199</v>
      </c>
      <c r="D4" s="147" t="s">
        <v>200</v>
      </c>
      <c r="E4" s="148" t="s">
        <v>201</v>
      </c>
      <c r="F4" s="149" t="s">
        <v>202</v>
      </c>
      <c r="G4" s="150" t="s">
        <v>311</v>
      </c>
      <c r="H4" s="150" t="s">
        <v>203</v>
      </c>
      <c r="I4" s="151" t="s">
        <v>204</v>
      </c>
      <c r="J4" s="152" t="s">
        <v>312</v>
      </c>
      <c r="K4" s="153" t="s">
        <v>221</v>
      </c>
      <c r="L4" s="154" t="s">
        <v>313</v>
      </c>
      <c r="M4" s="155" t="s">
        <v>238</v>
      </c>
      <c r="N4" s="62"/>
    </row>
    <row r="5" spans="1:14" s="29" customFormat="1" ht="70" x14ac:dyDescent="0.35">
      <c r="A5" s="52">
        <f>Table4[[#This Row],[
ID '#]]</f>
        <v>1</v>
      </c>
      <c r="B5" s="156" t="str">
        <f>IF(Table4[[#This Row],[T ID]]&gt;0,Table4[[#This Row],[T ID]],"")</f>
        <v>T01</v>
      </c>
      <c r="C5" s="21" t="str">
        <f>Table4[[#This Row],[Threat Event(s)]]</f>
        <v>Deliver undirected malware
(CAPEC-185)</v>
      </c>
      <c r="D5" s="39" t="str">
        <f>IF(Table4[[#This Row],[V ID]]&gt;0,Table4[[#This Row],[V ID]],"")</f>
        <v>V13</v>
      </c>
      <c r="E5" s="21" t="str">
        <f>Table4[[#This Row],[Vulnerabilities]]</f>
        <v>Unprotected external USB Port on the tablet/devices.</v>
      </c>
      <c r="F5" s="39" t="str">
        <f>IF(Table4[[#This Row],[A ID]]&gt;0,Table4[[#This Row],[A ID]],"")</f>
        <v>A01</v>
      </c>
      <c r="G5" s="21" t="str">
        <f>Table4[[#This Row],[Asset]]</f>
        <v>Tablet Resources - web cam, microphone, OTG devices, Removable USB, Tablet Application, Network interfaces (Bluetooth, Wifi)</v>
      </c>
      <c r="H5" s="21" t="str">
        <f>IF(Table4[[#This Row],[Impact Description]]&gt;0,Table4[[#This Row],[Impact Description]],"")</f>
        <v xml:space="preserve">1) Malicious utilization of  computer resources 2) computing power  
3) denial of service attacks, 
4) ransomware attack 
5) Bitcoin mining, etc </v>
      </c>
      <c r="I5" s="39" t="str">
        <f>IF(Table4[[#This Row],[Safety Impact 
(Risk ID'# or N/A)]]&gt;0,Table4[[#This Row],[Safety Impact 
(Risk ID'# or N/A)]],"")</f>
        <v/>
      </c>
      <c r="J5" s="97" t="str">
        <f>Table4[[#This Row],[Security 
Risk 
Level]]</f>
        <v>LOW</v>
      </c>
      <c r="K5" s="3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 s="97" t="str">
        <f>Table4[[#This Row],[Security Risk LevelP]]</f>
        <v>LOW</v>
      </c>
      <c r="M5" s="39" t="str">
        <f>IF(Table4[[#This Row],[Residual Security Risk Acceptability Justification]]&gt;0,Table4[[#This Row],[Residual Security Risk Acceptability Justification]],"")</f>
        <v xml:space="preserve"> </v>
      </c>
    </row>
    <row r="6" spans="1:14" s="29" customFormat="1" ht="70" x14ac:dyDescent="0.35">
      <c r="A6" s="157">
        <f>Table4[[#This Row],[
ID '#]]</f>
        <v>2</v>
      </c>
      <c r="B6" s="156" t="str">
        <f>IF(Table4[[#This Row],[T ID]]&gt;0,Table4[[#This Row],[T ID]],"")</f>
        <v>T01</v>
      </c>
      <c r="C6" s="99" t="str">
        <f>Table4[[#This Row],[Threat Event(s)]]</f>
        <v>Deliver undirected malware
(CAPEC-185)</v>
      </c>
      <c r="D6" s="158" t="str">
        <f>IF(Table4[[#This Row],[V ID]]&gt;0,Table4[[#This Row],[V ID]],"")</f>
        <v>V13</v>
      </c>
      <c r="E6" s="99" t="str">
        <f>Table4[[#This Row],[Vulnerabilities]]</f>
        <v>Unprotected external USB Port on the tablet/devices.</v>
      </c>
      <c r="F6" s="159" t="str">
        <f>IF(Table4[[#This Row],[A ID]]&gt;0,Table4[[#This Row],[A ID]],"")</f>
        <v>A03</v>
      </c>
      <c r="G6" s="99" t="str">
        <f>Table4[[#This Row],[Asset]]</f>
        <v>Smart medic (Stryker device) System Component</v>
      </c>
      <c r="H6" s="160" t="str">
        <f>IF(Table4[[#This Row],[Impact Description]]&gt;0,Table4[[#This Row],[Impact Description]],"")</f>
        <v xml:space="preserve">1) Malicious utilization of  computer resources 2) computing power  
3) denial of service attacks, 
4) ransomware attack 
5) Bitcoin mining, etc </v>
      </c>
      <c r="I6" s="158" t="str">
        <f>IF(Table4[[#This Row],[Safety Impact 
(Risk ID'# or N/A)]]&gt;0,Table4[[#This Row],[Safety Impact 
(Risk ID'# or N/A)]],"")</f>
        <v/>
      </c>
      <c r="J6" s="102" t="str">
        <f>Table4[[#This Row],[Security 
Risk 
Level]]</f>
        <v>LOW</v>
      </c>
      <c r="K6"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 s="104" t="str">
        <f>Table4[[#This Row],[Security Risk LevelP]]</f>
        <v/>
      </c>
      <c r="M6" s="158" t="str">
        <f>IF(Table4[[#This Row],[Residual Security Risk Acceptability Justification]]&gt;0,Table4[[#This Row],[Residual Security Risk Acceptability Justification]],"")</f>
        <v/>
      </c>
    </row>
    <row r="7" spans="1:14" s="29" customFormat="1" ht="112" x14ac:dyDescent="0.35">
      <c r="A7" s="52">
        <f>Table4[[#This Row],[
ID '#]]</f>
        <v>3</v>
      </c>
      <c r="B7" s="156" t="str">
        <f>IF(Table4[[#This Row],[T ID]]&gt;0,Table4[[#This Row],[T ID]],"")</f>
        <v>T01</v>
      </c>
      <c r="C7" s="21" t="str">
        <f>Table4[[#This Row],[Threat Event(s)]]</f>
        <v>Deliver undirected malware
(CAPEC-185)</v>
      </c>
      <c r="D7" s="39" t="str">
        <f>IF(Table4[[#This Row],[V ID]]&gt;0,Table4[[#This Row],[V ID]],"")</f>
        <v>V02</v>
      </c>
      <c r="E7" s="21" t="str">
        <f>Table4[[#This Row],[Vulnerabilities]]</f>
        <v>External communications and exposure for communciation channels from and to application and devices like tablet and smartmedic device.</v>
      </c>
      <c r="F7" s="39" t="str">
        <f>IF(Table4[[#This Row],[A ID]]&gt;0,Table4[[#This Row],[A ID]],"")</f>
        <v>A03</v>
      </c>
      <c r="G7" s="21" t="str">
        <f>Table4[[#This Row],[Asset]]</f>
        <v>Smart medic (Stryker device) System Component</v>
      </c>
      <c r="H7" s="21" t="str">
        <f>IF(Table4[[#This Row],[Impact Description]]&gt;0,Table4[[#This Row],[Impact Description]],"")</f>
        <v xml:space="preserve">1) Malicious utilization of  computer resources 2) computing power  
3) denial of service attacks, 
4) ransomware attack 
5) Bitcoin mining, etc </v>
      </c>
      <c r="I7" s="39" t="str">
        <f>IF(Table4[[#This Row],[Safety Impact 
(Risk ID'# or N/A)]]&gt;0,Table4[[#This Row],[Safety Impact 
(Risk ID'# or N/A)]],"")</f>
        <v/>
      </c>
      <c r="J7" s="97" t="str">
        <f>Table4[[#This Row],[Security 
Risk 
Level]]</f>
        <v>LOW</v>
      </c>
      <c r="K7" s="39"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7" s="97" t="str">
        <f>Table4[[#This Row],[Security Risk LevelP]]</f>
        <v/>
      </c>
      <c r="M7" s="39" t="str">
        <f>IF(Table4[[#This Row],[Residual Security Risk Acceptability Justification]]&gt;0,Table4[[#This Row],[Residual Security Risk Acceptability Justification]],"")</f>
        <v/>
      </c>
    </row>
    <row r="8" spans="1:14" s="29" customFormat="1" ht="112" x14ac:dyDescent="0.35">
      <c r="A8" s="157">
        <f>Table4[[#This Row],[
ID '#]]</f>
        <v>4</v>
      </c>
      <c r="B8" s="156" t="str">
        <f>IF(Table4[[#This Row],[T ID]]&gt;0,Table4[[#This Row],[T ID]],"")</f>
        <v>T01</v>
      </c>
      <c r="C8" s="99" t="str">
        <f>Table4[[#This Row],[Threat Event(s)]]</f>
        <v>Deliver undirected malware
(CAPEC-185)</v>
      </c>
      <c r="D8" s="158" t="str">
        <f>IF(Table4[[#This Row],[V ID]]&gt;0,Table4[[#This Row],[V ID]],"")</f>
        <v>V02</v>
      </c>
      <c r="E8" s="99" t="str">
        <f>Table4[[#This Row],[Vulnerabilities]]</f>
        <v>External communications and exposure for communciation channels from and to application and devices like tablet and smartmedic device.</v>
      </c>
      <c r="F8" s="159" t="str">
        <f>IF(Table4[[#This Row],[A ID]]&gt;0,Table4[[#This Row],[A ID]],"")</f>
        <v>A01</v>
      </c>
      <c r="G8" s="99" t="str">
        <f>Table4[[#This Row],[Asset]]</f>
        <v>Tablet Resources - web cam, microphone, OTG devices, Removable USB, Tablet Application, Network interfaces (Bluetooth, Wifi)</v>
      </c>
      <c r="H8" s="160" t="str">
        <f>IF(Table4[[#This Row],[Impact Description]]&gt;0,Table4[[#This Row],[Impact Description]],"")</f>
        <v xml:space="preserve">1) Malicious utilization of  computer resources 2) computing power  
3) denial of service attacks, 
4) ransomware attack 
5) Bitcoin mining, etc </v>
      </c>
      <c r="I8" s="158" t="str">
        <f>IF(Table4[[#This Row],[Safety Impact 
(Risk ID'# or N/A)]]&gt;0,Table4[[#This Row],[Safety Impact 
(Risk ID'# or N/A)]],"")</f>
        <v/>
      </c>
      <c r="J8" s="102" t="str">
        <f>Table4[[#This Row],[Security 
Risk 
Level]]</f>
        <v>LOW</v>
      </c>
      <c r="K8"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8" s="104" t="str">
        <f>Table4[[#This Row],[Security Risk LevelP]]</f>
        <v/>
      </c>
      <c r="M8" s="158" t="str">
        <f>IF(Table4[[#This Row],[Residual Security Risk Acceptability Justification]]&gt;0,Table4[[#This Row],[Residual Security Risk Acceptability Justification]],"")</f>
        <v/>
      </c>
    </row>
    <row r="9" spans="1:14" s="29" customFormat="1" ht="70" x14ac:dyDescent="0.35">
      <c r="A9" s="157">
        <f>Table4[[#This Row],[
ID '#]]</f>
        <v>5</v>
      </c>
      <c r="B9" s="156" t="str">
        <f>IF(Table4[[#This Row],[T ID]]&gt;0,Table4[[#This Row],[T ID]],"")</f>
        <v>T01</v>
      </c>
      <c r="C9" s="99" t="str">
        <f>Table4[[#This Row],[Threat Event(s)]]</f>
        <v>Deliver undirected malware
(CAPEC-185)</v>
      </c>
      <c r="D9" s="158" t="str">
        <f>IF(Table4[[#This Row],[V ID]]&gt;0,Table4[[#This Row],[V ID]],"")</f>
        <v>V22</v>
      </c>
      <c r="E9" s="99" t="str">
        <f>Table4[[#This Row],[Vulnerabilities]]</f>
        <v>Legacy system identification if any</v>
      </c>
      <c r="F9" s="159" t="str">
        <f>IF(Table4[[#This Row],[A ID]]&gt;0,Table4[[#This Row],[A ID]],"")</f>
        <v>A03</v>
      </c>
      <c r="G9" s="99" t="str">
        <f>Table4[[#This Row],[Asset]]</f>
        <v>Smart medic (Stryker device) System Component</v>
      </c>
      <c r="H9" s="160" t="str">
        <f>IF(Table4[[#This Row],[Impact Description]]&gt;0,Table4[[#This Row],[Impact Description]],"")</f>
        <v xml:space="preserve">1) Malicious utilization of  computer resources 2) computing power  
3) denial of service attacks, 
4) ransomware attack 
5) Bitcoin mining, etc </v>
      </c>
      <c r="I9" s="158" t="str">
        <f>IF(Table4[[#This Row],[Safety Impact 
(Risk ID'# or N/A)]]&gt;0,Table4[[#This Row],[Safety Impact 
(Risk ID'# or N/A)]],"")</f>
        <v/>
      </c>
      <c r="J9" s="102" t="str">
        <f>Table4[[#This Row],[Security 
Risk 
Level]]</f>
        <v>LOW</v>
      </c>
      <c r="K9"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9" s="104" t="str">
        <f>Table4[[#This Row],[Security Risk LevelP]]</f>
        <v/>
      </c>
      <c r="M9" s="158" t="str">
        <f>IF(Table4[[#This Row],[Residual Security Risk Acceptability Justification]]&gt;0,Table4[[#This Row],[Residual Security Risk Acceptability Justification]],"")</f>
        <v/>
      </c>
    </row>
    <row r="10" spans="1:14" s="29" customFormat="1" ht="70" x14ac:dyDescent="0.35">
      <c r="A10" s="157">
        <f>Table4[[#This Row],[
ID '#]]</f>
        <v>6</v>
      </c>
      <c r="B10" s="156" t="str">
        <f>IF(Table4[[#This Row],[T ID]]&gt;0,Table4[[#This Row],[T ID]],"")</f>
        <v>T01</v>
      </c>
      <c r="C10" s="99" t="str">
        <f>Table4[[#This Row],[Threat Event(s)]]</f>
        <v>Deliver undirected malware
(CAPEC-185)</v>
      </c>
      <c r="D10" s="158" t="str">
        <f>IF(Table4[[#This Row],[V ID]]&gt;0,Table4[[#This Row],[V ID]],"")</f>
        <v>V22</v>
      </c>
      <c r="E10" s="99" t="str">
        <f>Table4[[#This Row],[Vulnerabilities]]</f>
        <v>Legacy system identification if any</v>
      </c>
      <c r="F10" s="159" t="str">
        <f>IF(Table4[[#This Row],[A ID]]&gt;0,Table4[[#This Row],[A ID]],"")</f>
        <v>A01</v>
      </c>
      <c r="G10" s="99" t="str">
        <f>Table4[[#This Row],[Asset]]</f>
        <v>Tablet Resources - web cam, microphone, OTG devices, Removable USB, Tablet Application, Network interfaces (Bluetooth, Wifi)</v>
      </c>
      <c r="H10" s="160" t="str">
        <f>IF(Table4[[#This Row],[Impact Description]]&gt;0,Table4[[#This Row],[Impact Description]],"")</f>
        <v xml:space="preserve">1) Malicious utilization of  computer resources 2) computing power  
3) denial of service attacks, 
4) ransomware attack 
5) Bitcoin mining, etc </v>
      </c>
      <c r="I10" s="158" t="str">
        <f>IF(Table4[[#This Row],[Safety Impact 
(Risk ID'# or N/A)]]&gt;0,Table4[[#This Row],[Safety Impact 
(Risk ID'# or N/A)]],"")</f>
        <v/>
      </c>
      <c r="J10" s="102" t="str">
        <f>Table4[[#This Row],[Security 
Risk 
Level]]</f>
        <v>LOW</v>
      </c>
      <c r="K10"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0" s="104" t="str">
        <f>Table4[[#This Row],[Security Risk LevelP]]</f>
        <v/>
      </c>
      <c r="M10" s="158" t="str">
        <f>IF(Table4[[#This Row],[Residual Security Risk Acceptability Justification]]&gt;0,Table4[[#This Row],[Residual Security Risk Acceptability Justification]],"")</f>
        <v/>
      </c>
    </row>
    <row r="11" spans="1:14" s="29" customFormat="1" ht="70" x14ac:dyDescent="0.35">
      <c r="A11" s="157">
        <f>Table4[[#This Row],[
ID '#]]</f>
        <v>7</v>
      </c>
      <c r="B11" s="156" t="str">
        <f>IF(Table4[[#This Row],[T ID]]&gt;0,Table4[[#This Row],[T ID]],"")</f>
        <v>T01</v>
      </c>
      <c r="C11" s="99" t="str">
        <f>Table4[[#This Row],[Threat Event(s)]]</f>
        <v>Deliver undirected malware
(CAPEC-185)</v>
      </c>
      <c r="D11" s="158" t="str">
        <f>IF(Table4[[#This Row],[V ID]]&gt;0,Table4[[#This Row],[V ID]],"")</f>
        <v>V08</v>
      </c>
      <c r="E11" s="99" t="str">
        <f>Table4[[#This Row],[Vulnerabilities]]</f>
        <v>Ineffective patch management of firware, OS and applications thoughout the information system plan</v>
      </c>
      <c r="F11" s="159" t="str">
        <f>IF(Table4[[#This Row],[A ID]]&gt;0,Table4[[#This Row],[A ID]],"")</f>
        <v>A05</v>
      </c>
      <c r="G11" s="99" t="str">
        <f>Table4[[#This Row],[Asset]]</f>
        <v>Device Maintainence tool (Hardware/Software)</v>
      </c>
      <c r="H11" s="160" t="str">
        <f>IF(Table4[[#This Row],[Impact Description]]&gt;0,Table4[[#This Row],[Impact Description]],"")</f>
        <v xml:space="preserve">1) Malicious utilization of  computer resources 2) computing power  
3) denial of service attacks, 
4) ransomware attack 
5) Bitcoin mining, etc </v>
      </c>
      <c r="I11" s="158" t="str">
        <f>IF(Table4[[#This Row],[Safety Impact 
(Risk ID'# or N/A)]]&gt;0,Table4[[#This Row],[Safety Impact 
(Risk ID'# or N/A)]],"")</f>
        <v/>
      </c>
      <c r="J11" s="102" t="str">
        <f>Table4[[#This Row],[Security 
Risk 
Level]]</f>
        <v>LOW</v>
      </c>
      <c r="K11"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1" s="104" t="str">
        <f>Table4[[#This Row],[Security Risk LevelP]]</f>
        <v/>
      </c>
      <c r="M11" s="158" t="str">
        <f>IF(Table4[[#This Row],[Residual Security Risk Acceptability Justification]]&gt;0,Table4[[#This Row],[Residual Security Risk Acceptability Justification]],"")</f>
        <v/>
      </c>
    </row>
    <row r="12" spans="1:14" s="29" customFormat="1" ht="70" x14ac:dyDescent="0.35">
      <c r="A12" s="157">
        <f>Table4[[#This Row],[
ID '#]]</f>
        <v>8</v>
      </c>
      <c r="B12" s="156" t="str">
        <f>IF(Table4[[#This Row],[T ID]]&gt;0,Table4[[#This Row],[T ID]],"")</f>
        <v>T01</v>
      </c>
      <c r="C12" s="99" t="str">
        <f>Table4[[#This Row],[Threat Event(s)]]</f>
        <v>Deliver undirected malware
(CAPEC-185)</v>
      </c>
      <c r="D12" s="158" t="str">
        <f>IF(Table4[[#This Row],[V ID]]&gt;0,Table4[[#This Row],[V ID]],"")</f>
        <v>V08</v>
      </c>
      <c r="E12" s="99" t="str">
        <f>Table4[[#This Row],[Vulnerabilities]]</f>
        <v>Ineffective patch management of firware, OS and applications thoughout the information system plan</v>
      </c>
      <c r="F12" s="159" t="str">
        <f>IF(Table4[[#This Row],[A ID]]&gt;0,Table4[[#This Row],[A ID]],"")</f>
        <v>A01</v>
      </c>
      <c r="G12" s="99" t="str">
        <f>Table4[[#This Row],[Asset]]</f>
        <v>Tablet Resources - web cam, microphone, OTG devices, Removable USB, Tablet Application, Network interfaces (Bluetooth, Wifi)</v>
      </c>
      <c r="H12" s="160" t="str">
        <f>IF(Table4[[#This Row],[Impact Description]]&gt;0,Table4[[#This Row],[Impact Description]],"")</f>
        <v xml:space="preserve">1) Malicious utilization of  computer resources 2) computing power  
3) denial of service attacks, 
4) ransomware attack 
5) Bitcoin mining, etc </v>
      </c>
      <c r="I12" s="158" t="str">
        <f>IF(Table4[[#This Row],[Safety Impact 
(Risk ID'# or N/A)]]&gt;0,Table4[[#This Row],[Safety Impact 
(Risk ID'# or N/A)]],"")</f>
        <v/>
      </c>
      <c r="J12" s="102" t="str">
        <f>Table4[[#This Row],[Security 
Risk 
Level]]</f>
        <v>LOW</v>
      </c>
      <c r="K12"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2" s="104" t="str">
        <f>Table4[[#This Row],[Security Risk LevelP]]</f>
        <v/>
      </c>
      <c r="M12" s="158" t="str">
        <f>IF(Table4[[#This Row],[Residual Security Risk Acceptability Justification]]&gt;0,Table4[[#This Row],[Residual Security Risk Acceptability Justification]],"")</f>
        <v/>
      </c>
    </row>
    <row r="13" spans="1:14" s="29" customFormat="1" ht="70" x14ac:dyDescent="0.35">
      <c r="A13" s="157">
        <f>Table4[[#This Row],[
ID '#]]</f>
        <v>9</v>
      </c>
      <c r="B13" s="156" t="str">
        <f>IF(Table4[[#This Row],[T ID]]&gt;0,Table4[[#This Row],[T ID]],"")</f>
        <v>T01</v>
      </c>
      <c r="C13" s="99" t="str">
        <f>Table4[[#This Row],[Threat Event(s)]]</f>
        <v>Deliver undirected malware
(CAPEC-185)</v>
      </c>
      <c r="D13" s="158" t="str">
        <f>IF(Table4[[#This Row],[V ID]]&gt;0,Table4[[#This Row],[V ID]],"")</f>
        <v>V08</v>
      </c>
      <c r="E13" s="99" t="str">
        <f>Table4[[#This Row],[Vulnerabilities]]</f>
        <v>Ineffective patch management of firware, OS and applications thoughout the information system plan</v>
      </c>
      <c r="F13" s="159" t="str">
        <f>IF(Table4[[#This Row],[A ID]]&gt;0,Table4[[#This Row],[A ID]],"")</f>
        <v>A03</v>
      </c>
      <c r="G13" s="99" t="str">
        <f>Table4[[#This Row],[Asset]]</f>
        <v>Smart medic (Stryker device) System Component</v>
      </c>
      <c r="H13" s="160" t="str">
        <f>IF(Table4[[#This Row],[Impact Description]]&gt;0,Table4[[#This Row],[Impact Description]],"")</f>
        <v xml:space="preserve">1) Malicious utilization of  computer resources 2) computing power  
3) denial of service attacks, 
4) ransomware attack 
5) Bitcoin mining, etc </v>
      </c>
      <c r="I13" s="158" t="str">
        <f>IF(Table4[[#This Row],[Safety Impact 
(Risk ID'# or N/A)]]&gt;0,Table4[[#This Row],[Safety Impact 
(Risk ID'# or N/A)]],"")</f>
        <v/>
      </c>
      <c r="J13" s="102" t="str">
        <f>Table4[[#This Row],[Security 
Risk 
Level]]</f>
        <v>LOW</v>
      </c>
      <c r="K13"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3" s="104" t="str">
        <f>Table4[[#This Row],[Security Risk LevelP]]</f>
        <v/>
      </c>
      <c r="M13" s="158" t="str">
        <f>IF(Table4[[#This Row],[Residual Security Risk Acceptability Justification]]&gt;0,Table4[[#This Row],[Residual Security Risk Acceptability Justification]],"")</f>
        <v/>
      </c>
    </row>
    <row r="14" spans="1:14" s="29" customFormat="1" ht="70" x14ac:dyDescent="0.35">
      <c r="A14" s="157">
        <f>Table4[[#This Row],[
ID '#]]</f>
        <v>10</v>
      </c>
      <c r="B14" s="156" t="str">
        <f>IF(Table4[[#This Row],[T ID]]&gt;0,Table4[[#This Row],[T ID]],"")</f>
        <v>T01</v>
      </c>
      <c r="C14" s="99" t="str">
        <f>Table4[[#This Row],[Threat Event(s)]]</f>
        <v>Deliver undirected malware
(CAPEC-185)</v>
      </c>
      <c r="D14" s="158" t="str">
        <f>IF(Table4[[#This Row],[V ID]]&gt;0,Table4[[#This Row],[V ID]],"")</f>
        <v>V09</v>
      </c>
      <c r="E14" s="99" t="str">
        <f>Table4[[#This Row],[Vulnerabilities]]</f>
        <v xml:space="preserve">Lack of plan for periodic Software Vulnerability Management </v>
      </c>
      <c r="F14" s="159" t="str">
        <f>IF(Table4[[#This Row],[A ID]]&gt;0,Table4[[#This Row],[A ID]],"")</f>
        <v>A05</v>
      </c>
      <c r="G14" s="99" t="str">
        <f>Table4[[#This Row],[Asset]]</f>
        <v>Device Maintainence tool (Hardware/Software)</v>
      </c>
      <c r="H14" s="160" t="str">
        <f>IF(Table4[[#This Row],[Impact Description]]&gt;0,Table4[[#This Row],[Impact Description]],"")</f>
        <v xml:space="preserve">1) Malicious utilization of  computer resources 2) computing power  
3) denial of service attacks, 
4) ransomware attack 
5) Bitcoin mining, etc </v>
      </c>
      <c r="I14" s="158" t="str">
        <f>IF(Table4[[#This Row],[Safety Impact 
(Risk ID'# or N/A)]]&gt;0,Table4[[#This Row],[Safety Impact 
(Risk ID'# or N/A)]],"")</f>
        <v/>
      </c>
      <c r="J14" s="102" t="str">
        <f>Table4[[#This Row],[Security 
Risk 
Level]]</f>
        <v>LOW</v>
      </c>
      <c r="K14"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4" s="104" t="str">
        <f>Table4[[#This Row],[Security Risk LevelP]]</f>
        <v/>
      </c>
      <c r="M14" s="158" t="str">
        <f>IF(Table4[[#This Row],[Residual Security Risk Acceptability Justification]]&gt;0,Table4[[#This Row],[Residual Security Risk Acceptability Justification]],"")</f>
        <v/>
      </c>
    </row>
    <row r="15" spans="1:14" s="29" customFormat="1" ht="70" x14ac:dyDescent="0.35">
      <c r="A15" s="157">
        <f>Table4[[#This Row],[
ID '#]]</f>
        <v>11</v>
      </c>
      <c r="B15" s="156" t="str">
        <f>IF(Table4[[#This Row],[T ID]]&gt;0,Table4[[#This Row],[T ID]],"")</f>
        <v>T01</v>
      </c>
      <c r="C15" s="99" t="str">
        <f>Table4[[#This Row],[Threat Event(s)]]</f>
        <v>Deliver undirected malware
(CAPEC-185)</v>
      </c>
      <c r="D15" s="158" t="str">
        <f>IF(Table4[[#This Row],[V ID]]&gt;0,Table4[[#This Row],[V ID]],"")</f>
        <v>V09</v>
      </c>
      <c r="E15" s="99" t="str">
        <f>Table4[[#This Row],[Vulnerabilities]]</f>
        <v xml:space="preserve">Lack of plan for periodic Software Vulnerability Management </v>
      </c>
      <c r="F15" s="159" t="str">
        <f>IF(Table4[[#This Row],[A ID]]&gt;0,Table4[[#This Row],[A ID]],"")</f>
        <v>A01</v>
      </c>
      <c r="G15" s="99" t="str">
        <f>Table4[[#This Row],[Asset]]</f>
        <v>Tablet Resources - web cam, microphone, OTG devices, Removable USB, Tablet Application, Network interfaces (Bluetooth, Wifi)</v>
      </c>
      <c r="H15" s="160" t="str">
        <f>IF(Table4[[#This Row],[Impact Description]]&gt;0,Table4[[#This Row],[Impact Description]],"")</f>
        <v xml:space="preserve">1) Malicious utilization of  computer resources 2) computing power  
3) denial of service attacks, 
4) ransomware attack 
5) Bitcoin mining, etc </v>
      </c>
      <c r="I15" s="158" t="str">
        <f>IF(Table4[[#This Row],[Safety Impact 
(Risk ID'# or N/A)]]&gt;0,Table4[[#This Row],[Safety Impact 
(Risk ID'# or N/A)]],"")</f>
        <v/>
      </c>
      <c r="J15" s="102" t="str">
        <f>Table4[[#This Row],[Security 
Risk 
Level]]</f>
        <v>LOW</v>
      </c>
      <c r="K15"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5" s="104" t="str">
        <f>Table4[[#This Row],[Security Risk LevelP]]</f>
        <v/>
      </c>
      <c r="M15" s="158" t="str">
        <f>IF(Table4[[#This Row],[Residual Security Risk Acceptability Justification]]&gt;0,Table4[[#This Row],[Residual Security Risk Acceptability Justification]],"")</f>
        <v/>
      </c>
    </row>
    <row r="16" spans="1:14" s="29" customFormat="1" ht="70" x14ac:dyDescent="0.35">
      <c r="A16" s="157">
        <f>Table4[[#This Row],[
ID '#]]</f>
        <v>12</v>
      </c>
      <c r="B16" s="156" t="str">
        <f>IF(Table4[[#This Row],[T ID]]&gt;0,Table4[[#This Row],[T ID]],"")</f>
        <v>T01</v>
      </c>
      <c r="C16" s="99" t="str">
        <f>Table4[[#This Row],[Threat Event(s)]]</f>
        <v>Deliver undirected malware
(CAPEC-185)</v>
      </c>
      <c r="D16" s="158" t="str">
        <f>IF(Table4[[#This Row],[V ID]]&gt;0,Table4[[#This Row],[V ID]],"")</f>
        <v>V09</v>
      </c>
      <c r="E16" s="99" t="str">
        <f>Table4[[#This Row],[Vulnerabilities]]</f>
        <v xml:space="preserve">Lack of plan for periodic Software Vulnerability Management </v>
      </c>
      <c r="F16" s="159" t="str">
        <f>IF(Table4[[#This Row],[A ID]]&gt;0,Table4[[#This Row],[A ID]],"")</f>
        <v>A03</v>
      </c>
      <c r="G16" s="99" t="str">
        <f>Table4[[#This Row],[Asset]]</f>
        <v>Smart medic (Stryker device) System Component</v>
      </c>
      <c r="H16" s="160" t="str">
        <f>IF(Table4[[#This Row],[Impact Description]]&gt;0,Table4[[#This Row],[Impact Description]],"")</f>
        <v xml:space="preserve">1) Malicious utilization of  computer resources 2) computing power  
3) denial of service attacks, 
4) ransomware attack 
5) Bitcoin mining, etc </v>
      </c>
      <c r="I16" s="158" t="str">
        <f>IF(Table4[[#This Row],[Safety Impact 
(Risk ID'# or N/A)]]&gt;0,Table4[[#This Row],[Safety Impact 
(Risk ID'# or N/A)]],"")</f>
        <v/>
      </c>
      <c r="J16" s="102" t="str">
        <f>Table4[[#This Row],[Security 
Risk 
Level]]</f>
        <v>LOW</v>
      </c>
      <c r="K16"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6" s="104" t="str">
        <f>Table4[[#This Row],[Security Risk LevelP]]</f>
        <v/>
      </c>
      <c r="M16" s="158" t="str">
        <f>IF(Table4[[#This Row],[Residual Security Risk Acceptability Justification]]&gt;0,Table4[[#This Row],[Residual Security Risk Acceptability Justification]],"")</f>
        <v/>
      </c>
    </row>
    <row r="17" spans="1:13" s="29" customFormat="1" ht="70" x14ac:dyDescent="0.35">
      <c r="A17" s="157">
        <f>Table4[[#This Row],[
ID '#]]</f>
        <v>13</v>
      </c>
      <c r="B17" s="156" t="str">
        <f>IF(Table4[[#This Row],[T ID]]&gt;0,Table4[[#This Row],[T ID]],"")</f>
        <v>T01</v>
      </c>
      <c r="C17" s="99" t="str">
        <f>Table4[[#This Row],[Threat Event(s)]]</f>
        <v>Deliver undirected malware
(CAPEC-185)</v>
      </c>
      <c r="D17" s="158" t="str">
        <f>IF(Table4[[#This Row],[V ID]]&gt;0,Table4[[#This Row],[V ID]],"")</f>
        <v>V12</v>
      </c>
      <c r="E17" s="99" t="str">
        <f>Table4[[#This Row],[Vulnerabilities]]</f>
        <v>Unprotected network port(s) on network devices and connection points</v>
      </c>
      <c r="F17" s="159" t="str">
        <f>IF(Table4[[#This Row],[A ID]]&gt;0,Table4[[#This Row],[A ID]],"")</f>
        <v>A01</v>
      </c>
      <c r="G17" s="99" t="str">
        <f>Table4[[#This Row],[Asset]]</f>
        <v>Tablet Resources - web cam, microphone, OTG devices, Removable USB, Tablet Application, Network interfaces (Bluetooth, Wifi)</v>
      </c>
      <c r="H17" s="160" t="str">
        <f>IF(Table4[[#This Row],[Impact Description]]&gt;0,Table4[[#This Row],[Impact Description]],"")</f>
        <v xml:space="preserve">1) Malicious utilization of  computer resources 2) computing power  
3) denial of service attacks, 
4) ransomware attack 
5) Bitcoin mining, etc </v>
      </c>
      <c r="I17" s="158" t="str">
        <f>IF(Table4[[#This Row],[Safety Impact 
(Risk ID'# or N/A)]]&gt;0,Table4[[#This Row],[Safety Impact 
(Risk ID'# or N/A)]],"")</f>
        <v/>
      </c>
      <c r="J17" s="102" t="str">
        <f>Table4[[#This Row],[Security 
Risk 
Level]]</f>
        <v>LOW</v>
      </c>
      <c r="K17"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7" s="104" t="str">
        <f>Table4[[#This Row],[Security Risk LevelP]]</f>
        <v/>
      </c>
      <c r="M17" s="158" t="str">
        <f>IF(Table4[[#This Row],[Residual Security Risk Acceptability Justification]]&gt;0,Table4[[#This Row],[Residual Security Risk Acceptability Justification]],"")</f>
        <v/>
      </c>
    </row>
    <row r="18" spans="1:13" s="29" customFormat="1" ht="70" x14ac:dyDescent="0.35">
      <c r="A18" s="157">
        <f>Table4[[#This Row],[
ID '#]]</f>
        <v>14</v>
      </c>
      <c r="B18" s="156" t="str">
        <f>IF(Table4[[#This Row],[T ID]]&gt;0,Table4[[#This Row],[T ID]],"")</f>
        <v>T01</v>
      </c>
      <c r="C18" s="99" t="str">
        <f>Table4[[#This Row],[Threat Event(s)]]</f>
        <v>Deliver undirected malware
(CAPEC-185)</v>
      </c>
      <c r="D18" s="158" t="str">
        <f>IF(Table4[[#This Row],[V ID]]&gt;0,Table4[[#This Row],[V ID]],"")</f>
        <v>V12</v>
      </c>
      <c r="E18" s="99" t="str">
        <f>Table4[[#This Row],[Vulnerabilities]]</f>
        <v>Unprotected network port(s) on network devices and connection points</v>
      </c>
      <c r="F18" s="159" t="str">
        <f>IF(Table4[[#This Row],[A ID]]&gt;0,Table4[[#This Row],[A ID]],"")</f>
        <v>A03</v>
      </c>
      <c r="G18" s="99" t="str">
        <f>Table4[[#This Row],[Asset]]</f>
        <v>Smart medic (Stryker device) System Component</v>
      </c>
      <c r="H18" s="160" t="str">
        <f>IF(Table4[[#This Row],[Impact Description]]&gt;0,Table4[[#This Row],[Impact Description]],"")</f>
        <v xml:space="preserve">1) Malicious utilization of  computer resources 2) computing power  
3) denial of service attacks, 
4) ransomware attack 
5) Bitcoin mining, etc </v>
      </c>
      <c r="I18" s="158" t="str">
        <f>IF(Table4[[#This Row],[Safety Impact 
(Risk ID'# or N/A)]]&gt;0,Table4[[#This Row],[Safety Impact 
(Risk ID'# or N/A)]],"")</f>
        <v/>
      </c>
      <c r="J18" s="102" t="str">
        <f>Table4[[#This Row],[Security 
Risk 
Level]]</f>
        <v>LOW</v>
      </c>
      <c r="K18"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8" s="104" t="str">
        <f>Table4[[#This Row],[Security Risk LevelP]]</f>
        <v/>
      </c>
      <c r="M18" s="158" t="str">
        <f>IF(Table4[[#This Row],[Residual Security Risk Acceptability Justification]]&gt;0,Table4[[#This Row],[Residual Security Risk Acceptability Justification]],"")</f>
        <v/>
      </c>
    </row>
    <row r="19" spans="1:13" s="29" customFormat="1" ht="70" x14ac:dyDescent="0.35">
      <c r="A19" s="157">
        <f>Table4[[#This Row],[
ID '#]]</f>
        <v>15</v>
      </c>
      <c r="B19" s="156" t="str">
        <f>IF(Table4[[#This Row],[T ID]]&gt;0,Table4[[#This Row],[T ID]],"")</f>
        <v>T01</v>
      </c>
      <c r="C19" s="99" t="str">
        <f>Table4[[#This Row],[Threat Event(s)]]</f>
        <v>Deliver undirected malware
(CAPEC-185)</v>
      </c>
      <c r="D19" s="158" t="str">
        <f>IF(Table4[[#This Row],[V ID]]&gt;0,Table4[[#This Row],[V ID]],"")</f>
        <v>V16</v>
      </c>
      <c r="E19" s="99" t="str">
        <f>Table4[[#This Row],[Vulnerabilities]]</f>
        <v>Unencrypted data at rest in all possible locations</v>
      </c>
      <c r="F19" s="159" t="str">
        <f>IF(Table4[[#This Row],[A ID]]&gt;0,Table4[[#This Row],[A ID]],"")</f>
        <v>A01</v>
      </c>
      <c r="G19" s="99" t="str">
        <f>Table4[[#This Row],[Asset]]</f>
        <v>Tablet Resources - web cam, microphone, OTG devices, Removable USB, Tablet Application, Network interfaces (Bluetooth, Wifi)</v>
      </c>
      <c r="H19" s="160" t="str">
        <f>IF(Table4[[#This Row],[Impact Description]]&gt;0,Table4[[#This Row],[Impact Description]],"")</f>
        <v xml:space="preserve">1) Malicious utilization of  computer resources 2) computing power  
3) denial of service attacks, 
4) ransomware attack 
5) Bitcoin mining, etc </v>
      </c>
      <c r="I19" s="158" t="str">
        <f>IF(Table4[[#This Row],[Safety Impact 
(Risk ID'# or N/A)]]&gt;0,Table4[[#This Row],[Safety Impact 
(Risk ID'# or N/A)]],"")</f>
        <v/>
      </c>
      <c r="J19" s="102" t="str">
        <f>Table4[[#This Row],[Security 
Risk 
Level]]</f>
        <v>LOW</v>
      </c>
      <c r="K19"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19" s="104" t="str">
        <f>Table4[[#This Row],[Security Risk LevelP]]</f>
        <v/>
      </c>
      <c r="M19" s="158" t="str">
        <f>IF(Table4[[#This Row],[Residual Security Risk Acceptability Justification]]&gt;0,Table4[[#This Row],[Residual Security Risk Acceptability Justification]],"")</f>
        <v/>
      </c>
    </row>
    <row r="20" spans="1:13" s="29" customFormat="1" ht="70" x14ac:dyDescent="0.35">
      <c r="A20" s="157">
        <f>Table4[[#This Row],[
ID '#]]</f>
        <v>16</v>
      </c>
      <c r="B20" s="156" t="str">
        <f>IF(Table4[[#This Row],[T ID]]&gt;0,Table4[[#This Row],[T ID]],"")</f>
        <v>T01</v>
      </c>
      <c r="C20" s="99" t="str">
        <f>Table4[[#This Row],[Threat Event(s)]]</f>
        <v>Deliver undirected malware
(CAPEC-185)</v>
      </c>
      <c r="D20" s="158" t="str">
        <f>IF(Table4[[#This Row],[V ID]]&gt;0,Table4[[#This Row],[V ID]],"")</f>
        <v>V17</v>
      </c>
      <c r="E20" s="99" t="str">
        <f>Table4[[#This Row],[Vulnerabilities]]</f>
        <v>Unencrypted data in transit in all flowchannels</v>
      </c>
      <c r="F20" s="159" t="str">
        <f>IF(Table4[[#This Row],[A ID]]&gt;0,Table4[[#This Row],[A ID]],"")</f>
        <v>A03</v>
      </c>
      <c r="G20" s="99" t="str">
        <f>Table4[[#This Row],[Asset]]</f>
        <v>Smart medic (Stryker device) System Component</v>
      </c>
      <c r="H20" s="160" t="str">
        <f>IF(Table4[[#This Row],[Impact Description]]&gt;0,Table4[[#This Row],[Impact Description]],"")</f>
        <v xml:space="preserve">1) Malicious utilization of  computer resources 2) computing power  
3) denial of service attacks, 
4) ransomware attack 
5) Bitcoin mining, etc </v>
      </c>
      <c r="I20" s="158" t="str">
        <f>IF(Table4[[#This Row],[Safety Impact 
(Risk ID'# or N/A)]]&gt;0,Table4[[#This Row],[Safety Impact 
(Risk ID'# or N/A)]],"")</f>
        <v/>
      </c>
      <c r="J20" s="102" t="str">
        <f>Table4[[#This Row],[Security 
Risk 
Level]]</f>
        <v>LOW</v>
      </c>
      <c r="K20"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0" s="104" t="str">
        <f>Table4[[#This Row],[Security Risk LevelP]]</f>
        <v/>
      </c>
      <c r="M20" s="158" t="str">
        <f>IF(Table4[[#This Row],[Residual Security Risk Acceptability Justification]]&gt;0,Table4[[#This Row],[Residual Security Risk Acceptability Justification]],"")</f>
        <v/>
      </c>
    </row>
    <row r="21" spans="1:13" s="29" customFormat="1" ht="70" x14ac:dyDescent="0.35">
      <c r="A21" s="157">
        <f>Table4[[#This Row],[
ID '#]]</f>
        <v>17</v>
      </c>
      <c r="B21" s="156" t="str">
        <f>IF(Table4[[#This Row],[T ID]]&gt;0,Table4[[#This Row],[T ID]],"")</f>
        <v>T01</v>
      </c>
      <c r="C21" s="99" t="str">
        <f>Table4[[#This Row],[Threat Event(s)]]</f>
        <v>Deliver undirected malware
(CAPEC-185)</v>
      </c>
      <c r="D21" s="158" t="str">
        <f>IF(Table4[[#This Row],[V ID]]&gt;0,Table4[[#This Row],[V ID]],"")</f>
        <v>V17</v>
      </c>
      <c r="E21" s="99" t="str">
        <f>Table4[[#This Row],[Vulnerabilities]]</f>
        <v>Unencrypted data in transit in all flowchannels</v>
      </c>
      <c r="F21" s="159" t="str">
        <f>IF(Table4[[#This Row],[A ID]]&gt;0,Table4[[#This Row],[A ID]],"")</f>
        <v>A01</v>
      </c>
      <c r="G21" s="99" t="str">
        <f>Table4[[#This Row],[Asset]]</f>
        <v>Tablet Resources - web cam, microphone, OTG devices, Removable USB, Tablet Application, Network interfaces (Bluetooth, Wifi)</v>
      </c>
      <c r="H21" s="160" t="str">
        <f>IF(Table4[[#This Row],[Impact Description]]&gt;0,Table4[[#This Row],[Impact Description]],"")</f>
        <v xml:space="preserve">1) Malicious utilization of  computer resources 2) computing power  
3) denial of service attacks, 
4) ransomware attack 
5) Bitcoin mining, etc </v>
      </c>
      <c r="I21" s="158" t="str">
        <f>IF(Table4[[#This Row],[Safety Impact 
(Risk ID'# or N/A)]]&gt;0,Table4[[#This Row],[Safety Impact 
(Risk ID'# or N/A)]],"")</f>
        <v/>
      </c>
      <c r="J21" s="102" t="str">
        <f>Table4[[#This Row],[Security 
Risk 
Level]]</f>
        <v>LOW</v>
      </c>
      <c r="K21"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1" s="104" t="str">
        <f>Table4[[#This Row],[Security Risk LevelP]]</f>
        <v/>
      </c>
      <c r="M21" s="158" t="str">
        <f>IF(Table4[[#This Row],[Residual Security Risk Acceptability Justification]]&gt;0,Table4[[#This Row],[Residual Security Risk Acceptability Justification]],"")</f>
        <v/>
      </c>
    </row>
    <row r="22" spans="1:13" s="29" customFormat="1" ht="70" x14ac:dyDescent="0.35">
      <c r="A22" s="157">
        <f>Table4[[#This Row],[
ID '#]]</f>
        <v>18</v>
      </c>
      <c r="B22" s="156" t="str">
        <f>IF(Table4[[#This Row],[T ID]]&gt;0,Table4[[#This Row],[T ID]],"")</f>
        <v>T01</v>
      </c>
      <c r="C22" s="99" t="str">
        <f>Table4[[#This Row],[Threat Event(s)]]</f>
        <v>Deliver undirected malware
(CAPEC-185)</v>
      </c>
      <c r="D22" s="158" t="str">
        <f>IF(Table4[[#This Row],[V ID]]&gt;0,Table4[[#This Row],[V ID]],"")</f>
        <v>V23</v>
      </c>
      <c r="E22" s="99" t="str">
        <f>Table4[[#This Row],[Vulnerabilities]]</f>
        <v>Outdated  - Software/Hardware</v>
      </c>
      <c r="F22" s="159" t="str">
        <f>IF(Table4[[#This Row],[A ID]]&gt;0,Table4[[#This Row],[A ID]],"")</f>
        <v>A05</v>
      </c>
      <c r="G22" s="99" t="str">
        <f>Table4[[#This Row],[Asset]]</f>
        <v>Device Maintainence tool (Hardware/Software)</v>
      </c>
      <c r="H22" s="160" t="str">
        <f>IF(Table4[[#This Row],[Impact Description]]&gt;0,Table4[[#This Row],[Impact Description]],"")</f>
        <v xml:space="preserve">1) Malicious utilization of  computer resources 2) computing power  
3) denial of service attacks, 
4) ransomware attack 
5) Bitcoin mining, etc </v>
      </c>
      <c r="I22" s="158" t="str">
        <f>IF(Table4[[#This Row],[Safety Impact 
(Risk ID'# or N/A)]]&gt;0,Table4[[#This Row],[Safety Impact 
(Risk ID'# or N/A)]],"")</f>
        <v/>
      </c>
      <c r="J22" s="102" t="str">
        <f>Table4[[#This Row],[Security 
Risk 
Level]]</f>
        <v>LOW</v>
      </c>
      <c r="K22"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2" s="104" t="str">
        <f>Table4[[#This Row],[Security Risk LevelP]]</f>
        <v/>
      </c>
      <c r="M22" s="158" t="str">
        <f>IF(Table4[[#This Row],[Residual Security Risk Acceptability Justification]]&gt;0,Table4[[#This Row],[Residual Security Risk Acceptability Justification]],"")</f>
        <v/>
      </c>
    </row>
    <row r="23" spans="1:13" s="29" customFormat="1" ht="70" x14ac:dyDescent="0.35">
      <c r="A23" s="157">
        <f>Table4[[#This Row],[
ID '#]]</f>
        <v>19</v>
      </c>
      <c r="B23" s="156" t="str">
        <f>IF(Table4[[#This Row],[T ID]]&gt;0,Table4[[#This Row],[T ID]],"")</f>
        <v>T01</v>
      </c>
      <c r="C23" s="99" t="str">
        <f>Table4[[#This Row],[Threat Event(s)]]</f>
        <v>Deliver undirected malware
(CAPEC-185)</v>
      </c>
      <c r="D23" s="158" t="str">
        <f>IF(Table4[[#This Row],[V ID]]&gt;0,Table4[[#This Row],[V ID]],"")</f>
        <v>V23</v>
      </c>
      <c r="E23" s="99" t="str">
        <f>Table4[[#This Row],[Vulnerabilities]]</f>
        <v>Outdated  - Software/Hardware</v>
      </c>
      <c r="F23" s="159" t="str">
        <f>IF(Table4[[#This Row],[A ID]]&gt;0,Table4[[#This Row],[A ID]],"")</f>
        <v>A03</v>
      </c>
      <c r="G23" s="99" t="str">
        <f>Table4[[#This Row],[Asset]]</f>
        <v>Smart medic (Stryker device) System Component</v>
      </c>
      <c r="H23" s="160" t="str">
        <f>IF(Table4[[#This Row],[Impact Description]]&gt;0,Table4[[#This Row],[Impact Description]],"")</f>
        <v xml:space="preserve">1) Malicious utilization of  computer resources 2) computing power  
3) denial of service attacks, 
4) ransomware attack 
5) Bitcoin mining, etc </v>
      </c>
      <c r="I23" s="158" t="str">
        <f>IF(Table4[[#This Row],[Safety Impact 
(Risk ID'# or N/A)]]&gt;0,Table4[[#This Row],[Safety Impact 
(Risk ID'# or N/A)]],"")</f>
        <v/>
      </c>
      <c r="J23" s="102" t="str">
        <f>Table4[[#This Row],[Security 
Risk 
Level]]</f>
        <v>LOW</v>
      </c>
      <c r="K23"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3" s="104" t="str">
        <f>Table4[[#This Row],[Security Risk LevelP]]</f>
        <v/>
      </c>
      <c r="M23" s="158" t="str">
        <f>IF(Table4[[#This Row],[Residual Security Risk Acceptability Justification]]&gt;0,Table4[[#This Row],[Residual Security Risk Acceptability Justification]],"")</f>
        <v/>
      </c>
    </row>
    <row r="24" spans="1:13" s="29" customFormat="1" ht="70" x14ac:dyDescent="0.35">
      <c r="A24" s="157">
        <f>Table4[[#This Row],[
ID '#]]</f>
        <v>20</v>
      </c>
      <c r="B24" s="156" t="str">
        <f>IF(Table4[[#This Row],[T ID]]&gt;0,Table4[[#This Row],[T ID]],"")</f>
        <v>T01</v>
      </c>
      <c r="C24" s="99" t="str">
        <f>Table4[[#This Row],[Threat Event(s)]]</f>
        <v>Deliver undirected malware
(CAPEC-185)</v>
      </c>
      <c r="D24" s="158" t="str">
        <f>IF(Table4[[#This Row],[V ID]]&gt;0,Table4[[#This Row],[V ID]],"")</f>
        <v>V23</v>
      </c>
      <c r="E24" s="99" t="str">
        <f>Table4[[#This Row],[Vulnerabilities]]</f>
        <v>Outdated  - Software/Hardware</v>
      </c>
      <c r="F24" s="159" t="str">
        <f>IF(Table4[[#This Row],[A ID]]&gt;0,Table4[[#This Row],[A ID]],"")</f>
        <v>A01</v>
      </c>
      <c r="G24" s="99" t="str">
        <f>Table4[[#This Row],[Asset]]</f>
        <v>Tablet Resources - web cam, microphone, OTG devices, Removable USB, Tablet Application, Network interfaces (Bluetooth, Wifi)</v>
      </c>
      <c r="H24" s="160" t="str">
        <f>IF(Table4[[#This Row],[Impact Description]]&gt;0,Table4[[#This Row],[Impact Description]],"")</f>
        <v xml:space="preserve">1) Malicious utilization of  computer resources 2) computing power  
3) denial of service attacks, 
4) ransomware attack 
5) Bitcoin mining, etc </v>
      </c>
      <c r="I24" s="158" t="str">
        <f>IF(Table4[[#This Row],[Safety Impact 
(Risk ID'# or N/A)]]&gt;0,Table4[[#This Row],[Safety Impact 
(Risk ID'# or N/A)]],"")</f>
        <v/>
      </c>
      <c r="J24" s="102" t="str">
        <f>Table4[[#This Row],[Security 
Risk 
Level]]</f>
        <v>LOW</v>
      </c>
      <c r="K24"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4" s="104" t="str">
        <f>Table4[[#This Row],[Security Risk LevelP]]</f>
        <v/>
      </c>
      <c r="M24" s="158" t="str">
        <f>IF(Table4[[#This Row],[Residual Security Risk Acceptability Justification]]&gt;0,Table4[[#This Row],[Residual Security Risk Acceptability Justification]],"")</f>
        <v/>
      </c>
    </row>
    <row r="25" spans="1:13" s="29" customFormat="1" ht="70" x14ac:dyDescent="0.35">
      <c r="A25" s="157">
        <f>Table4[[#This Row],[
ID '#]]</f>
        <v>21</v>
      </c>
      <c r="B25" s="156" t="str">
        <f>IF(Table4[[#This Row],[T ID]]&gt;0,Table4[[#This Row],[T ID]],"")</f>
        <v>T02</v>
      </c>
      <c r="C25" s="99" t="str">
        <f>Table4[[#This Row],[Threat Event(s)]]</f>
        <v>Deliver directed malware
(CAPEC-185)</v>
      </c>
      <c r="D25" s="158" t="str">
        <f>IF(Table4[[#This Row],[V ID]]&gt;0,Table4[[#This Row],[V ID]],"")</f>
        <v>V21</v>
      </c>
      <c r="E25" s="99" t="str">
        <f>Table4[[#This Row],[Vulnerabilities]]</f>
        <v>InSecure Configuration for Software/OS on Mobile Devices, Laptops, Workstations, and Servers</v>
      </c>
      <c r="F25" s="159" t="str">
        <f>IF(Table4[[#This Row],[A ID]]&gt;0,Table4[[#This Row],[A ID]],"")</f>
        <v>A05</v>
      </c>
      <c r="G25" s="99" t="str">
        <f>Table4[[#This Row],[Asset]]</f>
        <v>Device Maintainence tool (Hardware/Software)</v>
      </c>
      <c r="H25" s="160" t="str">
        <f>IF(Table4[[#This Row],[Impact Description]]&gt;0,Table4[[#This Row],[Impact Description]],"")</f>
        <v xml:space="preserve">1) Malicious utilization of  computer resources 2) computing power  
3) denial of service attacks, 
4) ransomware attack 
5) Bitcoin mining, etc </v>
      </c>
      <c r="I25" s="158" t="str">
        <f>IF(Table4[[#This Row],[Safety Impact 
(Risk ID'# or N/A)]]&gt;0,Table4[[#This Row],[Safety Impact 
(Risk ID'# or N/A)]],"")</f>
        <v/>
      </c>
      <c r="J25" s="102" t="str">
        <f>Table4[[#This Row],[Security 
Risk 
Level]]</f>
        <v>LOW</v>
      </c>
      <c r="K25"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5" s="104" t="str">
        <f>Table4[[#This Row],[Security Risk LevelP]]</f>
        <v>MEDIUM</v>
      </c>
      <c r="M25" s="158" t="str">
        <f>IF(Table4[[#This Row],[Residual Security Risk Acceptability Justification]]&gt;0,Table4[[#This Row],[Residual Security Risk Acceptability Justification]],"")</f>
        <v>Justification</v>
      </c>
    </row>
    <row r="26" spans="1:13" s="29" customFormat="1" ht="70" x14ac:dyDescent="0.35">
      <c r="A26" s="157">
        <f>Table4[[#This Row],[
ID '#]]</f>
        <v>22</v>
      </c>
      <c r="B26" s="156" t="str">
        <f>IF(Table4[[#This Row],[T ID]]&gt;0,Table4[[#This Row],[T ID]],"")</f>
        <v>T02</v>
      </c>
      <c r="C26" s="99" t="str">
        <f>Table4[[#This Row],[Threat Event(s)]]</f>
        <v>Deliver directed malware
(CAPEC-185)</v>
      </c>
      <c r="D26" s="158" t="str">
        <f>IF(Table4[[#This Row],[V ID]]&gt;0,Table4[[#This Row],[V ID]],"")</f>
        <v>V21</v>
      </c>
      <c r="E26" s="99" t="str">
        <f>Table4[[#This Row],[Vulnerabilities]]</f>
        <v>InSecure Configuration for Software/OS on Mobile Devices, Laptops, Workstations, and Servers</v>
      </c>
      <c r="F26" s="159" t="str">
        <f>IF(Table4[[#This Row],[A ID]]&gt;0,Table4[[#This Row],[A ID]],"")</f>
        <v>A03</v>
      </c>
      <c r="G26" s="99" t="str">
        <f>Table4[[#This Row],[Asset]]</f>
        <v>Smart medic (Stryker device) System Component</v>
      </c>
      <c r="H26" s="160" t="str">
        <f>IF(Table4[[#This Row],[Impact Description]]&gt;0,Table4[[#This Row],[Impact Description]],"")</f>
        <v xml:space="preserve">1) Malicious utilization of  computer resources 2) computing power  
3) denial of service attacks, 
4) ransomware attack 
5) Bitcoin mining, etc </v>
      </c>
      <c r="I26" s="158" t="str">
        <f>IF(Table4[[#This Row],[Safety Impact 
(Risk ID'# or N/A)]]&gt;0,Table4[[#This Row],[Safety Impact 
(Risk ID'# or N/A)]],"")</f>
        <v/>
      </c>
      <c r="J26" s="102" t="str">
        <f>Table4[[#This Row],[Security 
Risk 
Level]]</f>
        <v>LOW</v>
      </c>
      <c r="K26"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6" s="104" t="str">
        <f>Table4[[#This Row],[Security Risk LevelP]]</f>
        <v/>
      </c>
      <c r="M26" s="158" t="str">
        <f>IF(Table4[[#This Row],[Residual Security Risk Acceptability Justification]]&gt;0,Table4[[#This Row],[Residual Security Risk Acceptability Justification]],"")</f>
        <v/>
      </c>
    </row>
    <row r="27" spans="1:13" s="29" customFormat="1" ht="70" x14ac:dyDescent="0.35">
      <c r="A27" s="157">
        <f>Table4[[#This Row],[
ID '#]]</f>
        <v>23</v>
      </c>
      <c r="B27" s="156" t="str">
        <f>IF(Table4[[#This Row],[T ID]]&gt;0,Table4[[#This Row],[T ID]],"")</f>
        <v>T02</v>
      </c>
      <c r="C27" s="99" t="str">
        <f>Table4[[#This Row],[Threat Event(s)]]</f>
        <v>Deliver directed malware
(CAPEC-185)</v>
      </c>
      <c r="D27" s="158" t="str">
        <f>IF(Table4[[#This Row],[V ID]]&gt;0,Table4[[#This Row],[V ID]],"")</f>
        <v>V21</v>
      </c>
      <c r="E27" s="99" t="str">
        <f>Table4[[#This Row],[Vulnerabilities]]</f>
        <v>InSecure Configuration for Software/OS on Mobile Devices, Laptops, Workstations, and Servers</v>
      </c>
      <c r="F27" s="159" t="str">
        <f>IF(Table4[[#This Row],[A ID]]&gt;0,Table4[[#This Row],[A ID]],"")</f>
        <v>A01</v>
      </c>
      <c r="G27" s="99" t="str">
        <f>Table4[[#This Row],[Asset]]</f>
        <v>Tablet Resources - web cam, microphone, OTG devices, Removable USB, Tablet Application, Network interfaces (Bluetooth, Wifi)</v>
      </c>
      <c r="H27" s="160" t="str">
        <f>IF(Table4[[#This Row],[Impact Description]]&gt;0,Table4[[#This Row],[Impact Description]],"")</f>
        <v xml:space="preserve">1) Malicious utilization of  computer resources 2) computing power  
3) denial of service attacks, 
4) ransomware attack 
5) Bitcoin mining, etc </v>
      </c>
      <c r="I27" s="158" t="str">
        <f>IF(Table4[[#This Row],[Safety Impact 
(Risk ID'# or N/A)]]&gt;0,Table4[[#This Row],[Safety Impact 
(Risk ID'# or N/A)]],"")</f>
        <v/>
      </c>
      <c r="J27" s="102" t="str">
        <f>Table4[[#This Row],[Security 
Risk 
Level]]</f>
        <v>LOW</v>
      </c>
      <c r="K27"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7" s="104" t="str">
        <f>Table4[[#This Row],[Security Risk LevelP]]</f>
        <v/>
      </c>
      <c r="M27" s="158" t="str">
        <f>IF(Table4[[#This Row],[Residual Security Risk Acceptability Justification]]&gt;0,Table4[[#This Row],[Residual Security Risk Acceptability Justification]],"")</f>
        <v/>
      </c>
    </row>
    <row r="28" spans="1:13" s="29" customFormat="1" ht="70" x14ac:dyDescent="0.35">
      <c r="A28" s="157">
        <f>Table4[[#This Row],[
ID '#]]</f>
        <v>24</v>
      </c>
      <c r="B28" s="156" t="str">
        <f>IF(Table4[[#This Row],[T ID]]&gt;0,Table4[[#This Row],[T ID]],"")</f>
        <v>T02</v>
      </c>
      <c r="C28" s="99" t="str">
        <f>Table4[[#This Row],[Threat Event(s)]]</f>
        <v>Deliver directed malware
(CAPEC-185)</v>
      </c>
      <c r="D28" s="158" t="str">
        <f>IF(Table4[[#This Row],[V ID]]&gt;0,Table4[[#This Row],[V ID]],"")</f>
        <v>V13</v>
      </c>
      <c r="E28" s="99" t="str">
        <f>Table4[[#This Row],[Vulnerabilities]]</f>
        <v>Unprotected external USB Port on the tablet/devices.</v>
      </c>
      <c r="F28" s="159" t="str">
        <f>IF(Table4[[#This Row],[A ID]]&gt;0,Table4[[#This Row],[A ID]],"")</f>
        <v>A08</v>
      </c>
      <c r="G28" s="99" t="str">
        <f>Table4[[#This Row],[Asset]]</f>
        <v>Wireless Network device (Scope of HDO)</v>
      </c>
      <c r="H28" s="160" t="str">
        <f>IF(Table4[[#This Row],[Impact Description]]&gt;0,Table4[[#This Row],[Impact Description]],"")</f>
        <v xml:space="preserve">1) Malicious utilization of  computer resources 2) computing power  
3) denial of service attacks, 
4) ransomware attack 
5) Bitcoin mining, etc </v>
      </c>
      <c r="I28" s="158" t="str">
        <f>IF(Table4[[#This Row],[Safety Impact 
(Risk ID'# or N/A)]]&gt;0,Table4[[#This Row],[Safety Impact 
(Risk ID'# or N/A)]],"")</f>
        <v/>
      </c>
      <c r="J28" s="102" t="str">
        <f>Table4[[#This Row],[Security 
Risk 
Level]]</f>
        <v>LOW</v>
      </c>
      <c r="K28" s="158" t="str">
        <f>IF(Table4[[#This Row],[Security Risk Control Measures]]&gt;0,Table4[[#This Row],[Security Risk Control Measures]],"")</f>
        <v>SOM responsibility
1. Statefull Firewall
2. Maintain access control (read/modify) permission list for any sensitive &amp; unencrypted data if present.</v>
      </c>
      <c r="L28" s="104" t="str">
        <f>Table4[[#This Row],[Security Risk LevelP]]</f>
        <v/>
      </c>
      <c r="M28" s="158" t="str">
        <f>IF(Table4[[#This Row],[Residual Security Risk Acceptability Justification]]&gt;0,Table4[[#This Row],[Residual Security Risk Acceptability Justification]],"")</f>
        <v/>
      </c>
    </row>
    <row r="29" spans="1:13" s="29" customFormat="1" ht="70" x14ac:dyDescent="0.35">
      <c r="A29" s="157">
        <f>Table4[[#This Row],[
ID '#]]</f>
        <v>25</v>
      </c>
      <c r="B29" s="156" t="str">
        <f>IF(Table4[[#This Row],[T ID]]&gt;0,Table4[[#This Row],[T ID]],"")</f>
        <v>T02</v>
      </c>
      <c r="C29" s="99" t="str">
        <f>Table4[[#This Row],[Threat Event(s)]]</f>
        <v>Deliver directed malware
(CAPEC-185)</v>
      </c>
      <c r="D29" s="158" t="str">
        <f>IF(Table4[[#This Row],[V ID]]&gt;0,Table4[[#This Row],[V ID]],"")</f>
        <v>V13</v>
      </c>
      <c r="E29" s="99" t="str">
        <f>Table4[[#This Row],[Vulnerabilities]]</f>
        <v>Unprotected external USB Port on the tablet/devices.</v>
      </c>
      <c r="F29" s="159" t="str">
        <f>IF(Table4[[#This Row],[A ID]]&gt;0,Table4[[#This Row],[A ID]],"")</f>
        <v>A01</v>
      </c>
      <c r="G29" s="99" t="str">
        <f>Table4[[#This Row],[Asset]]</f>
        <v>Tablet Resources - web cam, microphone, OTG devices, Removable USB, Tablet Application, Network interfaces (Bluetooth, Wifi)</v>
      </c>
      <c r="H29" s="160" t="str">
        <f>IF(Table4[[#This Row],[Impact Description]]&gt;0,Table4[[#This Row],[Impact Description]],"")</f>
        <v xml:space="preserve">1) Malicious utilization of  computer resources 2) computing power  
3) denial of service attacks, 
4) ransomware attack 
5) Bitcoin mining, etc </v>
      </c>
      <c r="I29" s="158" t="str">
        <f>IF(Table4[[#This Row],[Safety Impact 
(Risk ID'# or N/A)]]&gt;0,Table4[[#This Row],[Safety Impact 
(Risk ID'# or N/A)]],"")</f>
        <v/>
      </c>
      <c r="J29" s="102" t="str">
        <f>Table4[[#This Row],[Security 
Risk 
Level]]</f>
        <v>LOW</v>
      </c>
      <c r="K29"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29" s="104" t="str">
        <f>Table4[[#This Row],[Security Risk LevelP]]</f>
        <v/>
      </c>
      <c r="M29" s="158" t="str">
        <f>IF(Table4[[#This Row],[Residual Security Risk Acceptability Justification]]&gt;0,Table4[[#This Row],[Residual Security Risk Acceptability Justification]],"")</f>
        <v/>
      </c>
    </row>
    <row r="30" spans="1:13" s="29" customFormat="1" ht="70" x14ac:dyDescent="0.35">
      <c r="A30" s="157">
        <f>Table4[[#This Row],[
ID '#]]</f>
        <v>26</v>
      </c>
      <c r="B30" s="156" t="str">
        <f>IF(Table4[[#This Row],[T ID]]&gt;0,Table4[[#This Row],[T ID]],"")</f>
        <v>T02</v>
      </c>
      <c r="C30" s="99" t="str">
        <f>Table4[[#This Row],[Threat Event(s)]]</f>
        <v>Deliver directed malware
(CAPEC-185)</v>
      </c>
      <c r="D30" s="158" t="str">
        <f>IF(Table4[[#This Row],[V ID]]&gt;0,Table4[[#This Row],[V ID]],"")</f>
        <v>V13</v>
      </c>
      <c r="E30" s="99" t="str">
        <f>Table4[[#This Row],[Vulnerabilities]]</f>
        <v>Unprotected external USB Port on the tablet/devices.</v>
      </c>
      <c r="F30" s="159" t="str">
        <f>IF(Table4[[#This Row],[A ID]]&gt;0,Table4[[#This Row],[A ID]],"")</f>
        <v>A11</v>
      </c>
      <c r="G30" s="99" t="str">
        <f>Table4[[#This Row],[Asset]]</f>
        <v>Smart medic app (Stryker Admin Web Application)</v>
      </c>
      <c r="H30" s="160" t="str">
        <f>IF(Table4[[#This Row],[Impact Description]]&gt;0,Table4[[#This Row],[Impact Description]],"")</f>
        <v xml:space="preserve">1) Malicious utilization of  computer resources 2) computing power  
3) denial of service attacks, 
4) ransomware attack 
5) Bitcoin mining, etc </v>
      </c>
      <c r="I30" s="158" t="str">
        <f>IF(Table4[[#This Row],[Safety Impact 
(Risk ID'# or N/A)]]&gt;0,Table4[[#This Row],[Safety Impact 
(Risk ID'# or N/A)]],"")</f>
        <v/>
      </c>
      <c r="J30" s="102" t="str">
        <f>Table4[[#This Row],[Security 
Risk 
Level]]</f>
        <v>LOW</v>
      </c>
      <c r="K30"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0" s="104" t="str">
        <f>Table4[[#This Row],[Security Risk LevelP]]</f>
        <v/>
      </c>
      <c r="M30" s="158" t="str">
        <f>IF(Table4[[#This Row],[Residual Security Risk Acceptability Justification]]&gt;0,Table4[[#This Row],[Residual Security Risk Acceptability Justification]],"")</f>
        <v/>
      </c>
    </row>
    <row r="31" spans="1:13" s="29" customFormat="1" ht="112" x14ac:dyDescent="0.35">
      <c r="A31" s="157">
        <f>Table4[[#This Row],[
ID '#]]</f>
        <v>27</v>
      </c>
      <c r="B31" s="156" t="str">
        <f>IF(Table4[[#This Row],[T ID]]&gt;0,Table4[[#This Row],[T ID]],"")</f>
        <v>T02</v>
      </c>
      <c r="C31" s="99" t="str">
        <f>Table4[[#This Row],[Threat Event(s)]]</f>
        <v>Deliver directed malware
(CAPEC-185)</v>
      </c>
      <c r="D31" s="158" t="str">
        <f>IF(Table4[[#This Row],[V ID]]&gt;0,Table4[[#This Row],[V ID]],"")</f>
        <v>V02</v>
      </c>
      <c r="E31" s="99" t="str">
        <f>Table4[[#This Row],[Vulnerabilities]]</f>
        <v>External communications and exposure for communciation channels from and to application and devices like tablet and smartmedic device.</v>
      </c>
      <c r="F31" s="159" t="str">
        <f>IF(Table4[[#This Row],[A ID]]&gt;0,Table4[[#This Row],[A ID]],"")</f>
        <v>A01</v>
      </c>
      <c r="G31" s="99" t="str">
        <f>Table4[[#This Row],[Asset]]</f>
        <v>Tablet Resources - web cam, microphone, OTG devices, Removable USB, Tablet Application, Network interfaces (Bluetooth, Wifi)</v>
      </c>
      <c r="H31" s="160" t="str">
        <f>IF(Table4[[#This Row],[Impact Description]]&gt;0,Table4[[#This Row],[Impact Description]],"")</f>
        <v xml:space="preserve">1) Malicious utilization of  computer resources 2) computing power  
3) denial of service attacks, 
4) ransomware attack 
5) Bitcoin mining, etc </v>
      </c>
      <c r="I31" s="158" t="str">
        <f>IF(Table4[[#This Row],[Safety Impact 
(Risk ID'# or N/A)]]&gt;0,Table4[[#This Row],[Safety Impact 
(Risk ID'# or N/A)]],"")</f>
        <v/>
      </c>
      <c r="J31" s="102" t="str">
        <f>Table4[[#This Row],[Security 
Risk 
Level]]</f>
        <v>MEDIUM</v>
      </c>
      <c r="K31" s="158"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104" t="str">
        <f>Table4[[#This Row],[Security Risk LevelP]]</f>
        <v/>
      </c>
      <c r="M31" s="158" t="str">
        <f>IF(Table4[[#This Row],[Residual Security Risk Acceptability Justification]]&gt;0,Table4[[#This Row],[Residual Security Risk Acceptability Justification]],"")</f>
        <v/>
      </c>
    </row>
    <row r="32" spans="1:13" s="29" customFormat="1" ht="70" x14ac:dyDescent="0.35">
      <c r="A32" s="157">
        <f>Table4[[#This Row],[
ID '#]]</f>
        <v>28</v>
      </c>
      <c r="B32" s="156" t="str">
        <f>IF(Table4[[#This Row],[T ID]]&gt;0,Table4[[#This Row],[T ID]],"")</f>
        <v>T02</v>
      </c>
      <c r="C32" s="99" t="str">
        <f>Table4[[#This Row],[Threat Event(s)]]</f>
        <v>Deliver directed malware
(CAPEC-185)</v>
      </c>
      <c r="D32" s="158" t="str">
        <f>IF(Table4[[#This Row],[V ID]]&gt;0,Table4[[#This Row],[V ID]],"")</f>
        <v>V08</v>
      </c>
      <c r="E32" s="99" t="str">
        <f>Table4[[#This Row],[Vulnerabilities]]</f>
        <v>Ineffective patch management of firware, OS and applications thoughout the information system plan</v>
      </c>
      <c r="F32" s="159" t="str">
        <f>IF(Table4[[#This Row],[A ID]]&gt;0,Table4[[#This Row],[A ID]],"")</f>
        <v>A05</v>
      </c>
      <c r="G32" s="99" t="str">
        <f>Table4[[#This Row],[Asset]]</f>
        <v>Device Maintainence tool (Hardware/Software)</v>
      </c>
      <c r="H32" s="160" t="str">
        <f>IF(Table4[[#This Row],[Impact Description]]&gt;0,Table4[[#This Row],[Impact Description]],"")</f>
        <v xml:space="preserve">1) Malicious utilization of  computer resources 2) computing power  
3) denial of service attacks, 
4) ransomware attack 
5) Bitcoin mining, etc </v>
      </c>
      <c r="I32" s="158" t="str">
        <f>IF(Table4[[#This Row],[Safety Impact 
(Risk ID'# or N/A)]]&gt;0,Table4[[#This Row],[Safety Impact 
(Risk ID'# or N/A)]],"")</f>
        <v/>
      </c>
      <c r="J32" s="102" t="str">
        <f>Table4[[#This Row],[Security 
Risk 
Level]]</f>
        <v>LOW</v>
      </c>
      <c r="K32"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2" s="104" t="str">
        <f>Table4[[#This Row],[Security Risk LevelP]]</f>
        <v/>
      </c>
      <c r="M32" s="158" t="str">
        <f>IF(Table4[[#This Row],[Residual Security Risk Acceptability Justification]]&gt;0,Table4[[#This Row],[Residual Security Risk Acceptability Justification]],"")</f>
        <v/>
      </c>
    </row>
    <row r="33" spans="1:13" s="29" customFormat="1" ht="70" x14ac:dyDescent="0.35">
      <c r="A33" s="157">
        <f>Table4[[#This Row],[
ID '#]]</f>
        <v>29</v>
      </c>
      <c r="B33" s="156" t="str">
        <f>IF(Table4[[#This Row],[T ID]]&gt;0,Table4[[#This Row],[T ID]],"")</f>
        <v>T02</v>
      </c>
      <c r="C33" s="99" t="str">
        <f>Table4[[#This Row],[Threat Event(s)]]</f>
        <v>Deliver directed malware
(CAPEC-185)</v>
      </c>
      <c r="D33" s="158" t="str">
        <f>IF(Table4[[#This Row],[V ID]]&gt;0,Table4[[#This Row],[V ID]],"")</f>
        <v>V08</v>
      </c>
      <c r="E33" s="99" t="str">
        <f>Table4[[#This Row],[Vulnerabilities]]</f>
        <v>Ineffective patch management of firware, OS and applications thoughout the information system plan</v>
      </c>
      <c r="F33" s="159" t="str">
        <f>IF(Table4[[#This Row],[A ID]]&gt;0,Table4[[#This Row],[A ID]],"")</f>
        <v>A03</v>
      </c>
      <c r="G33" s="99" t="str">
        <f>Table4[[#This Row],[Asset]]</f>
        <v>Smart medic (Stryker device) System Component</v>
      </c>
      <c r="H33" s="160" t="str">
        <f>IF(Table4[[#This Row],[Impact Description]]&gt;0,Table4[[#This Row],[Impact Description]],"")</f>
        <v xml:space="preserve">1) Malicious utilization of  computer resources 2) computing power  
3) denial of service attacks, 
4) ransomware attack 
5) Bitcoin mining, etc </v>
      </c>
      <c r="I33" s="158" t="str">
        <f>IF(Table4[[#This Row],[Safety Impact 
(Risk ID'# or N/A)]]&gt;0,Table4[[#This Row],[Safety Impact 
(Risk ID'# or N/A)]],"")</f>
        <v/>
      </c>
      <c r="J33" s="102" t="str">
        <f>Table4[[#This Row],[Security 
Risk 
Level]]</f>
        <v>LOW</v>
      </c>
      <c r="K33"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3" s="104" t="str">
        <f>Table4[[#This Row],[Security Risk LevelP]]</f>
        <v/>
      </c>
      <c r="M33" s="158" t="str">
        <f>IF(Table4[[#This Row],[Residual Security Risk Acceptability Justification]]&gt;0,Table4[[#This Row],[Residual Security Risk Acceptability Justification]],"")</f>
        <v/>
      </c>
    </row>
    <row r="34" spans="1:13" s="29" customFormat="1" ht="70" x14ac:dyDescent="0.35">
      <c r="A34" s="157">
        <f>Table4[[#This Row],[
ID '#]]</f>
        <v>30</v>
      </c>
      <c r="B34" s="156" t="str">
        <f>IF(Table4[[#This Row],[T ID]]&gt;0,Table4[[#This Row],[T ID]],"")</f>
        <v>T02</v>
      </c>
      <c r="C34" s="99" t="str">
        <f>Table4[[#This Row],[Threat Event(s)]]</f>
        <v>Deliver directed malware
(CAPEC-185)</v>
      </c>
      <c r="D34" s="158" t="str">
        <f>IF(Table4[[#This Row],[V ID]]&gt;0,Table4[[#This Row],[V ID]],"")</f>
        <v>V08</v>
      </c>
      <c r="E34" s="99" t="str">
        <f>Table4[[#This Row],[Vulnerabilities]]</f>
        <v>Ineffective patch management of firware, OS and applications thoughout the information system plan</v>
      </c>
      <c r="F34" s="159" t="str">
        <f>IF(Table4[[#This Row],[A ID]]&gt;0,Table4[[#This Row],[A ID]],"")</f>
        <v>A01</v>
      </c>
      <c r="G34" s="99" t="str">
        <f>Table4[[#This Row],[Asset]]</f>
        <v>Tablet Resources - web cam, microphone, OTG devices, Removable USB, Tablet Application, Network interfaces (Bluetooth, Wifi)</v>
      </c>
      <c r="H34" s="160" t="str">
        <f>IF(Table4[[#This Row],[Impact Description]]&gt;0,Table4[[#This Row],[Impact Description]],"")</f>
        <v xml:space="preserve">1) Malicious utilization of  computer resources 2) computing power  
3) denial of service attacks, 
4) ransomware attack 
5) Bitcoin mining, etc </v>
      </c>
      <c r="I34" s="158" t="str">
        <f>IF(Table4[[#This Row],[Safety Impact 
(Risk ID'# or N/A)]]&gt;0,Table4[[#This Row],[Safety Impact 
(Risk ID'# or N/A)]],"")</f>
        <v/>
      </c>
      <c r="J34" s="102" t="str">
        <f>Table4[[#This Row],[Security 
Risk 
Level]]</f>
        <v>LOW</v>
      </c>
      <c r="K34"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4" s="104" t="str">
        <f>Table4[[#This Row],[Security Risk LevelP]]</f>
        <v/>
      </c>
      <c r="M34" s="158" t="str">
        <f>IF(Table4[[#This Row],[Residual Security Risk Acceptability Justification]]&gt;0,Table4[[#This Row],[Residual Security Risk Acceptability Justification]],"")</f>
        <v/>
      </c>
    </row>
    <row r="35" spans="1:13" s="29" customFormat="1" ht="84" x14ac:dyDescent="0.35">
      <c r="A35" s="157">
        <f>Table4[[#This Row],[
ID '#]]</f>
        <v>31</v>
      </c>
      <c r="B35" s="156" t="str">
        <f>IF(Table4[[#This Row],[T ID]]&gt;0,Table4[[#This Row],[T ID]],"")</f>
        <v>T02</v>
      </c>
      <c r="C35" s="99" t="str">
        <f>Table4[[#This Row],[Threat Event(s)]]</f>
        <v>Deliver directed malware
(CAPEC-185)</v>
      </c>
      <c r="D35" s="158" t="str">
        <f>IF(Table4[[#This Row],[V ID]]&gt;0,Table4[[#This Row],[V ID]],"")</f>
        <v>V12</v>
      </c>
      <c r="E35" s="99" t="str">
        <f>Table4[[#This Row],[Vulnerabilities]]</f>
        <v>Unprotected network port(s) on network devices and connection points</v>
      </c>
      <c r="F35" s="159" t="str">
        <f>IF(Table4[[#This Row],[A ID]]&gt;0,Table4[[#This Row],[A ID]],"")</f>
        <v>A03</v>
      </c>
      <c r="G35" s="99" t="str">
        <f>Table4[[#This Row],[Asset]]</f>
        <v>Smart medic (Stryker device) System Component</v>
      </c>
      <c r="H35" s="160" t="str">
        <f>IF(Table4[[#This Row],[Impact Description]]&gt;0,Table4[[#This Row],[Impact Description]],"")</f>
        <v xml:space="preserve">1) Malicious utilization of  computer resources 
2) computing power  
3) denial of service attacks, 
4) ransomware attack 
5) Bitcoin mining, etc </v>
      </c>
      <c r="I35" s="158" t="str">
        <f>IF(Table4[[#This Row],[Safety Impact 
(Risk ID'# or N/A)]]&gt;0,Table4[[#This Row],[Safety Impact 
(Risk ID'# or N/A)]],"")</f>
        <v/>
      </c>
      <c r="J35" s="102" t="str">
        <f>Table4[[#This Row],[Security 
Risk 
Level]]</f>
        <v>MEDIUM</v>
      </c>
      <c r="K35" s="158"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104" t="str">
        <f>Table4[[#This Row],[Security Risk LevelP]]</f>
        <v/>
      </c>
      <c r="M35" s="158" t="str">
        <f>IF(Table4[[#This Row],[Residual Security Risk Acceptability Justification]]&gt;0,Table4[[#This Row],[Residual Security Risk Acceptability Justification]],"")</f>
        <v/>
      </c>
    </row>
    <row r="36" spans="1:13" s="29" customFormat="1" ht="84" x14ac:dyDescent="0.35">
      <c r="A36" s="157">
        <f>Table4[[#This Row],[
ID '#]]</f>
        <v>32</v>
      </c>
      <c r="B36" s="156" t="str">
        <f>IF(Table4[[#This Row],[T ID]]&gt;0,Table4[[#This Row],[T ID]],"")</f>
        <v>T02</v>
      </c>
      <c r="C36" s="99" t="str">
        <f>Table4[[#This Row],[Threat Event(s)]]</f>
        <v>Deliver directed malware
(CAPEC-185)</v>
      </c>
      <c r="D36" s="158" t="str">
        <f>IF(Table4[[#This Row],[V ID]]&gt;0,Table4[[#This Row],[V ID]],"")</f>
        <v>V12</v>
      </c>
      <c r="E36" s="99" t="str">
        <f>Table4[[#This Row],[Vulnerabilities]]</f>
        <v>Unprotected network port(s) on network devices and connection points</v>
      </c>
      <c r="F36" s="159" t="str">
        <f>IF(Table4[[#This Row],[A ID]]&gt;0,Table4[[#This Row],[A ID]],"")</f>
        <v>A01</v>
      </c>
      <c r="G36" s="99" t="str">
        <f>Table4[[#This Row],[Asset]]</f>
        <v>Tablet Resources - web cam, microphone, OTG devices, Removable USB, Tablet Application, Network interfaces (Bluetooth, Wifi)</v>
      </c>
      <c r="H36" s="160" t="str">
        <f>IF(Table4[[#This Row],[Impact Description]]&gt;0,Table4[[#This Row],[Impact Description]],"")</f>
        <v xml:space="preserve">1) Malicious utilization of  computer resources 
2) computing power  
3) denial of service attacks, 
4) ransomware attack 
5) Bitcoin mining, etc </v>
      </c>
      <c r="I36" s="158" t="str">
        <f>IF(Table4[[#This Row],[Safety Impact 
(Risk ID'# or N/A)]]&gt;0,Table4[[#This Row],[Safety Impact 
(Risk ID'# or N/A)]],"")</f>
        <v/>
      </c>
      <c r="J36" s="102" t="str">
        <f>Table4[[#This Row],[Security 
Risk 
Level]]</f>
        <v>LOW</v>
      </c>
      <c r="K36"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6" s="104" t="str">
        <f>Table4[[#This Row],[Security Risk LevelP]]</f>
        <v/>
      </c>
      <c r="M36" s="158" t="str">
        <f>IF(Table4[[#This Row],[Residual Security Risk Acceptability Justification]]&gt;0,Table4[[#This Row],[Residual Security Risk Acceptability Justification]],"")</f>
        <v/>
      </c>
    </row>
    <row r="37" spans="1:13" s="29" customFormat="1" ht="84" x14ac:dyDescent="0.35">
      <c r="A37" s="157">
        <f>Table4[[#This Row],[
ID '#]]</f>
        <v>33</v>
      </c>
      <c r="B37" s="156" t="str">
        <f>IF(Table4[[#This Row],[T ID]]&gt;0,Table4[[#This Row],[T ID]],"")</f>
        <v>T02</v>
      </c>
      <c r="C37" s="99" t="str">
        <f>Table4[[#This Row],[Threat Event(s)]]</f>
        <v>Deliver directed malware
(CAPEC-185)</v>
      </c>
      <c r="D37" s="158" t="str">
        <f>IF(Table4[[#This Row],[V ID]]&gt;0,Table4[[#This Row],[V ID]],"")</f>
        <v>V21</v>
      </c>
      <c r="E37" s="99" t="str">
        <f>Table4[[#This Row],[Vulnerabilities]]</f>
        <v>InSecure Configuration for Software/OS on Mobile Devices, Laptops, Workstations, and Servers</v>
      </c>
      <c r="F37" s="159" t="str">
        <f>IF(Table4[[#This Row],[A ID]]&gt;0,Table4[[#This Row],[A ID]],"")</f>
        <v>A11</v>
      </c>
      <c r="G37" s="99" t="str">
        <f>Table4[[#This Row],[Asset]]</f>
        <v>Smart medic app (Stryker Admin Web Application)</v>
      </c>
      <c r="H37" s="160" t="str">
        <f>IF(Table4[[#This Row],[Impact Description]]&gt;0,Table4[[#This Row],[Impact Description]],"")</f>
        <v xml:space="preserve">1) Malicious utilization of  computer resources 
2) computing power  
3) denial of service attacks, 
4) ransomware attack 
5) Bitcoin mining, etc </v>
      </c>
      <c r="I37" s="158" t="str">
        <f>IF(Table4[[#This Row],[Safety Impact 
(Risk ID'# or N/A)]]&gt;0,Table4[[#This Row],[Safety Impact 
(Risk ID'# or N/A)]],"")</f>
        <v/>
      </c>
      <c r="J37" s="102" t="str">
        <f>Table4[[#This Row],[Security 
Risk 
Level]]</f>
        <v>LOW</v>
      </c>
      <c r="K37" s="158" t="str">
        <f>IF(Table4[[#This Row],[Security Risk Control Measures]]&gt;0,Table4[[#This Row],[Security Risk Control Measures]],"")</f>
        <v>1. Deployed (V&amp;V) secure system configuration model needs to be mentioned in the installation manual.
2. Deploy system configuration management tool
3. Implement automated configuration monitoring systems
4. Establish internal and external
information sources for threat
intelligence and vulnerability
data, monitoring them regularly
and taking appropriate action for
high-priority items
5. Use upgraded software, firmware
6 Never create/use credentials with personal details such as date of birth, spouse, or child’s or pet’s name
7. Stateful Firewall</v>
      </c>
      <c r="L37" s="104" t="str">
        <f>Table4[[#This Row],[Security Risk LevelP]]</f>
        <v/>
      </c>
      <c r="M37" s="158" t="str">
        <f>IF(Table4[[#This Row],[Residual Security Risk Acceptability Justification]]&gt;0,Table4[[#This Row],[Residual Security Risk Acceptability Justification]],"")</f>
        <v/>
      </c>
    </row>
    <row r="38" spans="1:13" s="29" customFormat="1" ht="84" x14ac:dyDescent="0.35">
      <c r="A38" s="157">
        <f>Table4[[#This Row],[
ID '#]]</f>
        <v>34</v>
      </c>
      <c r="B38" s="156" t="str">
        <f>IF(Table4[[#This Row],[T ID]]&gt;0,Table4[[#This Row],[T ID]],"")</f>
        <v>T02</v>
      </c>
      <c r="C38" s="99" t="str">
        <f>Table4[[#This Row],[Threat Event(s)]]</f>
        <v>Deliver directed malware
(CAPEC-185)</v>
      </c>
      <c r="D38" s="158" t="str">
        <f>IF(Table4[[#This Row],[V ID]]&gt;0,Table4[[#This Row],[V ID]],"")</f>
        <v>V21</v>
      </c>
      <c r="E38" s="99" t="str">
        <f>Table4[[#This Row],[Vulnerabilities]]</f>
        <v>InSecure Configuration for Software/OS on Mobile Devices, Laptops, Workstations, and Servers</v>
      </c>
      <c r="F38" s="159" t="str">
        <f>IF(Table4[[#This Row],[A ID]]&gt;0,Table4[[#This Row],[A ID]],"")</f>
        <v>A01</v>
      </c>
      <c r="G38" s="99" t="str">
        <f>Table4[[#This Row],[Asset]]</f>
        <v>Tablet Resources - web cam, microphone, OTG devices, Removable USB, Tablet Application, Network interfaces (Bluetooth, Wifi)</v>
      </c>
      <c r="H38" s="160" t="str">
        <f>IF(Table4[[#This Row],[Impact Description]]&gt;0,Table4[[#This Row],[Impact Description]],"")</f>
        <v xml:space="preserve">1) Malicious utilization of  computer resources 
2) computing power  
3) denial of service attacks, 
4) ransomware attack 
5) Bitcoin mining, etc </v>
      </c>
      <c r="I38" s="158" t="str">
        <f>IF(Table4[[#This Row],[Safety Impact 
(Risk ID'# or N/A)]]&gt;0,Table4[[#This Row],[Safety Impact 
(Risk ID'# or N/A)]],"")</f>
        <v/>
      </c>
      <c r="J38" s="102" t="str">
        <f>Table4[[#This Row],[Security 
Risk 
Level]]</f>
        <v>LOW</v>
      </c>
      <c r="K38"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8" s="104" t="str">
        <f>Table4[[#This Row],[Security Risk LevelP]]</f>
        <v/>
      </c>
      <c r="M38" s="158" t="str">
        <f>IF(Table4[[#This Row],[Residual Security Risk Acceptability Justification]]&gt;0,Table4[[#This Row],[Residual Security Risk Acceptability Justification]],"")</f>
        <v/>
      </c>
    </row>
    <row r="39" spans="1:13" s="29" customFormat="1" ht="84" x14ac:dyDescent="0.35">
      <c r="A39" s="157">
        <f>Table4[[#This Row],[
ID '#]]</f>
        <v>35</v>
      </c>
      <c r="B39" s="156" t="str">
        <f>IF(Table4[[#This Row],[T ID]]&gt;0,Table4[[#This Row],[T ID]],"")</f>
        <v>T02</v>
      </c>
      <c r="C39" s="99" t="str">
        <f>Table4[[#This Row],[Threat Event(s)]]</f>
        <v>Deliver directed malware
(CAPEC-185)</v>
      </c>
      <c r="D39" s="158" t="str">
        <f>IF(Table4[[#This Row],[V ID]]&gt;0,Table4[[#This Row],[V ID]],"")</f>
        <v>V16</v>
      </c>
      <c r="E39" s="99" t="str">
        <f>Table4[[#This Row],[Vulnerabilities]]</f>
        <v>Unencrypted data at rest in all possible locations</v>
      </c>
      <c r="F39" s="159" t="str">
        <f>IF(Table4[[#This Row],[A ID]]&gt;0,Table4[[#This Row],[A ID]],"")</f>
        <v>A01</v>
      </c>
      <c r="G39" s="99" t="str">
        <f>Table4[[#This Row],[Asset]]</f>
        <v>Tablet Resources - web cam, microphone, OTG devices, Removable USB, Tablet Application, Network interfaces (Bluetooth, Wifi)</v>
      </c>
      <c r="H39" s="160" t="str">
        <f>IF(Table4[[#This Row],[Impact Description]]&gt;0,Table4[[#This Row],[Impact Description]],"")</f>
        <v xml:space="preserve">1) Malicious utilization of  computer resources 
2) computing power  
3) denial of service attacks, 
4) ransomware attack 
5) Bitcoin mining, etc </v>
      </c>
      <c r="I39" s="158" t="str">
        <f>IF(Table4[[#This Row],[Safety Impact 
(Risk ID'# or N/A)]]&gt;0,Table4[[#This Row],[Safety Impact 
(Risk ID'# or N/A)]],"")</f>
        <v/>
      </c>
      <c r="J39" s="102" t="str">
        <f>Table4[[#This Row],[Security 
Risk 
Level]]</f>
        <v>LOW</v>
      </c>
      <c r="K39"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39" s="104" t="str">
        <f>Table4[[#This Row],[Security Risk LevelP]]</f>
        <v>LOW</v>
      </c>
      <c r="M39" s="158" t="str">
        <f>IF(Table4[[#This Row],[Residual Security Risk Acceptability Justification]]&gt;0,Table4[[#This Row],[Residual Security Risk Acceptability Justification]],"")</f>
        <v/>
      </c>
    </row>
    <row r="40" spans="1:13" s="29" customFormat="1" ht="84" x14ac:dyDescent="0.35">
      <c r="A40" s="157">
        <f>Table4[[#This Row],[
ID '#]]</f>
        <v>36</v>
      </c>
      <c r="B40" s="156" t="str">
        <f>IF(Table4[[#This Row],[T ID]]&gt;0,Table4[[#This Row],[T ID]],"")</f>
        <v>T02</v>
      </c>
      <c r="C40" s="99" t="str">
        <f>Table4[[#This Row],[Threat Event(s)]]</f>
        <v>Deliver directed malware
(CAPEC-185)</v>
      </c>
      <c r="D40" s="158" t="str">
        <f>IF(Table4[[#This Row],[V ID]]&gt;0,Table4[[#This Row],[V ID]],"")</f>
        <v>V16</v>
      </c>
      <c r="E40" s="99" t="str">
        <f>Table4[[#This Row],[Vulnerabilities]]</f>
        <v>Unencrypted data at rest in all possible locations</v>
      </c>
      <c r="F40" s="159" t="str">
        <f>IF(Table4[[#This Row],[A ID]]&gt;0,Table4[[#This Row],[A ID]],"")</f>
        <v>A02</v>
      </c>
      <c r="G40" s="99" t="str">
        <f>Table4[[#This Row],[Asset]]</f>
        <v>Tablet OS/network details &amp; Tablet Application</v>
      </c>
      <c r="H40" s="160" t="str">
        <f>IF(Table4[[#This Row],[Impact Description]]&gt;0,Table4[[#This Row],[Impact Description]],"")</f>
        <v xml:space="preserve">1) Malicious utilization of  computer resources 
2) computing power  
3) denial of service attacks, 
4) ransomware attack 
5) Bitcoin mining, etc </v>
      </c>
      <c r="I40" s="158" t="str">
        <f>IF(Table4[[#This Row],[Safety Impact 
(Risk ID'# or N/A)]]&gt;0,Table4[[#This Row],[Safety Impact 
(Risk ID'# or N/A)]],"")</f>
        <v/>
      </c>
      <c r="J40" s="102" t="str">
        <f>Table4[[#This Row],[Security 
Risk 
Level]]</f>
        <v>LOW</v>
      </c>
      <c r="K40"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40" s="104" t="str">
        <f>Table4[[#This Row],[Security Risk LevelP]]</f>
        <v/>
      </c>
      <c r="M40" s="158" t="str">
        <f>IF(Table4[[#This Row],[Residual Security Risk Acceptability Justification]]&gt;0,Table4[[#This Row],[Residual Security Risk Acceptability Justification]],"")</f>
        <v/>
      </c>
    </row>
    <row r="41" spans="1:13" s="29" customFormat="1" ht="84" x14ac:dyDescent="0.35">
      <c r="A41" s="157">
        <f>Table4[[#This Row],[
ID '#]]</f>
        <v>37</v>
      </c>
      <c r="B41" s="156" t="str">
        <f>IF(Table4[[#This Row],[T ID]]&gt;0,Table4[[#This Row],[T ID]],"")</f>
        <v>T02</v>
      </c>
      <c r="C41" s="99" t="str">
        <f>Table4[[#This Row],[Threat Event(s)]]</f>
        <v>Deliver directed malware
(CAPEC-185)</v>
      </c>
      <c r="D41" s="158" t="str">
        <f>IF(Table4[[#This Row],[V ID]]&gt;0,Table4[[#This Row],[V ID]],"")</f>
        <v>V16</v>
      </c>
      <c r="E41" s="99" t="str">
        <f>Table4[[#This Row],[Vulnerabilities]]</f>
        <v>Unencrypted data at rest in all possible locations</v>
      </c>
      <c r="F41" s="159" t="str">
        <f>IF(Table4[[#This Row],[A ID]]&gt;0,Table4[[#This Row],[A ID]],"")</f>
        <v>A11</v>
      </c>
      <c r="G41" s="99" t="str">
        <f>Table4[[#This Row],[Asset]]</f>
        <v>Smart medic app (Stryker Admin Web Application)</v>
      </c>
      <c r="H41" s="160" t="str">
        <f>IF(Table4[[#This Row],[Impact Description]]&gt;0,Table4[[#This Row],[Impact Description]],"")</f>
        <v xml:space="preserve">1) Malicious utilization of  computer resources 
2) computing power  
3) denial of service attacks, 
4) ransomware attack 
5) Bitcoin mining, etc </v>
      </c>
      <c r="I41" s="158" t="str">
        <f>IF(Table4[[#This Row],[Safety Impact 
(Risk ID'# or N/A)]]&gt;0,Table4[[#This Row],[Safety Impact 
(Risk ID'# or N/A)]],"")</f>
        <v/>
      </c>
      <c r="J41" s="102" t="str">
        <f>Table4[[#This Row],[Security 
Risk 
Level]]</f>
        <v>LOW</v>
      </c>
      <c r="K41" s="158"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41" s="104" t="str">
        <f>Table4[[#This Row],[Security Risk LevelP]]</f>
        <v/>
      </c>
      <c r="M41" s="158" t="str">
        <f>IF(Table4[[#This Row],[Residual Security Risk Acceptability Justification]]&gt;0,Table4[[#This Row],[Residual Security Risk Acceptability Justification]],"")</f>
        <v/>
      </c>
    </row>
    <row r="42" spans="1:13" s="29" customFormat="1" ht="70" x14ac:dyDescent="0.35">
      <c r="A42" s="157">
        <f>Table4[[#This Row],[
ID '#]]</f>
        <v>38</v>
      </c>
      <c r="B42" s="156" t="str">
        <f>IF(Table4[[#This Row],[T ID]]&gt;0,Table4[[#This Row],[T ID]],"")</f>
        <v>T03</v>
      </c>
      <c r="C42" s="99" t="str">
        <f>Table4[[#This Row],[Threat Event(s)]]</f>
        <v>Gaining Access
([S]TRID[E])</v>
      </c>
      <c r="D42" s="158" t="str">
        <f>IF(Table4[[#This Row],[V ID]]&gt;0,Table4[[#This Row],[V ID]],"")</f>
        <v>V12</v>
      </c>
      <c r="E42" s="99" t="str">
        <f>Table4[[#This Row],[Vulnerabilities]]</f>
        <v>Unprotected network port(s) on network devices and connection points</v>
      </c>
      <c r="F42" s="159" t="str">
        <f>IF(Table4[[#This Row],[A ID]]&gt;0,Table4[[#This Row],[A ID]],"")</f>
        <v>A02</v>
      </c>
      <c r="G42" s="99" t="str">
        <f>Table4[[#This Row],[Asset]]</f>
        <v>Tablet OS/network details &amp; Tablet Application</v>
      </c>
      <c r="H42" s="160" t="str">
        <f>IF(Table4[[#This Row],[Impact Description]]&gt;0,Table4[[#This Row],[Impact Description]],"")</f>
        <v>1)  Obtain knowledge about system internals
2)  Attempt to find attack vectors 
3)  Possibilities for exploitation of publicly known Vulnerabilities.</v>
      </c>
      <c r="I42" s="158" t="str">
        <f>IF(Table4[[#This Row],[Safety Impact 
(Risk ID'# or N/A)]]&gt;0,Table4[[#This Row],[Safety Impact 
(Risk ID'# or N/A)]],"")</f>
        <v/>
      </c>
      <c r="J42" s="102" t="str">
        <f>Table4[[#This Row],[Security 
Risk 
Level]]</f>
        <v>LOW</v>
      </c>
      <c r="K42"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42" s="104" t="str">
        <f>Table4[[#This Row],[Security Risk LevelP]]</f>
        <v/>
      </c>
      <c r="M42" s="158" t="str">
        <f>IF(Table4[[#This Row],[Residual Security Risk Acceptability Justification]]&gt;0,Table4[[#This Row],[Residual Security Risk Acceptability Justification]],"")</f>
        <v/>
      </c>
    </row>
    <row r="43" spans="1:13" s="29" customFormat="1" ht="70" x14ac:dyDescent="0.35">
      <c r="A43" s="157">
        <f>Table4[[#This Row],[
ID '#]]</f>
        <v>39</v>
      </c>
      <c r="B43" s="156" t="str">
        <f>IF(Table4[[#This Row],[T ID]]&gt;0,Table4[[#This Row],[T ID]],"")</f>
        <v>T03</v>
      </c>
      <c r="C43" s="99" t="str">
        <f>Table4[[#This Row],[Threat Event(s)]]</f>
        <v>Gaining Access
([S]TRID[E])</v>
      </c>
      <c r="D43" s="158" t="str">
        <f>IF(Table4[[#This Row],[V ID]]&gt;0,Table4[[#This Row],[V ID]],"")</f>
        <v>V12</v>
      </c>
      <c r="E43" s="99" t="str">
        <f>Table4[[#This Row],[Vulnerabilities]]</f>
        <v>Unprotected network port(s) on network devices and connection points</v>
      </c>
      <c r="F43" s="159" t="str">
        <f>IF(Table4[[#This Row],[A ID]]&gt;0,Table4[[#This Row],[A ID]],"")</f>
        <v>A11</v>
      </c>
      <c r="G43" s="99" t="str">
        <f>Table4[[#This Row],[Asset]]</f>
        <v>Smart medic app (Stryker Admin Web Application)</v>
      </c>
      <c r="H43" s="160" t="str">
        <f>IF(Table4[[#This Row],[Impact Description]]&gt;0,Table4[[#This Row],[Impact Description]],"")</f>
        <v>1)  Obtain knowledge about system internals
2)  Attempt to find attack vectors 
3)  Possibilities for exploitation of publicly known Vulnerabilities.</v>
      </c>
      <c r="I43" s="158" t="str">
        <f>IF(Table4[[#This Row],[Safety Impact 
(Risk ID'# or N/A)]]&gt;0,Table4[[#This Row],[Safety Impact 
(Risk ID'# or N/A)]],"")</f>
        <v/>
      </c>
      <c r="J43" s="102" t="str">
        <f>Table4[[#This Row],[Security 
Risk 
Level]]</f>
        <v>MEDIUM</v>
      </c>
      <c r="K43" s="158"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104" t="str">
        <f>Table4[[#This Row],[Security Risk LevelP]]</f>
        <v/>
      </c>
      <c r="M43" s="158" t="str">
        <f>IF(Table4[[#This Row],[Residual Security Risk Acceptability Justification]]&gt;0,Table4[[#This Row],[Residual Security Risk Acceptability Justification]],"")</f>
        <v/>
      </c>
    </row>
    <row r="44" spans="1:13" s="29" customFormat="1" ht="70" x14ac:dyDescent="0.35">
      <c r="A44" s="157">
        <f>Table4[[#This Row],[
ID '#]]</f>
        <v>40</v>
      </c>
      <c r="B44" s="156" t="str">
        <f>IF(Table4[[#This Row],[T ID]]&gt;0,Table4[[#This Row],[T ID]],"")</f>
        <v>T03</v>
      </c>
      <c r="C44" s="99" t="str">
        <f>Table4[[#This Row],[Threat Event(s)]]</f>
        <v>Gaining Access
([S]TRID[E])</v>
      </c>
      <c r="D44" s="158" t="str">
        <f>IF(Table4[[#This Row],[V ID]]&gt;0,Table4[[#This Row],[V ID]],"")</f>
        <v>V12</v>
      </c>
      <c r="E44" s="99" t="str">
        <f>Table4[[#This Row],[Vulnerabilities]]</f>
        <v>Unprotected network port(s) on network devices and connection points</v>
      </c>
      <c r="F44" s="159" t="str">
        <f>IF(Table4[[#This Row],[A ID]]&gt;0,Table4[[#This Row],[A ID]],"")</f>
        <v>A01</v>
      </c>
      <c r="G44" s="99" t="str">
        <f>Table4[[#This Row],[Asset]]</f>
        <v>Tablet Resources - web cam, microphone, OTG devices, Removable USB, Tablet Application, Network interfaces (Bluetooth, Wifi)</v>
      </c>
      <c r="H44" s="160" t="str">
        <f>IF(Table4[[#This Row],[Impact Description]]&gt;0,Table4[[#This Row],[Impact Description]],"")</f>
        <v>1)  Obtain knowledge about system internals
2)  Attempt to find attack vectors 
3)  Possibilities for exploitation of publicly known Vulnerabilities.</v>
      </c>
      <c r="I44" s="158" t="str">
        <f>IF(Table4[[#This Row],[Safety Impact 
(Risk ID'# or N/A)]]&gt;0,Table4[[#This Row],[Safety Impact 
(Risk ID'# or N/A)]],"")</f>
        <v/>
      </c>
      <c r="J44" s="102" t="str">
        <f>Table4[[#This Row],[Security 
Risk 
Level]]</f>
        <v>LOW</v>
      </c>
      <c r="K44"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44" s="104" t="str">
        <f>Table4[[#This Row],[Security Risk LevelP]]</f>
        <v>LOW</v>
      </c>
      <c r="M44" s="158" t="str">
        <f>IF(Table4[[#This Row],[Residual Security Risk Acceptability Justification]]&gt;0,Table4[[#This Row],[Residual Security Risk Acceptability Justification]],"")</f>
        <v/>
      </c>
    </row>
    <row r="45" spans="1:13" s="29" customFormat="1" ht="70" x14ac:dyDescent="0.35">
      <c r="A45" s="157">
        <f>Table4[[#This Row],[
ID '#]]</f>
        <v>41</v>
      </c>
      <c r="B45" s="156" t="str">
        <f>IF(Table4[[#This Row],[T ID]]&gt;0,Table4[[#This Row],[T ID]],"")</f>
        <v>T03</v>
      </c>
      <c r="C45" s="99" t="str">
        <f>Table4[[#This Row],[Threat Event(s)]]</f>
        <v>Gaining Access
([S]TRID[E])</v>
      </c>
      <c r="D45" s="158" t="str">
        <f>IF(Table4[[#This Row],[V ID]]&gt;0,Table4[[#This Row],[V ID]],"")</f>
        <v>V01</v>
      </c>
      <c r="E45" s="99" t="str">
        <f>Table4[[#This Row],[Vulnerabilities]]</f>
        <v>Devices with default passwords needs to be checked for bruteforce attacks</v>
      </c>
      <c r="F45" s="159" t="str">
        <f>IF(Table4[[#This Row],[A ID]]&gt;0,Table4[[#This Row],[A ID]],"")</f>
        <v>A04</v>
      </c>
      <c r="G45" s="99" t="str">
        <f>Table4[[#This Row],[Asset]]</f>
        <v>Authentication/Authorisation method of all device(s)/app</v>
      </c>
      <c r="H45" s="160" t="str">
        <f>IF(Table4[[#This Row],[Impact Description]]&gt;0,Table4[[#This Row],[Impact Description]],"")</f>
        <v>1)  Obtain knowledge about system internals
2)  Attempt to find attack vectors 
3)  Possibilities for exploitation of publicly known Vulnerabilities.</v>
      </c>
      <c r="I45" s="158" t="str">
        <f>IF(Table4[[#This Row],[Safety Impact 
(Risk ID'# or N/A)]]&gt;0,Table4[[#This Row],[Safety Impact 
(Risk ID'# or N/A)]],"")</f>
        <v/>
      </c>
      <c r="J45" s="102" t="str">
        <f>Table4[[#This Row],[Security 
Risk 
Level]]</f>
        <v>MEDIUM</v>
      </c>
      <c r="K45" s="158"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104" t="str">
        <f>Table4[[#This Row],[Security Risk LevelP]]</f>
        <v/>
      </c>
      <c r="M45" s="158" t="str">
        <f>IF(Table4[[#This Row],[Residual Security Risk Acceptability Justification]]&gt;0,Table4[[#This Row],[Residual Security Risk Acceptability Justification]],"")</f>
        <v/>
      </c>
    </row>
    <row r="46" spans="1:13" s="29" customFormat="1" ht="70" x14ac:dyDescent="0.35">
      <c r="A46" s="157">
        <f>Table4[[#This Row],[
ID '#]]</f>
        <v>42</v>
      </c>
      <c r="B46" s="156" t="str">
        <f>IF(Table4[[#This Row],[T ID]]&gt;0,Table4[[#This Row],[T ID]],"")</f>
        <v>T03</v>
      </c>
      <c r="C46" s="99" t="str">
        <f>Table4[[#This Row],[Threat Event(s)]]</f>
        <v>Gaining Access
([S]TRID[E])</v>
      </c>
      <c r="D46" s="158" t="str">
        <f>IF(Table4[[#This Row],[V ID]]&gt;0,Table4[[#This Row],[V ID]],"")</f>
        <v>V01</v>
      </c>
      <c r="E46" s="99" t="str">
        <f>Table4[[#This Row],[Vulnerabilities]]</f>
        <v>Devices with default passwords needs to be checked for bruteforce attacks</v>
      </c>
      <c r="F46" s="159" t="str">
        <f>IF(Table4[[#This Row],[A ID]]&gt;0,Table4[[#This Row],[A ID]],"")</f>
        <v>A07</v>
      </c>
      <c r="G46" s="99" t="str">
        <f>Table4[[#This Row],[Asset]]</f>
        <v>Interface/API Communication</v>
      </c>
      <c r="H46" s="160" t="str">
        <f>IF(Table4[[#This Row],[Impact Description]]&gt;0,Table4[[#This Row],[Impact Description]],"")</f>
        <v>1)  Obtain knowledge about system internals
2)  Attempt to find attack vectors 
3)  Possibilities for exploitation of publicly known Vulnerabilities.</v>
      </c>
      <c r="I46" s="158" t="str">
        <f>IF(Table4[[#This Row],[Safety Impact 
(Risk ID'# or N/A)]]&gt;0,Table4[[#This Row],[Safety Impact 
(Risk ID'# or N/A)]],"")</f>
        <v/>
      </c>
      <c r="J46" s="102" t="str">
        <f>Table4[[#This Row],[Security 
Risk 
Level]]</f>
        <v>LOW</v>
      </c>
      <c r="K46" s="158"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4. Maintain Access Logs
5. Maintain Server Security Logs
6. Stronger authentication methods</v>
      </c>
      <c r="L46" s="104" t="str">
        <f>Table4[[#This Row],[Security Risk LevelP]]</f>
        <v/>
      </c>
      <c r="M46" s="158" t="str">
        <f>IF(Table4[[#This Row],[Residual Security Risk Acceptability Justification]]&gt;0,Table4[[#This Row],[Residual Security Risk Acceptability Justification]],"")</f>
        <v/>
      </c>
    </row>
    <row r="47" spans="1:13" s="29" customFormat="1" ht="70" x14ac:dyDescent="0.35">
      <c r="A47" s="157">
        <f>Table4[[#This Row],[
ID '#]]</f>
        <v>43</v>
      </c>
      <c r="B47" s="156" t="str">
        <f>IF(Table4[[#This Row],[T ID]]&gt;0,Table4[[#This Row],[T ID]],"")</f>
        <v>T03</v>
      </c>
      <c r="C47" s="99" t="str">
        <f>Table4[[#This Row],[Threat Event(s)]]</f>
        <v>Gaining Access
([S]TRID[E])</v>
      </c>
      <c r="D47" s="158" t="str">
        <f>IF(Table4[[#This Row],[V ID]]&gt;0,Table4[[#This Row],[V ID]],"")</f>
        <v>V03</v>
      </c>
      <c r="E47" s="99" t="str">
        <f>Table4[[#This Row],[Vulnerabilities]]</f>
        <v>The password complexity or location vulnerability. Like weak passwords and hardcoded passwords.</v>
      </c>
      <c r="F47" s="159" t="str">
        <f>IF(Table4[[#This Row],[A ID]]&gt;0,Table4[[#This Row],[A ID]],"")</f>
        <v>A04</v>
      </c>
      <c r="G47" s="99" t="str">
        <f>Table4[[#This Row],[Asset]]</f>
        <v>Authentication/Authorisation method of all device(s)/app</v>
      </c>
      <c r="H47" s="160" t="str">
        <f>IF(Table4[[#This Row],[Impact Description]]&gt;0,Table4[[#This Row],[Impact Description]],"")</f>
        <v>1)  Obtain knowledge about system internals
2)  Attempt to find attack vectors 
3)  Possibilities for exploitation of publicly known Vulnerabilities.</v>
      </c>
      <c r="I47" s="158" t="str">
        <f>IF(Table4[[#This Row],[Safety Impact 
(Risk ID'# or N/A)]]&gt;0,Table4[[#This Row],[Safety Impact 
(Risk ID'# or N/A)]],"")</f>
        <v/>
      </c>
      <c r="J47" s="102" t="str">
        <f>Table4[[#This Row],[Security 
Risk 
Level]]</f>
        <v>MEDIUM</v>
      </c>
      <c r="K47" s="158"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 log - Maintain Access logs (login (attempted &amp; failed), logoff, id change)
5. Audit log - Maintain security logs (such as change/modification of system configuration settings, services, etc.) 
5 Maintain Server Security Logs
6. Stronger authentication methods</v>
      </c>
      <c r="L47" s="104" t="str">
        <f>Table4[[#This Row],[Security Risk LevelP]]</f>
        <v/>
      </c>
      <c r="M47" s="158" t="str">
        <f>IF(Table4[[#This Row],[Residual Security Risk Acceptability Justification]]&gt;0,Table4[[#This Row],[Residual Security Risk Acceptability Justification]],"")</f>
        <v/>
      </c>
    </row>
    <row r="48" spans="1:13" s="29" customFormat="1" ht="70" x14ac:dyDescent="0.35">
      <c r="A48" s="157">
        <f>Table4[[#This Row],[
ID '#]]</f>
        <v>44</v>
      </c>
      <c r="B48" s="156" t="str">
        <f>IF(Table4[[#This Row],[T ID]]&gt;0,Table4[[#This Row],[T ID]],"")</f>
        <v>T03</v>
      </c>
      <c r="C48" s="99" t="str">
        <f>Table4[[#This Row],[Threat Event(s)]]</f>
        <v>Gaining Access
([S]TRID[E])</v>
      </c>
      <c r="D48" s="158" t="str">
        <f>IF(Table4[[#This Row],[V ID]]&gt;0,Table4[[#This Row],[V ID]],"")</f>
        <v>V04</v>
      </c>
      <c r="E48" s="99" t="str">
        <f>Table4[[#This Row],[Vulnerabilities]]</f>
        <v>Checking authentication modes for possible hacks and bypasses</v>
      </c>
      <c r="F48" s="159" t="str">
        <f>IF(Table4[[#This Row],[A ID]]&gt;0,Table4[[#This Row],[A ID]],"")</f>
        <v>A04</v>
      </c>
      <c r="G48" s="99" t="str">
        <f>Table4[[#This Row],[Asset]]</f>
        <v>Authentication/Authorisation method of all device(s)/app</v>
      </c>
      <c r="H48" s="160" t="str">
        <f>IF(Table4[[#This Row],[Impact Description]]&gt;0,Table4[[#This Row],[Impact Description]],"")</f>
        <v>1)  Obtain knowledge about system internals
2)  Attempt to find attack vectors 
3)  Possibilities for exploitation of publicly known Vulnerabilities.</v>
      </c>
      <c r="I48" s="158" t="str">
        <f>IF(Table4[[#This Row],[Safety Impact 
(Risk ID'# or N/A)]]&gt;0,Table4[[#This Row],[Safety Impact 
(Risk ID'# or N/A)]],"")</f>
        <v/>
      </c>
      <c r="J48" s="102" t="str">
        <f>Table4[[#This Row],[Security 
Risk 
Level]]</f>
        <v>LOW</v>
      </c>
      <c r="K48" s="158"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104" t="str">
        <f>Table4[[#This Row],[Security Risk LevelP]]</f>
        <v/>
      </c>
      <c r="M48" s="158" t="str">
        <f>IF(Table4[[#This Row],[Residual Security Risk Acceptability Justification]]&gt;0,Table4[[#This Row],[Residual Security Risk Acceptability Justification]],"")</f>
        <v/>
      </c>
    </row>
    <row r="49" spans="1:13" s="29" customFormat="1" ht="70" x14ac:dyDescent="0.35">
      <c r="A49" s="157">
        <f>Table4[[#This Row],[
ID '#]]</f>
        <v>45</v>
      </c>
      <c r="B49" s="156" t="str">
        <f>IF(Table4[[#This Row],[T ID]]&gt;0,Table4[[#This Row],[T ID]],"")</f>
        <v>T03</v>
      </c>
      <c r="C49" s="99" t="str">
        <f>Table4[[#This Row],[Threat Event(s)]]</f>
        <v>Gaining Access
([S]TRID[E])</v>
      </c>
      <c r="D49" s="158" t="str">
        <f>IF(Table4[[#This Row],[V ID]]&gt;0,Table4[[#This Row],[V ID]],"")</f>
        <v>V04</v>
      </c>
      <c r="E49" s="99" t="str">
        <f>Table4[[#This Row],[Vulnerabilities]]</f>
        <v>Checking authentication modes for possible hacks and bypasses</v>
      </c>
      <c r="F49" s="159" t="str">
        <f>IF(Table4[[#This Row],[A ID]]&gt;0,Table4[[#This Row],[A ID]],"")</f>
        <v>A11</v>
      </c>
      <c r="G49" s="99" t="str">
        <f>Table4[[#This Row],[Asset]]</f>
        <v>Smart medic app (Stryker Admin Web Application)</v>
      </c>
      <c r="H49" s="160" t="str">
        <f>IF(Table4[[#This Row],[Impact Description]]&gt;0,Table4[[#This Row],[Impact Description]],"")</f>
        <v>1)  Obtain knowledge about system internals
2)  Attempt to find attack vectors 
3)  Possibilities for exploitation of publicly known Vulnerabilities.</v>
      </c>
      <c r="I49" s="158" t="str">
        <f>IF(Table4[[#This Row],[Safety Impact 
(Risk ID'# or N/A)]]&gt;0,Table4[[#This Row],[Safety Impact 
(Risk ID'# or N/A)]],"")</f>
        <v/>
      </c>
      <c r="J49" s="102" t="str">
        <f>Table4[[#This Row],[Security 
Risk 
Level]]</f>
        <v>LOW</v>
      </c>
      <c r="K49" s="158"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104" t="str">
        <f>Table4[[#This Row],[Security Risk LevelP]]</f>
        <v/>
      </c>
      <c r="M49" s="158" t="str">
        <f>IF(Table4[[#This Row],[Residual Security Risk Acceptability Justification]]&gt;0,Table4[[#This Row],[Residual Security Risk Acceptability Justification]],"")</f>
        <v/>
      </c>
    </row>
    <row r="50" spans="1:13" s="29" customFormat="1" ht="70" x14ac:dyDescent="0.35">
      <c r="A50" s="157">
        <f>Table4[[#This Row],[
ID '#]]</f>
        <v>46</v>
      </c>
      <c r="B50" s="156" t="str">
        <f>IF(Table4[[#This Row],[T ID]]&gt;0,Table4[[#This Row],[T ID]],"")</f>
        <v>T03</v>
      </c>
      <c r="C50" s="99" t="str">
        <f>Table4[[#This Row],[Threat Event(s)]]</f>
        <v>Gaining Access
([S]TRID[E])</v>
      </c>
      <c r="D50" s="158" t="str">
        <f>IF(Table4[[#This Row],[V ID]]&gt;0,Table4[[#This Row],[V ID]],"")</f>
        <v>V04</v>
      </c>
      <c r="E50" s="99" t="str">
        <f>Table4[[#This Row],[Vulnerabilities]]</f>
        <v>Checking authentication modes for possible hacks and bypasses</v>
      </c>
      <c r="F50" s="159" t="str">
        <f>IF(Table4[[#This Row],[A ID]]&gt;0,Table4[[#This Row],[A ID]],"")</f>
        <v>A12</v>
      </c>
      <c r="G50" s="99" t="str">
        <f>Table4[[#This Row],[Asset]]</f>
        <v>Smart medic app (Azure Portal Administrator)</v>
      </c>
      <c r="H50" s="160" t="str">
        <f>IF(Table4[[#This Row],[Impact Description]]&gt;0,Table4[[#This Row],[Impact Description]],"")</f>
        <v>1)  Obtain knowledge about system internals
2)  Attempt to find attack vectors 
3)  Possibilities for exploitation of publicly known Vulnerabilities.</v>
      </c>
      <c r="I50" s="158" t="str">
        <f>IF(Table4[[#This Row],[Safety Impact 
(Risk ID'# or N/A)]]&gt;0,Table4[[#This Row],[Safety Impact 
(Risk ID'# or N/A)]],"")</f>
        <v/>
      </c>
      <c r="J50" s="102" t="str">
        <f>Table4[[#This Row],[Security 
Risk 
Level]]</f>
        <v>LOW</v>
      </c>
      <c r="K50" s="158"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104" t="str">
        <f>Table4[[#This Row],[Security Risk LevelP]]</f>
        <v/>
      </c>
      <c r="M50" s="158" t="str">
        <f>IF(Table4[[#This Row],[Residual Security Risk Acceptability Justification]]&gt;0,Table4[[#This Row],[Residual Security Risk Acceptability Justification]],"")</f>
        <v/>
      </c>
    </row>
    <row r="51" spans="1:13" s="29" customFormat="1" ht="70" x14ac:dyDescent="0.35">
      <c r="A51" s="157">
        <f>Table4[[#This Row],[
ID '#]]</f>
        <v>47</v>
      </c>
      <c r="B51" s="156" t="str">
        <f>IF(Table4[[#This Row],[T ID]]&gt;0,Table4[[#This Row],[T ID]],"")</f>
        <v>T03</v>
      </c>
      <c r="C51" s="99" t="str">
        <f>Table4[[#This Row],[Threat Event(s)]]</f>
        <v>Gaining Access
([S]TRID[E])</v>
      </c>
      <c r="D51" s="158" t="str">
        <f>IF(Table4[[#This Row],[V ID]]&gt;0,Table4[[#This Row],[V ID]],"")</f>
        <v>V13</v>
      </c>
      <c r="E51" s="99" t="str">
        <f>Table4[[#This Row],[Vulnerabilities]]</f>
        <v>Unprotected external USB Port on the tablet/devices.</v>
      </c>
      <c r="F51" s="159" t="str">
        <f>IF(Table4[[#This Row],[A ID]]&gt;0,Table4[[#This Row],[A ID]],"")</f>
        <v>A01</v>
      </c>
      <c r="G51" s="99" t="str">
        <f>Table4[[#This Row],[Asset]]</f>
        <v>Tablet Resources - web cam, microphone, OTG devices, Removable USB, Tablet Application, Network interfaces (Bluetooth, Wifi)</v>
      </c>
      <c r="H51" s="160" t="str">
        <f>IF(Table4[[#This Row],[Impact Description]]&gt;0,Table4[[#This Row],[Impact Description]],"")</f>
        <v>1)  Obtain knowledge about system internals
2)  Attempt to find attack vectors 
3)  Possibilities for exploitation of publicly known Vulnerabilities.</v>
      </c>
      <c r="I51" s="158" t="str">
        <f>IF(Table4[[#This Row],[Safety Impact 
(Risk ID'# or N/A)]]&gt;0,Table4[[#This Row],[Safety Impact 
(Risk ID'# or N/A)]],"")</f>
        <v/>
      </c>
      <c r="J51" s="102" t="str">
        <f>Table4[[#This Row],[Security 
Risk 
Level]]</f>
        <v>LOW</v>
      </c>
      <c r="K51"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1" s="104" t="str">
        <f>Table4[[#This Row],[Security Risk LevelP]]</f>
        <v/>
      </c>
      <c r="M51" s="158" t="str">
        <f>IF(Table4[[#This Row],[Residual Security Risk Acceptability Justification]]&gt;0,Table4[[#This Row],[Residual Security Risk Acceptability Justification]],"")</f>
        <v/>
      </c>
    </row>
    <row r="52" spans="1:13" s="29" customFormat="1" ht="70" x14ac:dyDescent="0.35">
      <c r="A52" s="157">
        <f>Table4[[#This Row],[
ID '#]]</f>
        <v>48</v>
      </c>
      <c r="B52" s="156" t="str">
        <f>IF(Table4[[#This Row],[T ID]]&gt;0,Table4[[#This Row],[T ID]],"")</f>
        <v>T04</v>
      </c>
      <c r="C52" s="99" t="str">
        <f>Table4[[#This Row],[Threat Event(s)]]</f>
        <v>Maintaining Access
(TTP)</v>
      </c>
      <c r="D52" s="158" t="str">
        <f>IF(Table4[[#This Row],[V ID]]&gt;0,Table4[[#This Row],[V ID]],"")</f>
        <v>V01</v>
      </c>
      <c r="E52" s="99" t="str">
        <f>Table4[[#This Row],[Vulnerabilities]]</f>
        <v>Devices with default passwords needs to be checked for bruteforce attacks</v>
      </c>
      <c r="F52" s="159" t="str">
        <f>IF(Table4[[#This Row],[A ID]]&gt;0,Table4[[#This Row],[A ID]],"")</f>
        <v>A04</v>
      </c>
      <c r="G52" s="99" t="str">
        <f>Table4[[#This Row],[Asset]]</f>
        <v>Authentication/Authorisation method of all device(s)/app</v>
      </c>
      <c r="H52" s="160" t="str">
        <f>IF(Table4[[#This Row],[Impact Description]]&gt;0,Table4[[#This Row],[Impact Description]],"")</f>
        <v>1)  Obtain knowledge about system internals
2)  Attempt to find attack vectors 
3)  Possibilities for exploitation of publicly known Vulnerabilities.</v>
      </c>
      <c r="I52" s="158" t="str">
        <f>IF(Table4[[#This Row],[Safety Impact 
(Risk ID'# or N/A)]]&gt;0,Table4[[#This Row],[Safety Impact 
(Risk ID'# or N/A)]],"")</f>
        <v/>
      </c>
      <c r="J52" s="102" t="str">
        <f>Table4[[#This Row],[Security 
Risk 
Level]]</f>
        <v>LOW</v>
      </c>
      <c r="K52" s="158"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 log - Maintain Access logs (login (attempted &amp; failed), logoff, id change)
5. Audit log - Maintain security logs (such as change/modification of system configuration settings, services, etc.) 
4. Maintain Access Logs
5. Maintain Server Security Logs
6. Stronger authentication methods</v>
      </c>
      <c r="L52" s="104" t="str">
        <f>Table4[[#This Row],[Security Risk LevelP]]</f>
        <v/>
      </c>
      <c r="M52" s="158" t="str">
        <f>IF(Table4[[#This Row],[Residual Security Risk Acceptability Justification]]&gt;0,Table4[[#This Row],[Residual Security Risk Acceptability Justification]],"")</f>
        <v/>
      </c>
    </row>
    <row r="53" spans="1:13" s="29" customFormat="1" ht="70" x14ac:dyDescent="0.35">
      <c r="A53" s="157">
        <f>Table4[[#This Row],[
ID '#]]</f>
        <v>49</v>
      </c>
      <c r="B53" s="156" t="str">
        <f>IF(Table4[[#This Row],[T ID]]&gt;0,Table4[[#This Row],[T ID]],"")</f>
        <v>T04</v>
      </c>
      <c r="C53" s="99" t="str">
        <f>Table4[[#This Row],[Threat Event(s)]]</f>
        <v>Maintaining Access
(TTP)</v>
      </c>
      <c r="D53" s="158" t="str">
        <f>IF(Table4[[#This Row],[V ID]]&gt;0,Table4[[#This Row],[V ID]],"")</f>
        <v>V03</v>
      </c>
      <c r="E53" s="99" t="str">
        <f>Table4[[#This Row],[Vulnerabilities]]</f>
        <v>The password complexity or location vulnerability. Like weak passwords and hardcoded passwords.</v>
      </c>
      <c r="F53" s="159" t="str">
        <f>IF(Table4[[#This Row],[A ID]]&gt;0,Table4[[#This Row],[A ID]],"")</f>
        <v>A04</v>
      </c>
      <c r="G53" s="99" t="str">
        <f>Table4[[#This Row],[Asset]]</f>
        <v>Authentication/Authorisation method of all device(s)/app</v>
      </c>
      <c r="H53" s="160" t="str">
        <f>IF(Table4[[#This Row],[Impact Description]]&gt;0,Table4[[#This Row],[Impact Description]],"")</f>
        <v>1)  Obtain knowledge about system internals
2)  Attempt to find attack vectors 
3)  Possibilities for exploitation of publicly known Vulnerabilities.</v>
      </c>
      <c r="I53" s="158" t="str">
        <f>IF(Table4[[#This Row],[Safety Impact 
(Risk ID'# or N/A)]]&gt;0,Table4[[#This Row],[Safety Impact 
(Risk ID'# or N/A)]],"")</f>
        <v/>
      </c>
      <c r="J53" s="102" t="str">
        <f>Table4[[#This Row],[Security 
Risk 
Level]]</f>
        <v>LOW</v>
      </c>
      <c r="K53" s="158"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 log - Maintain Access logs (login (attempted &amp; failed), logoff, id change)
5. Audit log - Maintain security logs (such as change/modification of system configuration settings, services, etc.) 
4. Maintain Access Logs
5. Maintain Server Security Logs
6. Stronger authentication methods</v>
      </c>
      <c r="L53" s="104" t="str">
        <f>Table4[[#This Row],[Security Risk LevelP]]</f>
        <v/>
      </c>
      <c r="M53" s="158" t="str">
        <f>IF(Table4[[#This Row],[Residual Security Risk Acceptability Justification]]&gt;0,Table4[[#This Row],[Residual Security Risk Acceptability Justification]],"")</f>
        <v/>
      </c>
    </row>
    <row r="54" spans="1:13" s="29" customFormat="1" ht="112" x14ac:dyDescent="0.35">
      <c r="A54" s="157">
        <f>Table4[[#This Row],[
ID '#]]</f>
        <v>50</v>
      </c>
      <c r="B54" s="156" t="str">
        <f>IF(Table4[[#This Row],[T ID]]&gt;0,Table4[[#This Row],[T ID]],"")</f>
        <v>T05</v>
      </c>
      <c r="C54" s="99" t="str">
        <f>Table4[[#This Row],[Threat Event(s)]]</f>
        <v>Clearing Track
(TTP)</v>
      </c>
      <c r="D54" s="158" t="str">
        <f>IF(Table4[[#This Row],[V ID]]&gt;0,Table4[[#This Row],[V ID]],"")</f>
        <v>V21</v>
      </c>
      <c r="E54" s="99" t="str">
        <f>Table4[[#This Row],[Vulnerabilities]]</f>
        <v>InSecure Configuration for Software/OS on Mobile Devices, Laptops, Workstations, and Servers</v>
      </c>
      <c r="F54" s="159" t="str">
        <f>IF(Table4[[#This Row],[A ID]]&gt;0,Table4[[#This Row],[A ID]],"")</f>
        <v>A01</v>
      </c>
      <c r="G54" s="99" t="str">
        <f>Table4[[#This Row],[Asset]]</f>
        <v>Tablet Resources - web cam, microphone, OTG devices, Removable USB, Tablet Application, Network interfaces (Bluetooth, Wifi)</v>
      </c>
      <c r="H54"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158" t="str">
        <f>IF(Table4[[#This Row],[Safety Impact 
(Risk ID'# or N/A)]]&gt;0,Table4[[#This Row],[Safety Impact 
(Risk ID'# or N/A)]],"")</f>
        <v/>
      </c>
      <c r="J54" s="102" t="str">
        <f>Table4[[#This Row],[Security 
Risk 
Level]]</f>
        <v>LOW</v>
      </c>
      <c r="K54"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4" s="104" t="str">
        <f>Table4[[#This Row],[Security Risk LevelP]]</f>
        <v/>
      </c>
      <c r="M54" s="158" t="str">
        <f>IF(Table4[[#This Row],[Residual Security Risk Acceptability Justification]]&gt;0,Table4[[#This Row],[Residual Security Risk Acceptability Justification]],"")</f>
        <v/>
      </c>
    </row>
    <row r="55" spans="1:13" s="29" customFormat="1" ht="112" x14ac:dyDescent="0.35">
      <c r="A55" s="157">
        <f>Table4[[#This Row],[
ID '#]]</f>
        <v>51</v>
      </c>
      <c r="B55" s="156" t="str">
        <f>IF(Table4[[#This Row],[T ID]]&gt;0,Table4[[#This Row],[T ID]],"")</f>
        <v>T05</v>
      </c>
      <c r="C55" s="99" t="str">
        <f>Table4[[#This Row],[Threat Event(s)]]</f>
        <v>Clearing Track
(TTP)</v>
      </c>
      <c r="D55" s="158" t="str">
        <f>IF(Table4[[#This Row],[V ID]]&gt;0,Table4[[#This Row],[V ID]],"")</f>
        <v>V23</v>
      </c>
      <c r="E55" s="99" t="str">
        <f>Table4[[#This Row],[Vulnerabilities]]</f>
        <v>Outdated  - Software/Hardware</v>
      </c>
      <c r="F55" s="159" t="str">
        <f>IF(Table4[[#This Row],[A ID]]&gt;0,Table4[[#This Row],[A ID]],"")</f>
        <v>A01</v>
      </c>
      <c r="G55" s="99" t="str">
        <f>Table4[[#This Row],[Asset]]</f>
        <v>Tablet Resources - web cam, microphone, OTG devices, Removable USB, Tablet Application, Network interfaces (Bluetooth, Wifi)</v>
      </c>
      <c r="H55"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158" t="str">
        <f>IF(Table4[[#This Row],[Safety Impact 
(Risk ID'# or N/A)]]&gt;0,Table4[[#This Row],[Safety Impact 
(Risk ID'# or N/A)]],"")</f>
        <v/>
      </c>
      <c r="J55" s="102" t="str">
        <f>Table4[[#This Row],[Security 
Risk 
Level]]</f>
        <v>LOW</v>
      </c>
      <c r="K55"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5" s="104" t="str">
        <f>Table4[[#This Row],[Security Risk LevelP]]</f>
        <v/>
      </c>
      <c r="M55" s="158" t="str">
        <f>IF(Table4[[#This Row],[Residual Security Risk Acceptability Justification]]&gt;0,Table4[[#This Row],[Residual Security Risk Acceptability Justification]],"")</f>
        <v/>
      </c>
    </row>
    <row r="56" spans="1:13" s="29" customFormat="1" ht="112" x14ac:dyDescent="0.35">
      <c r="A56" s="157">
        <f>Table4[[#This Row],[
ID '#]]</f>
        <v>52</v>
      </c>
      <c r="B56" s="156" t="str">
        <f>IF(Table4[[#This Row],[T ID]]&gt;0,Table4[[#This Row],[T ID]],"")</f>
        <v>T05</v>
      </c>
      <c r="C56" s="99" t="str">
        <f>Table4[[#This Row],[Threat Event(s)]]</f>
        <v>Clearing Track
(TTP)</v>
      </c>
      <c r="D56" s="158" t="str">
        <f>IF(Table4[[#This Row],[V ID]]&gt;0,Table4[[#This Row],[V ID]],"")</f>
        <v>V07</v>
      </c>
      <c r="E56" s="99" t="str">
        <f>Table4[[#This Row],[Vulnerabilities]]</f>
        <v>Lack of configuration controls for IT assets in the informaion system plan</v>
      </c>
      <c r="F56" s="159" t="str">
        <f>IF(Table4[[#This Row],[A ID]]&gt;0,Table4[[#This Row],[A ID]],"")</f>
        <v>A01</v>
      </c>
      <c r="G56" s="99" t="str">
        <f>Table4[[#This Row],[Asset]]</f>
        <v>Tablet Resources - web cam, microphone, OTG devices, Removable USB, Tablet Application, Network interfaces (Bluetooth, Wifi)</v>
      </c>
      <c r="H56"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158" t="str">
        <f>IF(Table4[[#This Row],[Safety Impact 
(Risk ID'# or N/A)]]&gt;0,Table4[[#This Row],[Safety Impact 
(Risk ID'# or N/A)]],"")</f>
        <v/>
      </c>
      <c r="J56" s="102" t="str">
        <f>Table4[[#This Row],[Security 
Risk 
Level]]</f>
        <v>LOW</v>
      </c>
      <c r="K56"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6" s="104" t="str">
        <f>Table4[[#This Row],[Security Risk LevelP]]</f>
        <v/>
      </c>
      <c r="M56" s="158" t="str">
        <f>IF(Table4[[#This Row],[Residual Security Risk Acceptability Justification]]&gt;0,Table4[[#This Row],[Residual Security Risk Acceptability Justification]],"")</f>
        <v/>
      </c>
    </row>
    <row r="57" spans="1:13" s="29" customFormat="1" ht="112" x14ac:dyDescent="0.35">
      <c r="A57" s="157">
        <f>Table4[[#This Row],[
ID '#]]</f>
        <v>53</v>
      </c>
      <c r="B57" s="156" t="str">
        <f>IF(Table4[[#This Row],[T ID]]&gt;0,Table4[[#This Row],[T ID]],"")</f>
        <v>T05</v>
      </c>
      <c r="C57" s="99" t="str">
        <f>Table4[[#This Row],[Threat Event(s)]]</f>
        <v>Clearing Track
(TTP)</v>
      </c>
      <c r="D57" s="158" t="str">
        <f>IF(Table4[[#This Row],[V ID]]&gt;0,Table4[[#This Row],[V ID]],"")</f>
        <v>V07</v>
      </c>
      <c r="E57" s="99" t="str">
        <f>Table4[[#This Row],[Vulnerabilities]]</f>
        <v>Lack of configuration controls for IT assets in the informaion system plan</v>
      </c>
      <c r="F57" s="159" t="str">
        <f>IF(Table4[[#This Row],[A ID]]&gt;0,Table4[[#This Row],[A ID]],"")</f>
        <v>A05</v>
      </c>
      <c r="G57" s="99" t="str">
        <f>Table4[[#This Row],[Asset]]</f>
        <v>Device Maintainence tool (Hardware/Software)</v>
      </c>
      <c r="H57"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158" t="str">
        <f>IF(Table4[[#This Row],[Safety Impact 
(Risk ID'# or N/A)]]&gt;0,Table4[[#This Row],[Safety Impact 
(Risk ID'# or N/A)]],"")</f>
        <v/>
      </c>
      <c r="J57" s="102" t="str">
        <f>Table4[[#This Row],[Security 
Risk 
Level]]</f>
        <v>LOW</v>
      </c>
      <c r="K57"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7" s="104" t="str">
        <f>Table4[[#This Row],[Security Risk LevelP]]</f>
        <v/>
      </c>
      <c r="M57" s="158" t="str">
        <f>IF(Table4[[#This Row],[Residual Security Risk Acceptability Justification]]&gt;0,Table4[[#This Row],[Residual Security Risk Acceptability Justification]],"")</f>
        <v/>
      </c>
    </row>
    <row r="58" spans="1:13" s="29" customFormat="1" ht="112" x14ac:dyDescent="0.35">
      <c r="A58" s="157">
        <f>Table4[[#This Row],[
ID '#]]</f>
        <v>54</v>
      </c>
      <c r="B58" s="156" t="str">
        <f>IF(Table4[[#This Row],[T ID]]&gt;0,Table4[[#This Row],[T ID]],"")</f>
        <v>T05</v>
      </c>
      <c r="C58" s="99" t="str">
        <f>Table4[[#This Row],[Threat Event(s)]]</f>
        <v>Clearing Track
(TTP)</v>
      </c>
      <c r="D58" s="158" t="str">
        <f>IF(Table4[[#This Row],[V ID]]&gt;0,Table4[[#This Row],[V ID]],"")</f>
        <v>V08</v>
      </c>
      <c r="E58" s="99" t="str">
        <f>Table4[[#This Row],[Vulnerabilities]]</f>
        <v>Ineffective patch management of firware, OS and applications thoughout the information system plan</v>
      </c>
      <c r="F58" s="159" t="str">
        <f>IF(Table4[[#This Row],[A ID]]&gt;0,Table4[[#This Row],[A ID]],"")</f>
        <v>A01</v>
      </c>
      <c r="G58" s="99" t="str">
        <f>Table4[[#This Row],[Asset]]</f>
        <v>Tablet Resources - web cam, microphone, OTG devices, Removable USB, Tablet Application, Network interfaces (Bluetooth, Wifi)</v>
      </c>
      <c r="H58"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158" t="str">
        <f>IF(Table4[[#This Row],[Safety Impact 
(Risk ID'# or N/A)]]&gt;0,Table4[[#This Row],[Safety Impact 
(Risk ID'# or N/A)]],"")</f>
        <v/>
      </c>
      <c r="J58" s="102" t="str">
        <f>Table4[[#This Row],[Security 
Risk 
Level]]</f>
        <v>LOW</v>
      </c>
      <c r="K58"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8" s="104" t="str">
        <f>Table4[[#This Row],[Security Risk LevelP]]</f>
        <v/>
      </c>
      <c r="M58" s="158" t="str">
        <f>IF(Table4[[#This Row],[Residual Security Risk Acceptability Justification]]&gt;0,Table4[[#This Row],[Residual Security Risk Acceptability Justification]],"")</f>
        <v/>
      </c>
    </row>
    <row r="59" spans="1:13" s="29" customFormat="1" ht="112" x14ac:dyDescent="0.35">
      <c r="A59" s="157">
        <f>Table4[[#This Row],[
ID '#]]</f>
        <v>55</v>
      </c>
      <c r="B59" s="156" t="str">
        <f>IF(Table4[[#This Row],[T ID]]&gt;0,Table4[[#This Row],[T ID]],"")</f>
        <v>T05</v>
      </c>
      <c r="C59" s="99" t="str">
        <f>Table4[[#This Row],[Threat Event(s)]]</f>
        <v>Clearing Track
(TTP)</v>
      </c>
      <c r="D59" s="158" t="str">
        <f>IF(Table4[[#This Row],[V ID]]&gt;0,Table4[[#This Row],[V ID]],"")</f>
        <v>V08</v>
      </c>
      <c r="E59" s="99" t="str">
        <f>Table4[[#This Row],[Vulnerabilities]]</f>
        <v>Ineffective patch management of firware, OS and applications thoughout the information system plan</v>
      </c>
      <c r="F59" s="159" t="str">
        <f>IF(Table4[[#This Row],[A ID]]&gt;0,Table4[[#This Row],[A ID]],"")</f>
        <v>A05</v>
      </c>
      <c r="G59" s="99" t="str">
        <f>Table4[[#This Row],[Asset]]</f>
        <v>Device Maintainence tool (Hardware/Software)</v>
      </c>
      <c r="H59"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158" t="str">
        <f>IF(Table4[[#This Row],[Safety Impact 
(Risk ID'# or N/A)]]&gt;0,Table4[[#This Row],[Safety Impact 
(Risk ID'# or N/A)]],"")</f>
        <v/>
      </c>
      <c r="J59" s="102" t="str">
        <f>Table4[[#This Row],[Security 
Risk 
Level]]</f>
        <v>LOW</v>
      </c>
      <c r="K59"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59" s="104" t="str">
        <f>Table4[[#This Row],[Security Risk LevelP]]</f>
        <v/>
      </c>
      <c r="M59" s="158" t="str">
        <f>IF(Table4[[#This Row],[Residual Security Risk Acceptability Justification]]&gt;0,Table4[[#This Row],[Residual Security Risk Acceptability Justification]],"")</f>
        <v/>
      </c>
    </row>
    <row r="60" spans="1:13" s="29" customFormat="1" ht="112" x14ac:dyDescent="0.35">
      <c r="A60" s="157">
        <f>Table4[[#This Row],[
ID '#]]</f>
        <v>56</v>
      </c>
      <c r="B60" s="156" t="str">
        <f>IF(Table4[[#This Row],[T ID]]&gt;0,Table4[[#This Row],[T ID]],"")</f>
        <v>T05</v>
      </c>
      <c r="C60" s="99" t="str">
        <f>Table4[[#This Row],[Threat Event(s)]]</f>
        <v>Clearing Track
(TTP)</v>
      </c>
      <c r="D60" s="158" t="str">
        <f>IF(Table4[[#This Row],[V ID]]&gt;0,Table4[[#This Row],[V ID]],"")</f>
        <v>V08</v>
      </c>
      <c r="E60" s="99" t="str">
        <f>Table4[[#This Row],[Vulnerabilities]]</f>
        <v>Ineffective patch management of firware, OS and applications thoughout the information system plan</v>
      </c>
      <c r="F60" s="159" t="str">
        <f>IF(Table4[[#This Row],[A ID]]&gt;0,Table4[[#This Row],[A ID]],"")</f>
        <v>A02</v>
      </c>
      <c r="G60" s="99" t="str">
        <f>Table4[[#This Row],[Asset]]</f>
        <v>Tablet OS/network details &amp; Tablet Application</v>
      </c>
      <c r="H60"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158" t="str">
        <f>IF(Table4[[#This Row],[Safety Impact 
(Risk ID'# or N/A)]]&gt;0,Table4[[#This Row],[Safety Impact 
(Risk ID'# or N/A)]],"")</f>
        <v/>
      </c>
      <c r="J60" s="102" t="str">
        <f>Table4[[#This Row],[Security 
Risk 
Level]]</f>
        <v>LOW</v>
      </c>
      <c r="K60"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0" s="104" t="str">
        <f>Table4[[#This Row],[Security Risk LevelP]]</f>
        <v/>
      </c>
      <c r="M60" s="158" t="str">
        <f>IF(Table4[[#This Row],[Residual Security Risk Acceptability Justification]]&gt;0,Table4[[#This Row],[Residual Security Risk Acceptability Justification]],"")</f>
        <v/>
      </c>
    </row>
    <row r="61" spans="1:13" s="29" customFormat="1" ht="112" x14ac:dyDescent="0.35">
      <c r="A61" s="157">
        <f>Table4[[#This Row],[
ID '#]]</f>
        <v>57</v>
      </c>
      <c r="B61" s="156" t="str">
        <f>IF(Table4[[#This Row],[T ID]]&gt;0,Table4[[#This Row],[T ID]],"")</f>
        <v>T05</v>
      </c>
      <c r="C61" s="99" t="str">
        <f>Table4[[#This Row],[Threat Event(s)]]</f>
        <v>Clearing Track
(TTP)</v>
      </c>
      <c r="D61" s="158" t="str">
        <f>IF(Table4[[#This Row],[V ID]]&gt;0,Table4[[#This Row],[V ID]],"")</f>
        <v>V10</v>
      </c>
      <c r="E61" s="99" t="str">
        <f>Table4[[#This Row],[Vulnerabilities]]</f>
        <v>The  static connection digaram between devices and applications with provision for periodic updation as per changes</v>
      </c>
      <c r="F61" s="159" t="str">
        <f>IF(Table4[[#This Row],[A ID]]&gt;0,Table4[[#This Row],[A ID]],"")</f>
        <v>A05</v>
      </c>
      <c r="G61" s="99" t="str">
        <f>Table4[[#This Row],[Asset]]</f>
        <v>Device Maintainence tool (Hardware/Software)</v>
      </c>
      <c r="H61"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158" t="str">
        <f>IF(Table4[[#This Row],[Safety Impact 
(Risk ID'# or N/A)]]&gt;0,Table4[[#This Row],[Safety Impact 
(Risk ID'# or N/A)]],"")</f>
        <v/>
      </c>
      <c r="J61" s="102" t="str">
        <f>Table4[[#This Row],[Security 
Risk 
Level]]</f>
        <v>LOW</v>
      </c>
      <c r="K61"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1" s="104" t="str">
        <f>Table4[[#This Row],[Security Risk LevelP]]</f>
        <v/>
      </c>
      <c r="M61" s="158" t="str">
        <f>IF(Table4[[#This Row],[Residual Security Risk Acceptability Justification]]&gt;0,Table4[[#This Row],[Residual Security Risk Acceptability Justification]],"")</f>
        <v/>
      </c>
    </row>
    <row r="62" spans="1:13" s="29" customFormat="1" ht="112" x14ac:dyDescent="0.35">
      <c r="A62" s="157">
        <f>Table4[[#This Row],[
ID '#]]</f>
        <v>58</v>
      </c>
      <c r="B62" s="156" t="str">
        <f>IF(Table4[[#This Row],[T ID]]&gt;0,Table4[[#This Row],[T ID]],"")</f>
        <v>T05</v>
      </c>
      <c r="C62" s="99" t="str">
        <f>Table4[[#This Row],[Threat Event(s)]]</f>
        <v>Clearing Track
(TTP)</v>
      </c>
      <c r="D62" s="158" t="str">
        <f>IF(Table4[[#This Row],[V ID]]&gt;0,Table4[[#This Row],[V ID]],"")</f>
        <v>V10</v>
      </c>
      <c r="E62" s="99" t="str">
        <f>Table4[[#This Row],[Vulnerabilities]]</f>
        <v>The  static connection digaram between devices and applications with provision for periodic updation as per changes</v>
      </c>
      <c r="F62" s="159" t="str">
        <f>IF(Table4[[#This Row],[A ID]]&gt;0,Table4[[#This Row],[A ID]],"")</f>
        <v>A01</v>
      </c>
      <c r="G62" s="99" t="str">
        <f>Table4[[#This Row],[Asset]]</f>
        <v>Tablet Resources - web cam, microphone, OTG devices, Removable USB, Tablet Application, Network interfaces (Bluetooth, Wifi)</v>
      </c>
      <c r="H62" s="160"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158" t="str">
        <f>IF(Table4[[#This Row],[Safety Impact 
(Risk ID'# or N/A)]]&gt;0,Table4[[#This Row],[Safety Impact 
(Risk ID'# or N/A)]],"")</f>
        <v/>
      </c>
      <c r="J62" s="102" t="str">
        <f>Table4[[#This Row],[Security 
Risk 
Level]]</f>
        <v>LOW</v>
      </c>
      <c r="K62"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2" s="104" t="str">
        <f>Table4[[#This Row],[Security Risk LevelP]]</f>
        <v/>
      </c>
      <c r="M62" s="158" t="str">
        <f>IF(Table4[[#This Row],[Residual Security Risk Acceptability Justification]]&gt;0,Table4[[#This Row],[Residual Security Risk Acceptability Justification]],"")</f>
        <v/>
      </c>
    </row>
    <row r="63" spans="1:13" s="29" customFormat="1" ht="56" x14ac:dyDescent="0.35">
      <c r="A63" s="157">
        <f>Table4[[#This Row],[
ID '#]]</f>
        <v>59</v>
      </c>
      <c r="B63" s="156" t="str">
        <f>IF(Table4[[#This Row],[T ID]]&gt;0,Table4[[#This Row],[T ID]],"")</f>
        <v>T06</v>
      </c>
      <c r="C63" s="99" t="str">
        <f>Table4[[#This Row],[Threat Event(s)]]</f>
        <v>Elevation of privilege
(STRID[E])</v>
      </c>
      <c r="D63" s="158" t="str">
        <f>IF(Table4[[#This Row],[V ID]]&gt;0,Table4[[#This Row],[V ID]],"")</f>
        <v>V15</v>
      </c>
      <c r="E63" s="99" t="str">
        <f>Table4[[#This Row],[Vulnerabilities]]</f>
        <v>Controlled Use of Administrative Privileges over the network</v>
      </c>
      <c r="F63" s="159" t="str">
        <f>IF(Table4[[#This Row],[A ID]]&gt;0,Table4[[#This Row],[A ID]],"")</f>
        <v>A04</v>
      </c>
      <c r="G63" s="99" t="str">
        <f>Table4[[#This Row],[Asset]]</f>
        <v>Authentication/Authorisation method of all device(s)/app</v>
      </c>
      <c r="H63" s="160" t="str">
        <f>IF(Table4[[#This Row],[Impact Description]]&gt;0,Table4[[#This Row],[Impact Description]],"")</f>
        <v>1) Gaining access to the portal 
2) Accessing confidential data, 
3) Lead misuse of confidential data
4)  Company defamation</v>
      </c>
      <c r="I63" s="158" t="str">
        <f>IF(Table4[[#This Row],[Safety Impact 
(Risk ID'# or N/A)]]&gt;0,Table4[[#This Row],[Safety Impact 
(Risk ID'# or N/A)]],"")</f>
        <v/>
      </c>
      <c r="J63" s="102" t="str">
        <f>Table4[[#This Row],[Security 
Risk 
Level]]</f>
        <v>LOW</v>
      </c>
      <c r="K63" s="158"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104" t="str">
        <f>Table4[[#This Row],[Security Risk LevelP]]</f>
        <v/>
      </c>
      <c r="M63" s="158" t="str">
        <f>IF(Table4[[#This Row],[Residual Security Risk Acceptability Justification]]&gt;0,Table4[[#This Row],[Residual Security Risk Acceptability Justification]],"")</f>
        <v/>
      </c>
    </row>
    <row r="64" spans="1:13" s="29" customFormat="1" ht="56" x14ac:dyDescent="0.35">
      <c r="A64" s="157">
        <f>Table4[[#This Row],[
ID '#]]</f>
        <v>60</v>
      </c>
      <c r="B64" s="156" t="str">
        <f>IF(Table4[[#This Row],[T ID]]&gt;0,Table4[[#This Row],[T ID]],"")</f>
        <v>T06</v>
      </c>
      <c r="C64" s="99" t="str">
        <f>Table4[[#This Row],[Threat Event(s)]]</f>
        <v>Elevation of privilege
(STRID[E])</v>
      </c>
      <c r="D64" s="158" t="str">
        <f>IF(Table4[[#This Row],[V ID]]&gt;0,Table4[[#This Row],[V ID]],"")</f>
        <v>V15</v>
      </c>
      <c r="E64" s="99" t="str">
        <f>Table4[[#This Row],[Vulnerabilities]]</f>
        <v>Controlled Use of Administrative Privileges over the network</v>
      </c>
      <c r="F64" s="159" t="str">
        <f>IF(Table4[[#This Row],[A ID]]&gt;0,Table4[[#This Row],[A ID]],"")</f>
        <v>A12</v>
      </c>
      <c r="G64" s="99" t="str">
        <f>Table4[[#This Row],[Asset]]</f>
        <v>Smart medic app (Azure Portal Administrator)</v>
      </c>
      <c r="H64" s="160" t="str">
        <f>IF(Table4[[#This Row],[Impact Description]]&gt;0,Table4[[#This Row],[Impact Description]],"")</f>
        <v>1) Gaining access to the portal 
2) Accessing confidential data, 
3) Lead misuse of confidential data
4)  Company defamation</v>
      </c>
      <c r="I64" s="158" t="str">
        <f>IF(Table4[[#This Row],[Safety Impact 
(Risk ID'# or N/A)]]&gt;0,Table4[[#This Row],[Safety Impact 
(Risk ID'# or N/A)]],"")</f>
        <v/>
      </c>
      <c r="J64" s="102" t="str">
        <f>Table4[[#This Row],[Security 
Risk 
Level]]</f>
        <v>MEDIUM</v>
      </c>
      <c r="K64" s="158"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104" t="str">
        <f>Table4[[#This Row],[Security Risk LevelP]]</f>
        <v/>
      </c>
      <c r="M64" s="158" t="str">
        <f>IF(Table4[[#This Row],[Residual Security Risk Acceptability Justification]]&gt;0,Table4[[#This Row],[Residual Security Risk Acceptability Justification]],"")</f>
        <v/>
      </c>
    </row>
    <row r="65" spans="1:13" s="29" customFormat="1" ht="56" x14ac:dyDescent="0.35">
      <c r="A65" s="157">
        <f>Table4[[#This Row],[
ID '#]]</f>
        <v>61</v>
      </c>
      <c r="B65" s="156" t="str">
        <f>IF(Table4[[#This Row],[T ID]]&gt;0,Table4[[#This Row],[T ID]],"")</f>
        <v>T07</v>
      </c>
      <c r="C65" s="99" t="str">
        <f>Table4[[#This Row],[Threat Event(s)]]</f>
        <v>Denial of service
(STRI(D)E)</v>
      </c>
      <c r="D65" s="158" t="str">
        <f>IF(Table4[[#This Row],[V ID]]&gt;0,Table4[[#This Row],[V ID]],"")</f>
        <v>V12</v>
      </c>
      <c r="E65" s="99" t="str">
        <f>Table4[[#This Row],[Vulnerabilities]]</f>
        <v>Unprotected network port(s) on network devices and connection points</v>
      </c>
      <c r="F65" s="159" t="str">
        <f>IF(Table4[[#This Row],[A ID]]&gt;0,Table4[[#This Row],[A ID]],"")</f>
        <v>A02</v>
      </c>
      <c r="G65" s="99" t="str">
        <f>Table4[[#This Row],[Asset]]</f>
        <v>Tablet OS/network details &amp; Tablet Application</v>
      </c>
      <c r="H65" s="160" t="str">
        <f>IF(Table4[[#This Row],[Impact Description]]&gt;0,Table4[[#This Row],[Impact Description]],"")</f>
        <v>1) Bring down the service availability 
2) Blocking the end user usage</v>
      </c>
      <c r="I65" s="158" t="str">
        <f>IF(Table4[[#This Row],[Safety Impact 
(Risk ID'# or N/A)]]&gt;0,Table4[[#This Row],[Safety Impact 
(Risk ID'# or N/A)]],"")</f>
        <v/>
      </c>
      <c r="J65" s="102" t="str">
        <f>Table4[[#This Row],[Security 
Risk 
Level]]</f>
        <v>MEDIUM</v>
      </c>
      <c r="K65"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65" s="104" t="str">
        <f>Table4[[#This Row],[Security Risk LevelP]]</f>
        <v/>
      </c>
      <c r="M65" s="158" t="str">
        <f>IF(Table4[[#This Row],[Residual Security Risk Acceptability Justification]]&gt;0,Table4[[#This Row],[Residual Security Risk Acceptability Justification]],"")</f>
        <v/>
      </c>
    </row>
    <row r="66" spans="1:13" s="29" customFormat="1" ht="42" x14ac:dyDescent="0.35">
      <c r="A66" s="157">
        <f>Table4[[#This Row],[
ID '#]]</f>
        <v>62</v>
      </c>
      <c r="B66" s="156" t="str">
        <f>IF(Table4[[#This Row],[T ID]]&gt;0,Table4[[#This Row],[T ID]],"")</f>
        <v>T08</v>
      </c>
      <c r="C66" s="99" t="str">
        <f>Table4[[#This Row],[Threat Event(s)]]</f>
        <v>Information disclosure
(STR(I)DE)</v>
      </c>
      <c r="D66" s="158" t="str">
        <f>IF(Table4[[#This Row],[V ID]]&gt;0,Table4[[#This Row],[V ID]],"")</f>
        <v>V16</v>
      </c>
      <c r="E66" s="99" t="str">
        <f>Table4[[#This Row],[Vulnerabilities]]</f>
        <v>Unencrypted data at rest in all possible locations</v>
      </c>
      <c r="F66" s="159" t="str">
        <f>IF(Table4[[#This Row],[A ID]]&gt;0,Table4[[#This Row],[A ID]],"")</f>
        <v>A09</v>
      </c>
      <c r="G66" s="99" t="str">
        <f>Table4[[#This Row],[Asset]]</f>
        <v>Data at Rest</v>
      </c>
      <c r="H66" s="160" t="str">
        <f>IF(Table4[[#This Row],[Impact Description]]&gt;0,Table4[[#This Row],[Impact Description]],"")</f>
        <v>Information of health data can be exploit and disclose with various means like network, tablet etc.  .</v>
      </c>
      <c r="I66" s="158" t="str">
        <f>IF(Table4[[#This Row],[Safety Impact 
(Risk ID'# or N/A)]]&gt;0,Table4[[#This Row],[Safety Impact 
(Risk ID'# or N/A)]],"")</f>
        <v/>
      </c>
      <c r="J66" s="102" t="str">
        <f>Table4[[#This Row],[Security 
Risk 
Level]]</f>
        <v>LOW</v>
      </c>
      <c r="K66" s="158"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104" t="str">
        <f>Table4[[#This Row],[Security Risk LevelP]]</f>
        <v/>
      </c>
      <c r="M66" s="158" t="str">
        <f>IF(Table4[[#This Row],[Residual Security Risk Acceptability Justification]]&gt;0,Table4[[#This Row],[Residual Security Risk Acceptability Justification]],"")</f>
        <v/>
      </c>
    </row>
    <row r="67" spans="1:13" s="29" customFormat="1" ht="42" x14ac:dyDescent="0.35">
      <c r="A67" s="157">
        <f>Table4[[#This Row],[
ID '#]]</f>
        <v>63</v>
      </c>
      <c r="B67" s="156" t="str">
        <f>IF(Table4[[#This Row],[T ID]]&gt;0,Table4[[#This Row],[T ID]],"")</f>
        <v>T08</v>
      </c>
      <c r="C67" s="99" t="str">
        <f>Table4[[#This Row],[Threat Event(s)]]</f>
        <v>Information disclosure
(STR(I)DE)</v>
      </c>
      <c r="D67" s="158" t="str">
        <f>IF(Table4[[#This Row],[V ID]]&gt;0,Table4[[#This Row],[V ID]],"")</f>
        <v>V17</v>
      </c>
      <c r="E67" s="99" t="str">
        <f>Table4[[#This Row],[Vulnerabilities]]</f>
        <v>Unencrypted data in transit in all flowchannels</v>
      </c>
      <c r="F67" s="159" t="str">
        <f>IF(Table4[[#This Row],[A ID]]&gt;0,Table4[[#This Row],[A ID]],"")</f>
        <v>A10</v>
      </c>
      <c r="G67" s="99" t="str">
        <f>Table4[[#This Row],[Asset]]</f>
        <v>Data in Transit</v>
      </c>
      <c r="H67" s="160" t="str">
        <f>IF(Table4[[#This Row],[Impact Description]]&gt;0,Table4[[#This Row],[Impact Description]],"")</f>
        <v>Information of health data can be exploit and disclose with various means like network, tablet etc.  .</v>
      </c>
      <c r="I67" s="158" t="str">
        <f>IF(Table4[[#This Row],[Safety Impact 
(Risk ID'# or N/A)]]&gt;0,Table4[[#This Row],[Safety Impact 
(Risk ID'# or N/A)]],"")</f>
        <v/>
      </c>
      <c r="J67" s="102" t="str">
        <f>Table4[[#This Row],[Security 
Risk 
Level]]</f>
        <v>LOW</v>
      </c>
      <c r="K67" s="158"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104" t="str">
        <f>Table4[[#This Row],[Security Risk LevelP]]</f>
        <v/>
      </c>
      <c r="M67" s="158" t="str">
        <f>IF(Table4[[#This Row],[Residual Security Risk Acceptability Justification]]&gt;0,Table4[[#This Row],[Residual Security Risk Acceptability Justification]],"")</f>
        <v/>
      </c>
    </row>
    <row r="68" spans="1:13" s="29" customFormat="1" ht="56" x14ac:dyDescent="0.35">
      <c r="A68" s="157">
        <f>Table4[[#This Row],[
ID '#]]</f>
        <v>64</v>
      </c>
      <c r="B68" s="156" t="str">
        <f>IF(Table4[[#This Row],[T ID]]&gt;0,Table4[[#This Row],[T ID]],"")</f>
        <v>T08</v>
      </c>
      <c r="C68" s="99" t="str">
        <f>Table4[[#This Row],[Threat Event(s)]]</f>
        <v>Information disclosure
(STR(I)DE)</v>
      </c>
      <c r="D68" s="158" t="str">
        <f>IF(Table4[[#This Row],[V ID]]&gt;0,Table4[[#This Row],[V ID]],"")</f>
        <v>V18</v>
      </c>
      <c r="E68" s="99" t="str">
        <f>Table4[[#This Row],[Vulnerabilities]]</f>
        <v>Weak Encryption Implementaion in data at rest and in transit tactical and design wise</v>
      </c>
      <c r="F68" s="159" t="str">
        <f>IF(Table4[[#This Row],[A ID]]&gt;0,Table4[[#This Row],[A ID]],"")</f>
        <v>A09</v>
      </c>
      <c r="G68" s="99" t="str">
        <f>Table4[[#This Row],[Asset]]</f>
        <v>Data at Rest</v>
      </c>
      <c r="H68" s="160" t="str">
        <f>IF(Table4[[#This Row],[Impact Description]]&gt;0,Table4[[#This Row],[Impact Description]],"")</f>
        <v>Information of health data can be exploit and disclose with various means like network, tablet etc.  .</v>
      </c>
      <c r="I68" s="158" t="str">
        <f>IF(Table4[[#This Row],[Safety Impact 
(Risk ID'# or N/A)]]&gt;0,Table4[[#This Row],[Safety Impact 
(Risk ID'# or N/A)]],"")</f>
        <v/>
      </c>
      <c r="J68" s="102" t="str">
        <f>Table4[[#This Row],[Security 
Risk 
Level]]</f>
        <v>LOW</v>
      </c>
      <c r="K68" s="158"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104" t="str">
        <f>Table4[[#This Row],[Security Risk LevelP]]</f>
        <v/>
      </c>
      <c r="M68" s="158" t="str">
        <f>IF(Table4[[#This Row],[Residual Security Risk Acceptability Justification]]&gt;0,Table4[[#This Row],[Residual Security Risk Acceptability Justification]],"")</f>
        <v/>
      </c>
    </row>
    <row r="69" spans="1:13" s="29" customFormat="1" ht="56" x14ac:dyDescent="0.35">
      <c r="A69" s="157">
        <f>Table4[[#This Row],[
ID '#]]</f>
        <v>65</v>
      </c>
      <c r="B69" s="156" t="str">
        <f>IF(Table4[[#This Row],[T ID]]&gt;0,Table4[[#This Row],[T ID]],"")</f>
        <v>T08</v>
      </c>
      <c r="C69" s="99" t="str">
        <f>Table4[[#This Row],[Threat Event(s)]]</f>
        <v>Information disclosure
(STR(I)DE)</v>
      </c>
      <c r="D69" s="158" t="str">
        <f>IF(Table4[[#This Row],[V ID]]&gt;0,Table4[[#This Row],[V ID]],"")</f>
        <v>V18</v>
      </c>
      <c r="E69" s="99" t="str">
        <f>Table4[[#This Row],[Vulnerabilities]]</f>
        <v>Weak Encryption Implementaion in data at rest and in transit tactical and design wise</v>
      </c>
      <c r="F69" s="159" t="str">
        <f>IF(Table4[[#This Row],[A ID]]&gt;0,Table4[[#This Row],[A ID]],"")</f>
        <v>A10</v>
      </c>
      <c r="G69" s="99" t="str">
        <f>Table4[[#This Row],[Asset]]</f>
        <v>Data in Transit</v>
      </c>
      <c r="H69" s="160" t="str">
        <f>IF(Table4[[#This Row],[Impact Description]]&gt;0,Table4[[#This Row],[Impact Description]],"")</f>
        <v>Information of health data can be exploit and disclose with various means like network, tablet etc.  .</v>
      </c>
      <c r="I69" s="158" t="str">
        <f>IF(Table4[[#This Row],[Safety Impact 
(Risk ID'# or N/A)]]&gt;0,Table4[[#This Row],[Safety Impact 
(Risk ID'# or N/A)]],"")</f>
        <v/>
      </c>
      <c r="J69" s="102" t="str">
        <f>Table4[[#This Row],[Security 
Risk 
Level]]</f>
        <v>LOW</v>
      </c>
      <c r="K69" s="158"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104" t="str">
        <f>Table4[[#This Row],[Security Risk LevelP]]</f>
        <v/>
      </c>
      <c r="M69" s="158" t="str">
        <f>IF(Table4[[#This Row],[Residual Security Risk Acceptability Justification]]&gt;0,Table4[[#This Row],[Residual Security Risk Acceptability Justification]],"")</f>
        <v/>
      </c>
    </row>
    <row r="70" spans="1:13" s="29" customFormat="1" ht="42" x14ac:dyDescent="0.35">
      <c r="A70" s="157">
        <f>Table4[[#This Row],[
ID '#]]</f>
        <v>66</v>
      </c>
      <c r="B70" s="156" t="str">
        <f>IF(Table4[[#This Row],[T ID]]&gt;0,Table4[[#This Row],[T ID]],"")</f>
        <v>T08</v>
      </c>
      <c r="C70" s="99" t="str">
        <f>Table4[[#This Row],[Threat Event(s)]]</f>
        <v>Information disclosure
(STR(I)DE)</v>
      </c>
      <c r="D70" s="158" t="str">
        <f>IF(Table4[[#This Row],[V ID]]&gt;0,Table4[[#This Row],[V ID]],"")</f>
        <v>V19</v>
      </c>
      <c r="E70" s="99" t="str">
        <f>Table4[[#This Row],[Vulnerabilities]]</f>
        <v>Weak Algorthim implementation with respect cipher key size</v>
      </c>
      <c r="F70" s="159" t="str">
        <f>IF(Table4[[#This Row],[A ID]]&gt;0,Table4[[#This Row],[A ID]],"")</f>
        <v>A09</v>
      </c>
      <c r="G70" s="99" t="str">
        <f>Table4[[#This Row],[Asset]]</f>
        <v>Data at Rest</v>
      </c>
      <c r="H70" s="160" t="str">
        <f>IF(Table4[[#This Row],[Impact Description]]&gt;0,Table4[[#This Row],[Impact Description]],"")</f>
        <v>Information of health data can be exploit and disclose with various means like network, tablet etc.  .</v>
      </c>
      <c r="I70" s="158" t="str">
        <f>IF(Table4[[#This Row],[Safety Impact 
(Risk ID'# or N/A)]]&gt;0,Table4[[#This Row],[Safety Impact 
(Risk ID'# or N/A)]],"")</f>
        <v/>
      </c>
      <c r="J70" s="102" t="str">
        <f>Table4[[#This Row],[Security 
Risk 
Level]]</f>
        <v>LOW</v>
      </c>
      <c r="K70" s="158"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104" t="str">
        <f>Table4[[#This Row],[Security Risk LevelP]]</f>
        <v/>
      </c>
      <c r="M70" s="158" t="str">
        <f>IF(Table4[[#This Row],[Residual Security Risk Acceptability Justification]]&gt;0,Table4[[#This Row],[Residual Security Risk Acceptability Justification]],"")</f>
        <v/>
      </c>
    </row>
    <row r="71" spans="1:13" s="29" customFormat="1" ht="42" x14ac:dyDescent="0.35">
      <c r="A71" s="157">
        <f>Table4[[#This Row],[
ID '#]]</f>
        <v>67</v>
      </c>
      <c r="B71" s="156" t="str">
        <f>IF(Table4[[#This Row],[T ID]]&gt;0,Table4[[#This Row],[T ID]],"")</f>
        <v>T08</v>
      </c>
      <c r="C71" s="99" t="str">
        <f>Table4[[#This Row],[Threat Event(s)]]</f>
        <v>Information disclosure
(STR(I)DE)</v>
      </c>
      <c r="D71" s="158" t="str">
        <f>IF(Table4[[#This Row],[V ID]]&gt;0,Table4[[#This Row],[V ID]],"")</f>
        <v>V19</v>
      </c>
      <c r="E71" s="99" t="str">
        <f>Table4[[#This Row],[Vulnerabilities]]</f>
        <v>Weak Algorthim implementation with respect cipher key size</v>
      </c>
      <c r="F71" s="159" t="str">
        <f>IF(Table4[[#This Row],[A ID]]&gt;0,Table4[[#This Row],[A ID]],"")</f>
        <v>A10</v>
      </c>
      <c r="G71" s="99" t="str">
        <f>Table4[[#This Row],[Asset]]</f>
        <v>Data in Transit</v>
      </c>
      <c r="H71" s="160" t="str">
        <f>IF(Table4[[#This Row],[Impact Description]]&gt;0,Table4[[#This Row],[Impact Description]],"")</f>
        <v>Information of health data can be exploit and disclose with various means like network, tablet etc.  .</v>
      </c>
      <c r="I71" s="158" t="str">
        <f>IF(Table4[[#This Row],[Safety Impact 
(Risk ID'# or N/A)]]&gt;0,Table4[[#This Row],[Safety Impact 
(Risk ID'# or N/A)]],"")</f>
        <v/>
      </c>
      <c r="J71" s="102" t="str">
        <f>Table4[[#This Row],[Security 
Risk 
Level]]</f>
        <v>LOW</v>
      </c>
      <c r="K71" s="158"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104" t="str">
        <f>Table4[[#This Row],[Security Risk LevelP]]</f>
        <v/>
      </c>
      <c r="M71" s="158" t="str">
        <f>IF(Table4[[#This Row],[Residual Security Risk Acceptability Justification]]&gt;0,Table4[[#This Row],[Residual Security Risk Acceptability Justification]],"")</f>
        <v/>
      </c>
    </row>
    <row r="72" spans="1:13" s="29" customFormat="1" ht="70" x14ac:dyDescent="0.35">
      <c r="A72" s="157">
        <f>Table4[[#This Row],[
ID '#]]</f>
        <v>68</v>
      </c>
      <c r="B72" s="156" t="str">
        <f>IF(Table4[[#This Row],[T ID]]&gt;0,Table4[[#This Row],[T ID]],"")</f>
        <v>T08</v>
      </c>
      <c r="C72" s="99" t="str">
        <f>Table4[[#This Row],[Threat Event(s)]]</f>
        <v>Information disclosure
(STR(I)DE)</v>
      </c>
      <c r="D72" s="158" t="str">
        <f>IF(Table4[[#This Row],[V ID]]&gt;0,Table4[[#This Row],[V ID]],"")</f>
        <v>V21</v>
      </c>
      <c r="E72" s="99" t="str">
        <f>Table4[[#This Row],[Vulnerabilities]]</f>
        <v>InSecure Configuration for Software/OS on Mobile Devices, Laptops, Workstations, and Servers</v>
      </c>
      <c r="F72" s="159" t="str">
        <f>IF(Table4[[#This Row],[A ID]]&gt;0,Table4[[#This Row],[A ID]],"")</f>
        <v>A01</v>
      </c>
      <c r="G72" s="99" t="str">
        <f>Table4[[#This Row],[Asset]]</f>
        <v>Tablet Resources - web cam, microphone, OTG devices, Removable USB, Tablet Application, Network interfaces (Bluetooth, Wifi)</v>
      </c>
      <c r="H72" s="160" t="str">
        <f>IF(Table4[[#This Row],[Impact Description]]&gt;0,Table4[[#This Row],[Impact Description]],"")</f>
        <v>Information of health data can be exploit and disclose with various means like network, tablet etc.  .</v>
      </c>
      <c r="I72" s="158" t="str">
        <f>IF(Table4[[#This Row],[Safety Impact 
(Risk ID'# or N/A)]]&gt;0,Table4[[#This Row],[Safety Impact 
(Risk ID'# or N/A)]],"")</f>
        <v/>
      </c>
      <c r="J72" s="102" t="str">
        <f>Table4[[#This Row],[Security 
Risk 
Level]]</f>
        <v>LOW</v>
      </c>
      <c r="K72"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identified/reported by the application
4.  Use hardened interfaces (n/w) &amp; secure tunnel communications channel </v>
      </c>
      <c r="L72" s="104" t="str">
        <f>Table4[[#This Row],[Security Risk LevelP]]</f>
        <v/>
      </c>
      <c r="M72" s="158" t="str">
        <f>IF(Table4[[#This Row],[Residual Security Risk Acceptability Justification]]&gt;0,Table4[[#This Row],[Residual Security Risk Acceptability Justification]],"")</f>
        <v/>
      </c>
    </row>
    <row r="73" spans="1:13" s="29" customFormat="1" ht="42" x14ac:dyDescent="0.35">
      <c r="A73" s="157">
        <f>Table4[[#This Row],[
ID '#]]</f>
        <v>69</v>
      </c>
      <c r="B73" s="156" t="str">
        <f>IF(Table4[[#This Row],[T ID]]&gt;0,Table4[[#This Row],[T ID]],"")</f>
        <v>T08</v>
      </c>
      <c r="C73" s="99" t="str">
        <f>Table4[[#This Row],[Threat Event(s)]]</f>
        <v>Information disclosure
(STR(I)DE)</v>
      </c>
      <c r="D73" s="158" t="str">
        <f>IF(Table4[[#This Row],[V ID]]&gt;0,Table4[[#This Row],[V ID]],"")</f>
        <v>V14</v>
      </c>
      <c r="E73" s="99" t="str">
        <f>Table4[[#This Row],[Vulnerabilities]]</f>
        <v>Unencrypted Network segment through out the information flow</v>
      </c>
      <c r="F73" s="159" t="str">
        <f>IF(Table4[[#This Row],[A ID]]&gt;0,Table4[[#This Row],[A ID]],"")</f>
        <v>A10</v>
      </c>
      <c r="G73" s="99" t="str">
        <f>Table4[[#This Row],[Asset]]</f>
        <v>Data in Transit</v>
      </c>
      <c r="H73" s="160" t="str">
        <f>IF(Table4[[#This Row],[Impact Description]]&gt;0,Table4[[#This Row],[Impact Description]],"")</f>
        <v>Information of health data can be exploit and disclose with various means like network, tablet etc.  .</v>
      </c>
      <c r="I73" s="158" t="str">
        <f>IF(Table4[[#This Row],[Safety Impact 
(Risk ID'# or N/A)]]&gt;0,Table4[[#This Row],[Safety Impact 
(Risk ID'# or N/A)]],"")</f>
        <v/>
      </c>
      <c r="J73" s="102" t="str">
        <f>Table4[[#This Row],[Security 
Risk 
Level]]</f>
        <v>LOW</v>
      </c>
      <c r="K73" s="158" t="str">
        <f>IF(Table4[[#This Row],[Security Risk Control Measures]]&gt;0,Table4[[#This Row],[Security Risk Control Measures]],"")</f>
        <v>1. Anonymization/Pseudomyzation of patient details
2. Data encyrption
3. Audit log - Maintain Access logs (login (attempted &amp; failed), logoff, id change)
4. Audit log - Maintain security logs (such as change/modification of system configuration settings, services, etc.) 
3. Mainitaing Access Logs
4. Maintain Server Security Logs</v>
      </c>
      <c r="L73" s="104" t="str">
        <f>Table4[[#This Row],[Security Risk LevelP]]</f>
        <v/>
      </c>
      <c r="M73" s="158" t="str">
        <f>IF(Table4[[#This Row],[Residual Security Risk Acceptability Justification]]&gt;0,Table4[[#This Row],[Residual Security Risk Acceptability Justification]],"")</f>
        <v/>
      </c>
    </row>
    <row r="74" spans="1:13" s="29" customFormat="1" ht="42" x14ac:dyDescent="0.35">
      <c r="A74" s="157">
        <f>Table4[[#This Row],[
ID '#]]</f>
        <v>70</v>
      </c>
      <c r="B74" s="156" t="str">
        <f>IF(Table4[[#This Row],[T ID]]&gt;0,Table4[[#This Row],[T ID]],"")</f>
        <v>T08</v>
      </c>
      <c r="C74" s="99" t="str">
        <f>Table4[[#This Row],[Threat Event(s)]]</f>
        <v>Information disclosure
(STR(I)DE)</v>
      </c>
      <c r="D74" s="158" t="str">
        <f>IF(Table4[[#This Row],[V ID]]&gt;0,Table4[[#This Row],[V ID]],"")</f>
        <v>V05</v>
      </c>
      <c r="E74" s="99" t="str">
        <f>Table4[[#This Row],[Vulnerabilities]]</f>
        <v>Insecure communications in networks (hospital)</v>
      </c>
      <c r="F74" s="159" t="str">
        <f>IF(Table4[[#This Row],[A ID]]&gt;0,Table4[[#This Row],[A ID]],"")</f>
        <v>A10</v>
      </c>
      <c r="G74" s="99" t="str">
        <f>Table4[[#This Row],[Asset]]</f>
        <v>Data in Transit</v>
      </c>
      <c r="H74" s="160" t="str">
        <f>IF(Table4[[#This Row],[Impact Description]]&gt;0,Table4[[#This Row],[Impact Description]],"")</f>
        <v>Information of health data can be exploit and disclose with various means like network, tablet etc.  .</v>
      </c>
      <c r="I74" s="158" t="str">
        <f>IF(Table4[[#This Row],[Safety Impact 
(Risk ID'# or N/A)]]&gt;0,Table4[[#This Row],[Safety Impact 
(Risk ID'# or N/A)]],"")</f>
        <v/>
      </c>
      <c r="J74" s="102" t="str">
        <f>Table4[[#This Row],[Security 
Risk 
Level]]</f>
        <v>LOW</v>
      </c>
      <c r="K74" s="158"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104" t="str">
        <f>Table4[[#This Row],[Security Risk LevelP]]</f>
        <v/>
      </c>
      <c r="M74" s="158" t="str">
        <f>IF(Table4[[#This Row],[Residual Security Risk Acceptability Justification]]&gt;0,Table4[[#This Row],[Residual Security Risk Acceptability Justification]],"")</f>
        <v/>
      </c>
    </row>
    <row r="75" spans="1:13" s="29" customFormat="1" ht="70" x14ac:dyDescent="0.35">
      <c r="A75" s="157">
        <f>Table4[[#This Row],[
ID '#]]</f>
        <v>71</v>
      </c>
      <c r="B75" s="156" t="str">
        <f>IF(Table4[[#This Row],[T ID]]&gt;0,Table4[[#This Row],[T ID]],"")</f>
        <v>T09</v>
      </c>
      <c r="C75" s="99" t="str">
        <f>Table4[[#This Row],[Threat Event(s)]]</f>
        <v>Data Access
(STR[I]DE)</v>
      </c>
      <c r="D75" s="158" t="str">
        <f>IF(Table4[[#This Row],[V ID]]&gt;0,Table4[[#This Row],[V ID]],"")</f>
        <v>V12</v>
      </c>
      <c r="E75" s="99" t="str">
        <f>Table4[[#This Row],[Vulnerabilities]]</f>
        <v>Unprotected network port(s) on network devices and connection points</v>
      </c>
      <c r="F75" s="159" t="str">
        <f>IF(Table4[[#This Row],[A ID]]&gt;0,Table4[[#This Row],[A ID]],"")</f>
        <v>A01</v>
      </c>
      <c r="G75" s="99" t="str">
        <f>Table4[[#This Row],[Asset]]</f>
        <v>Tablet Resources - web cam, microphone, OTG devices, Removable USB, Tablet Application, Network interfaces (Bluetooth, Wifi)</v>
      </c>
      <c r="H75" s="160" t="str">
        <f>IF(Table4[[#This Row],[Impact Description]]&gt;0,Table4[[#This Row],[Impact Description]],"")</f>
        <v>1) Allowing application or script to perform abnormal activites on the system.
2) Modifying the data, tampering the confidential data making it unavailable or challenging the integrity of data.</v>
      </c>
      <c r="I75" s="158" t="str">
        <f>IF(Table4[[#This Row],[Safety Impact 
(Risk ID'# or N/A)]]&gt;0,Table4[[#This Row],[Safety Impact 
(Risk ID'# or N/A)]],"")</f>
        <v/>
      </c>
      <c r="J75" s="102" t="str">
        <f>Table4[[#This Row],[Security 
Risk 
Level]]</f>
        <v>LOW</v>
      </c>
      <c r="K75"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75" s="104" t="str">
        <f>Table4[[#This Row],[Security Risk LevelP]]</f>
        <v/>
      </c>
      <c r="M75" s="158" t="str">
        <f>IF(Table4[[#This Row],[Residual Security Risk Acceptability Justification]]&gt;0,Table4[[#This Row],[Residual Security Risk Acceptability Justification]],"")</f>
        <v/>
      </c>
    </row>
    <row r="76" spans="1:13" s="29" customFormat="1" ht="70" x14ac:dyDescent="0.35">
      <c r="A76" s="157">
        <f>Table4[[#This Row],[
ID '#]]</f>
        <v>72</v>
      </c>
      <c r="B76" s="156" t="str">
        <f>IF(Table4[[#This Row],[T ID]]&gt;0,Table4[[#This Row],[T ID]],"")</f>
        <v>T09</v>
      </c>
      <c r="C76" s="99" t="str">
        <f>Table4[[#This Row],[Threat Event(s)]]</f>
        <v>Data Access
(STR[I]DE)</v>
      </c>
      <c r="D76" s="158" t="str">
        <f>IF(Table4[[#This Row],[V ID]]&gt;0,Table4[[#This Row],[V ID]],"")</f>
        <v>V12</v>
      </c>
      <c r="E76" s="99" t="str">
        <f>Table4[[#This Row],[Vulnerabilities]]</f>
        <v>Unprotected network port(s) on network devices and connection points</v>
      </c>
      <c r="F76" s="159" t="str">
        <f>IF(Table4[[#This Row],[A ID]]&gt;0,Table4[[#This Row],[A ID]],"")</f>
        <v>A02</v>
      </c>
      <c r="G76" s="99" t="str">
        <f>Table4[[#This Row],[Asset]]</f>
        <v>Tablet OS/network details &amp; Tablet Application</v>
      </c>
      <c r="H76" s="160" t="str">
        <f>IF(Table4[[#This Row],[Impact Description]]&gt;0,Table4[[#This Row],[Impact Description]],"")</f>
        <v>1) Allowing application or script to perform abnormal activites on the system.
2) Modifying the data, tampering the confidential data making it unavailable or challenging the integrity of data.</v>
      </c>
      <c r="I76" s="158" t="str">
        <f>IF(Table4[[#This Row],[Safety Impact 
(Risk ID'# or N/A)]]&gt;0,Table4[[#This Row],[Safety Impact 
(Risk ID'# or N/A)]],"")</f>
        <v/>
      </c>
      <c r="J76" s="102" t="str">
        <f>Table4[[#This Row],[Security 
Risk 
Level]]</f>
        <v>LOW</v>
      </c>
      <c r="K76" s="158" t="str">
        <f>IF(Table4[[#This Row],[Security Risk Control Measures]]&gt;0,Table4[[#This Row],[Security Risk Control Measures]],"")</f>
        <v xml:space="preserve">1. Asset should be behind stateful firewall
2. Anti-virus with updated virus definitions
3. Audit log capturing any abnormal activity identified/reported by the application
4.  Use hardened interfaces (n/w) &amp; secure tunnel communications channel </v>
      </c>
      <c r="L76" s="104" t="str">
        <f>Table4[[#This Row],[Security Risk LevelP]]</f>
        <v/>
      </c>
      <c r="M76" s="158" t="str">
        <f>IF(Table4[[#This Row],[Residual Security Risk Acceptability Justification]]&gt;0,Table4[[#This Row],[Residual Security Risk Acceptability Justification]],"")</f>
        <v/>
      </c>
    </row>
    <row r="77" spans="1:13" s="29" customFormat="1" ht="14" x14ac:dyDescent="0.35">
      <c r="A77" s="157"/>
      <c r="B77" s="158"/>
      <c r="C77" s="99"/>
      <c r="D77" s="158"/>
      <c r="E77" s="99"/>
      <c r="F77" s="159"/>
      <c r="G77" s="99"/>
      <c r="H77" s="160"/>
      <c r="I77" s="158"/>
      <c r="J77" s="102"/>
      <c r="K77" s="158"/>
      <c r="L77" s="104"/>
      <c r="M77" s="158"/>
    </row>
    <row r="78" spans="1:13" s="29" customFormat="1" ht="14" x14ac:dyDescent="0.35">
      <c r="A78" s="157"/>
      <c r="B78" s="158"/>
      <c r="C78" s="99"/>
      <c r="D78" s="158"/>
      <c r="E78" s="99"/>
      <c r="F78" s="159"/>
      <c r="G78" s="99"/>
      <c r="H78" s="160"/>
      <c r="I78" s="158"/>
      <c r="J78" s="102"/>
      <c r="K78" s="158"/>
      <c r="L78" s="104"/>
      <c r="M78" s="158"/>
    </row>
    <row r="79" spans="1:13" s="29" customFormat="1" ht="14" x14ac:dyDescent="0.35">
      <c r="A79" s="157"/>
      <c r="B79" s="158"/>
      <c r="C79" s="99"/>
      <c r="D79" s="158"/>
      <c r="E79" s="99"/>
      <c r="F79" s="159"/>
      <c r="G79" s="99"/>
      <c r="H79" s="160"/>
      <c r="I79" s="158"/>
      <c r="J79" s="102"/>
      <c r="K79" s="158"/>
      <c r="L79" s="104"/>
      <c r="M79" s="158"/>
    </row>
    <row r="80" spans="1:13" s="29" customFormat="1" ht="14" x14ac:dyDescent="0.35">
      <c r="A80" s="157"/>
      <c r="B80" s="158"/>
      <c r="C80" s="99"/>
      <c r="D80" s="158"/>
      <c r="E80" s="99"/>
      <c r="F80" s="159"/>
      <c r="G80" s="99"/>
      <c r="H80" s="160"/>
      <c r="I80" s="158"/>
      <c r="J80" s="102"/>
      <c r="K80" s="158"/>
      <c r="L80" s="104"/>
      <c r="M80" s="158"/>
    </row>
    <row r="81" spans="1:13" s="29" customFormat="1" ht="14" x14ac:dyDescent="0.35">
      <c r="A81" s="157"/>
      <c r="B81" s="158"/>
      <c r="C81" s="99"/>
      <c r="D81" s="158"/>
      <c r="E81" s="99"/>
      <c r="F81" s="159"/>
      <c r="G81" s="99"/>
      <c r="H81" s="160"/>
      <c r="I81" s="158"/>
      <c r="J81" s="102"/>
      <c r="K81" s="158"/>
      <c r="L81" s="104"/>
      <c r="M81" s="158"/>
    </row>
    <row r="82" spans="1:13" s="29" customFormat="1" ht="14" x14ac:dyDescent="0.35">
      <c r="A82" s="157"/>
      <c r="B82" s="158"/>
      <c r="C82" s="99"/>
      <c r="D82" s="158"/>
      <c r="E82" s="99"/>
      <c r="F82" s="159"/>
      <c r="G82" s="99"/>
      <c r="H82" s="160"/>
      <c r="I82" s="158"/>
      <c r="J82" s="102"/>
      <c r="K82" s="158"/>
      <c r="L82" s="104"/>
      <c r="M82" s="158"/>
    </row>
    <row r="83" spans="1:13" s="29" customFormat="1" ht="14" x14ac:dyDescent="0.35">
      <c r="A83" s="157"/>
      <c r="B83" s="158"/>
      <c r="C83" s="99"/>
      <c r="D83" s="158"/>
      <c r="E83" s="99"/>
      <c r="F83" s="159"/>
      <c r="G83" s="99"/>
      <c r="H83" s="160"/>
      <c r="I83" s="158"/>
      <c r="J83" s="102"/>
      <c r="K83" s="158"/>
      <c r="L83" s="104"/>
      <c r="M83" s="158"/>
    </row>
    <row r="84" spans="1:13" s="29" customFormat="1" ht="14" x14ac:dyDescent="0.35">
      <c r="A84" s="52"/>
      <c r="B84" s="156"/>
      <c r="C84" s="21"/>
      <c r="D84" s="39"/>
      <c r="E84" s="21"/>
      <c r="F84" s="39"/>
      <c r="G84" s="21"/>
      <c r="H84" s="21"/>
      <c r="I84" s="39"/>
      <c r="J84" s="97"/>
      <c r="K84" s="39"/>
      <c r="L84" s="94"/>
      <c r="M84" s="39"/>
    </row>
    <row r="85" spans="1:13" s="29" customFormat="1" x14ac:dyDescent="0.35">
      <c r="E85" s="61"/>
    </row>
    <row r="86" spans="1:13" s="29" customFormat="1" x14ac:dyDescent="0.35">
      <c r="A86" s="141"/>
      <c r="B86" s="141"/>
      <c r="C86" s="142"/>
      <c r="D86" s="141"/>
      <c r="E86" s="143"/>
      <c r="F86" s="141"/>
      <c r="G86" s="141"/>
    </row>
    <row r="87" spans="1:13" s="29" customFormat="1" ht="14" x14ac:dyDescent="0.25">
      <c r="A87" s="25" t="s">
        <v>59</v>
      </c>
      <c r="C87" s="48"/>
      <c r="E87" s="3"/>
    </row>
    <row r="88" spans="1:13" s="29" customFormat="1" ht="32.25" customHeight="1" x14ac:dyDescent="0.25">
      <c r="B88" s="255" t="s">
        <v>60</v>
      </c>
      <c r="C88" s="255"/>
      <c r="D88" s="255"/>
      <c r="E88" s="255"/>
      <c r="F88" s="255"/>
      <c r="G88" s="255"/>
      <c r="H88" s="255"/>
    </row>
    <row r="89" spans="1:13" s="29" customFormat="1" x14ac:dyDescent="0.35">
      <c r="A89" s="141"/>
      <c r="B89" s="141"/>
      <c r="C89" s="142"/>
      <c r="D89" s="141"/>
      <c r="E89" s="143"/>
      <c r="F89" s="141"/>
      <c r="G89" s="141"/>
    </row>
    <row r="90" spans="1:13" s="29" customFormat="1" x14ac:dyDescent="0.35">
      <c r="A90" s="141"/>
      <c r="B90" s="141"/>
      <c r="C90" s="142"/>
      <c r="D90" s="141"/>
      <c r="E90" s="143"/>
      <c r="F90" s="141"/>
      <c r="G90" s="141"/>
    </row>
    <row r="91" spans="1:13" s="29" customFormat="1" x14ac:dyDescent="0.35">
      <c r="A91" s="141"/>
      <c r="B91" s="141"/>
      <c r="C91" s="142"/>
      <c r="D91" s="141"/>
      <c r="E91" s="143"/>
      <c r="F91" s="141"/>
      <c r="G91" s="141"/>
    </row>
    <row r="92" spans="1:13" s="29" customFormat="1" ht="32.25" customHeight="1" x14ac:dyDescent="0.25">
      <c r="A92" s="141"/>
      <c r="B92" s="141"/>
      <c r="C92" s="142"/>
      <c r="D92" s="141"/>
      <c r="E92" s="143"/>
      <c r="F92" s="141"/>
      <c r="G92" s="141"/>
      <c r="H92" s="26"/>
    </row>
  </sheetData>
  <mergeCells count="1">
    <mergeCell ref="B88:H88"/>
  </mergeCells>
  <conditionalFormatting sqref="L5:L84 J5:J84">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7" right="0.7" top="0.75" bottom="0.75" header="0.3" footer="0.3"/>
  <pageSetup firstPageNumber="0" fitToHeight="0" orientation="landscape"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95" zoomScaleNormal="95" workbookViewId="0">
      <selection activeCell="B6" sqref="B6"/>
    </sheetView>
  </sheetViews>
  <sheetFormatPr defaultColWidth="9.1796875" defaultRowHeight="14.5" x14ac:dyDescent="0.35"/>
  <cols>
    <col min="1" max="1" width="2.1796875" customWidth="1"/>
    <col min="2" max="2" width="15.1796875" customWidth="1"/>
    <col min="4" max="4" width="5.1796875" customWidth="1"/>
    <col min="7" max="7" width="5.453125" customWidth="1"/>
    <col min="11" max="11" width="5.1796875" customWidth="1"/>
    <col min="14" max="14" width="5.1796875" customWidth="1"/>
    <col min="16" max="16" width="13.81640625" customWidth="1"/>
    <col min="17" max="17" width="11" customWidth="1"/>
    <col min="18" max="18" width="17" customWidth="1"/>
  </cols>
  <sheetData>
    <row r="1" spans="2:18" s="64" customFormat="1" ht="27.75" customHeight="1" x14ac:dyDescent="0.3">
      <c r="B1" s="161" t="s">
        <v>314</v>
      </c>
    </row>
    <row r="2" spans="2:18" s="64" customFormat="1" ht="14" x14ac:dyDescent="0.3"/>
    <row r="3" spans="2:18" s="64" customFormat="1" ht="17.5" x14ac:dyDescent="0.35">
      <c r="B3" s="260" t="s">
        <v>315</v>
      </c>
      <c r="C3" s="260"/>
      <c r="D3" s="260"/>
      <c r="E3" s="260"/>
      <c r="F3" s="260"/>
      <c r="G3" s="260"/>
      <c r="H3" s="260"/>
      <c r="I3" s="260"/>
      <c r="J3" s="260"/>
      <c r="K3" s="260"/>
      <c r="L3" s="260"/>
      <c r="M3" s="260"/>
      <c r="N3" s="260"/>
      <c r="P3" s="260" t="s">
        <v>316</v>
      </c>
      <c r="Q3" s="260"/>
      <c r="R3" s="260"/>
    </row>
    <row r="4" spans="2:18" s="64" customFormat="1" ht="15" x14ac:dyDescent="0.3">
      <c r="B4" s="261" t="s">
        <v>208</v>
      </c>
      <c r="C4" s="261"/>
      <c r="D4" s="261"/>
      <c r="E4" s="261" t="s">
        <v>209</v>
      </c>
      <c r="F4" s="261"/>
      <c r="G4" s="261"/>
      <c r="H4" s="261" t="s">
        <v>317</v>
      </c>
      <c r="I4" s="261"/>
      <c r="J4" s="261"/>
      <c r="K4" s="261"/>
      <c r="L4" s="262" t="s">
        <v>211</v>
      </c>
      <c r="M4" s="262"/>
      <c r="N4" s="262"/>
      <c r="P4" s="163"/>
      <c r="Q4" s="164" t="s">
        <v>318</v>
      </c>
      <c r="R4" s="165" t="s">
        <v>319</v>
      </c>
    </row>
    <row r="5" spans="2:18" s="64" customFormat="1" ht="15" x14ac:dyDescent="0.3">
      <c r="B5" s="166" t="s">
        <v>320</v>
      </c>
      <c r="C5" s="166" t="s">
        <v>321</v>
      </c>
      <c r="D5" s="166" t="s">
        <v>322</v>
      </c>
      <c r="E5" s="166" t="s">
        <v>323</v>
      </c>
      <c r="F5" s="166" t="s">
        <v>321</v>
      </c>
      <c r="G5" s="166" t="s">
        <v>322</v>
      </c>
      <c r="H5" s="166" t="s">
        <v>320</v>
      </c>
      <c r="I5" s="265" t="s">
        <v>321</v>
      </c>
      <c r="J5" s="265"/>
      <c r="K5" s="166" t="s">
        <v>322</v>
      </c>
      <c r="L5" s="166" t="s">
        <v>320</v>
      </c>
      <c r="M5" s="166" t="s">
        <v>321</v>
      </c>
      <c r="N5" s="166" t="s">
        <v>322</v>
      </c>
      <c r="P5" s="167"/>
      <c r="Q5" s="168" t="s">
        <v>324</v>
      </c>
      <c r="R5" s="169">
        <v>0.04</v>
      </c>
    </row>
    <row r="6" spans="2:18" s="64" customFormat="1" ht="15" x14ac:dyDescent="0.3">
      <c r="B6" s="170" t="s">
        <v>246</v>
      </c>
      <c r="C6" s="171">
        <v>0.85</v>
      </c>
      <c r="D6" s="63" t="s">
        <v>325</v>
      </c>
      <c r="E6" s="170" t="s">
        <v>240</v>
      </c>
      <c r="F6" s="171">
        <v>0.77</v>
      </c>
      <c r="G6" s="172" t="s">
        <v>326</v>
      </c>
      <c r="H6" s="170" t="s">
        <v>245</v>
      </c>
      <c r="I6" s="173">
        <v>0.85</v>
      </c>
      <c r="J6" s="174">
        <v>0.85</v>
      </c>
      <c r="K6" s="63" t="s">
        <v>325</v>
      </c>
      <c r="L6" s="170" t="s">
        <v>245</v>
      </c>
      <c r="M6" s="175">
        <v>0.85</v>
      </c>
      <c r="N6" s="176" t="s">
        <v>325</v>
      </c>
      <c r="P6" s="167"/>
      <c r="Q6" s="177" t="s">
        <v>240</v>
      </c>
      <c r="R6" s="178">
        <v>0.2</v>
      </c>
    </row>
    <row r="7" spans="2:18" s="64" customFormat="1" ht="15" x14ac:dyDescent="0.3">
      <c r="B7" s="170" t="s">
        <v>293</v>
      </c>
      <c r="C7" s="179">
        <v>0.62</v>
      </c>
      <c r="D7" s="63" t="s">
        <v>327</v>
      </c>
      <c r="E7" s="170" t="s">
        <v>250</v>
      </c>
      <c r="F7" s="179">
        <v>0.44</v>
      </c>
      <c r="G7" s="172" t="s">
        <v>328</v>
      </c>
      <c r="H7" s="170" t="s">
        <v>240</v>
      </c>
      <c r="I7" s="180">
        <v>0.62</v>
      </c>
      <c r="J7" s="174">
        <v>0.68</v>
      </c>
      <c r="K7" s="63" t="s">
        <v>326</v>
      </c>
      <c r="L7" s="170" t="s">
        <v>242</v>
      </c>
      <c r="M7" s="181">
        <v>0.62</v>
      </c>
      <c r="N7" s="176" t="s">
        <v>329</v>
      </c>
      <c r="P7" s="167"/>
      <c r="Q7" s="182" t="s">
        <v>251</v>
      </c>
      <c r="R7" s="178">
        <v>0.5</v>
      </c>
    </row>
    <row r="8" spans="2:18" s="64" customFormat="1" ht="15" x14ac:dyDescent="0.3">
      <c r="B8" s="170" t="s">
        <v>249</v>
      </c>
      <c r="C8" s="179">
        <v>0.55000000000000004</v>
      </c>
      <c r="D8" s="63" t="s">
        <v>326</v>
      </c>
      <c r="E8" s="170"/>
      <c r="F8" s="179"/>
      <c r="G8" s="63"/>
      <c r="H8" s="170" t="s">
        <v>250</v>
      </c>
      <c r="I8" s="180">
        <v>0.27</v>
      </c>
      <c r="J8" s="174">
        <v>0.5</v>
      </c>
      <c r="K8" s="63" t="s">
        <v>328</v>
      </c>
      <c r="L8" s="170"/>
      <c r="M8" s="174"/>
      <c r="N8" s="176"/>
      <c r="P8" s="167"/>
      <c r="Q8" s="183" t="s">
        <v>250</v>
      </c>
      <c r="R8" s="178">
        <v>0.8</v>
      </c>
    </row>
    <row r="9" spans="2:18" s="64" customFormat="1" ht="15" x14ac:dyDescent="0.3">
      <c r="B9" s="170" t="s">
        <v>241</v>
      </c>
      <c r="C9" s="179">
        <v>0.2</v>
      </c>
      <c r="D9" s="176" t="s">
        <v>330</v>
      </c>
      <c r="E9" s="184"/>
      <c r="F9" s="185"/>
      <c r="G9" s="186"/>
      <c r="H9" s="170"/>
      <c r="I9" s="180"/>
      <c r="J9" s="174"/>
      <c r="K9" s="176"/>
      <c r="L9" s="170"/>
      <c r="M9" s="174"/>
      <c r="N9" s="176"/>
      <c r="P9" s="167"/>
      <c r="Q9" s="187" t="s">
        <v>331</v>
      </c>
      <c r="R9" s="178">
        <v>1</v>
      </c>
    </row>
    <row r="10" spans="2:18" s="64" customFormat="1" ht="15" x14ac:dyDescent="0.3">
      <c r="B10" s="188"/>
      <c r="C10" s="189"/>
      <c r="D10" s="190"/>
      <c r="E10" s="191"/>
      <c r="F10" s="192"/>
      <c r="G10" s="193"/>
      <c r="H10" s="188"/>
      <c r="I10" s="194"/>
      <c r="J10" s="195"/>
      <c r="K10" s="190"/>
      <c r="L10" s="188"/>
      <c r="M10" s="195"/>
      <c r="N10" s="190"/>
      <c r="P10" s="162"/>
      <c r="R10" s="178"/>
    </row>
    <row r="11" spans="2:18" s="64" customFormat="1" ht="14" x14ac:dyDescent="0.3"/>
    <row r="12" spans="2:18" s="64" customFormat="1" ht="17.5" x14ac:dyDescent="0.35">
      <c r="B12" s="260" t="s">
        <v>332</v>
      </c>
      <c r="C12" s="260"/>
      <c r="D12" s="260"/>
      <c r="E12" s="260"/>
      <c r="F12" s="260"/>
      <c r="G12" s="260"/>
      <c r="H12" s="260"/>
      <c r="I12" s="260"/>
      <c r="J12" s="260"/>
      <c r="K12" s="260"/>
      <c r="L12" s="260"/>
      <c r="M12" s="260"/>
      <c r="N12" s="260"/>
      <c r="P12" s="196" t="s">
        <v>333</v>
      </c>
      <c r="Q12" s="197" t="s">
        <v>69</v>
      </c>
    </row>
    <row r="13" spans="2:18" s="64" customFormat="1" ht="15" x14ac:dyDescent="0.3">
      <c r="B13" s="266" t="s">
        <v>334</v>
      </c>
      <c r="C13" s="266"/>
      <c r="D13" s="266"/>
      <c r="E13" s="266"/>
      <c r="F13" s="266"/>
      <c r="G13" s="266"/>
      <c r="H13" s="266"/>
      <c r="I13" s="266"/>
      <c r="J13" s="266"/>
      <c r="K13" s="266"/>
      <c r="L13" s="266"/>
      <c r="M13" s="266"/>
      <c r="N13" s="266"/>
      <c r="P13" s="170"/>
      <c r="Q13" s="174" t="s">
        <v>335</v>
      </c>
    </row>
    <row r="14" spans="2:18" s="64" customFormat="1" ht="14" x14ac:dyDescent="0.3">
      <c r="B14" s="166" t="s">
        <v>320</v>
      </c>
      <c r="C14" s="166" t="s">
        <v>321</v>
      </c>
      <c r="D14" s="166" t="s">
        <v>322</v>
      </c>
      <c r="E14" s="198"/>
      <c r="F14" s="198"/>
      <c r="G14" s="198"/>
      <c r="H14" s="198"/>
      <c r="I14" s="198"/>
      <c r="J14" s="198"/>
      <c r="K14" s="198"/>
      <c r="L14" s="198"/>
      <c r="M14" s="198"/>
      <c r="N14" s="197"/>
      <c r="P14" s="188"/>
      <c r="Q14" s="195"/>
    </row>
    <row r="15" spans="2:18" s="64" customFormat="1" ht="16" x14ac:dyDescent="0.4">
      <c r="B15" s="199" t="s">
        <v>245</v>
      </c>
      <c r="C15" s="171">
        <v>0</v>
      </c>
      <c r="D15" s="200" t="s">
        <v>325</v>
      </c>
      <c r="E15" s="201" t="s">
        <v>336</v>
      </c>
      <c r="F15" s="185"/>
      <c r="G15" s="185"/>
      <c r="H15" s="185"/>
      <c r="J15" s="185"/>
      <c r="K15" s="185"/>
      <c r="L15" s="185"/>
      <c r="M15" s="185"/>
      <c r="N15" s="174"/>
    </row>
    <row r="16" spans="2:18" s="64" customFormat="1" ht="14" x14ac:dyDescent="0.3">
      <c r="B16" s="184" t="s">
        <v>240</v>
      </c>
      <c r="C16" s="179">
        <v>0.22</v>
      </c>
      <c r="D16" s="202" t="s">
        <v>326</v>
      </c>
      <c r="E16" s="185"/>
      <c r="F16" s="185"/>
      <c r="G16" s="185"/>
      <c r="H16" s="185"/>
      <c r="I16" s="185"/>
      <c r="J16" s="185"/>
      <c r="K16" s="185"/>
      <c r="L16" s="185"/>
      <c r="M16" s="185"/>
      <c r="N16" s="174"/>
    </row>
    <row r="17" spans="2:17" s="64" customFormat="1" ht="14" x14ac:dyDescent="0.3">
      <c r="B17" s="184" t="s">
        <v>250</v>
      </c>
      <c r="C17" s="179">
        <v>0.56000000000000005</v>
      </c>
      <c r="D17" s="202" t="s">
        <v>328</v>
      </c>
      <c r="E17" s="185"/>
      <c r="F17" s="185"/>
      <c r="G17" s="185"/>
      <c r="H17" s="185"/>
      <c r="I17" s="185"/>
      <c r="J17" s="185"/>
      <c r="K17" s="185"/>
      <c r="L17" s="185"/>
      <c r="M17" s="185"/>
      <c r="N17" s="174"/>
    </row>
    <row r="18" spans="2:17" s="64" customFormat="1" ht="14" x14ac:dyDescent="0.3">
      <c r="B18" s="191"/>
      <c r="C18" s="189"/>
      <c r="D18" s="203"/>
      <c r="E18" s="192"/>
      <c r="F18" s="192"/>
      <c r="G18" s="192"/>
      <c r="H18" s="192"/>
      <c r="I18" s="192"/>
      <c r="J18" s="192"/>
      <c r="K18" s="192"/>
      <c r="L18" s="192"/>
      <c r="M18" s="192"/>
      <c r="N18" s="195"/>
    </row>
    <row r="19" spans="2:17" s="64" customFormat="1" ht="14" x14ac:dyDescent="0.3"/>
    <row r="20" spans="2:17" s="64" customFormat="1" ht="17.5" x14ac:dyDescent="0.35">
      <c r="B20" s="260" t="s">
        <v>212</v>
      </c>
      <c r="C20" s="260"/>
      <c r="D20" s="260"/>
      <c r="E20" s="260"/>
      <c r="F20" s="260"/>
      <c r="G20" s="260"/>
      <c r="H20" s="260"/>
      <c r="I20" s="260"/>
      <c r="J20" s="260"/>
      <c r="K20" s="260"/>
      <c r="L20" s="260"/>
      <c r="M20" s="260"/>
      <c r="N20" s="260"/>
    </row>
    <row r="21" spans="2:17" s="64" customFormat="1" ht="42.65" customHeight="1" x14ac:dyDescent="0.3">
      <c r="B21" s="204" t="s">
        <v>243</v>
      </c>
      <c r="C21" s="267" t="s">
        <v>337</v>
      </c>
      <c r="D21" s="267"/>
      <c r="E21" s="267"/>
      <c r="F21" s="267"/>
      <c r="G21" s="267"/>
      <c r="H21" s="267"/>
      <c r="I21" s="267"/>
      <c r="J21" s="267"/>
      <c r="K21" s="267"/>
      <c r="L21" s="267"/>
      <c r="M21" s="267"/>
      <c r="N21" s="205" t="s">
        <v>338</v>
      </c>
    </row>
    <row r="22" spans="2:17" s="64" customFormat="1" ht="44" customHeight="1" x14ac:dyDescent="0.3">
      <c r="B22" s="206" t="s">
        <v>247</v>
      </c>
      <c r="C22" s="263" t="s">
        <v>339</v>
      </c>
      <c r="D22" s="263"/>
      <c r="E22" s="263"/>
      <c r="F22" s="263"/>
      <c r="G22" s="263"/>
      <c r="H22" s="263"/>
      <c r="I22" s="263"/>
      <c r="J22" s="263"/>
      <c r="K22" s="263"/>
      <c r="L22" s="263"/>
      <c r="M22" s="263"/>
      <c r="N22" s="207" t="s">
        <v>340</v>
      </c>
      <c r="O22" s="208"/>
      <c r="P22" s="208"/>
      <c r="Q22" s="208"/>
    </row>
    <row r="23" spans="2:17" s="64" customFormat="1" ht="15" x14ac:dyDescent="0.3">
      <c r="B23" s="206"/>
      <c r="C23" s="263"/>
      <c r="D23" s="263"/>
      <c r="E23" s="263"/>
      <c r="F23" s="263"/>
      <c r="G23" s="263"/>
      <c r="H23" s="263"/>
      <c r="I23" s="263"/>
      <c r="J23" s="263"/>
      <c r="K23" s="263"/>
      <c r="L23" s="263"/>
      <c r="M23" s="263"/>
      <c r="N23" s="207"/>
    </row>
    <row r="24" spans="2:17" s="64" customFormat="1" ht="14" x14ac:dyDescent="0.3"/>
    <row r="25" spans="2:17" s="64" customFormat="1" ht="14" x14ac:dyDescent="0.3">
      <c r="B25" s="64" t="s">
        <v>341</v>
      </c>
    </row>
    <row r="26" spans="2:17" s="64" customFormat="1" ht="262.5" customHeight="1" x14ac:dyDescent="0.3">
      <c r="B26" s="29" t="s">
        <v>342</v>
      </c>
      <c r="C26" s="264" t="s">
        <v>343</v>
      </c>
      <c r="D26" s="264"/>
      <c r="E26" s="264"/>
      <c r="F26" s="264"/>
      <c r="G26" s="264"/>
      <c r="H26" s="264"/>
      <c r="I26" s="264"/>
      <c r="J26" s="264"/>
    </row>
    <row r="29" spans="2:17" x14ac:dyDescent="0.35">
      <c r="B29" s="25" t="s">
        <v>59</v>
      </c>
    </row>
    <row r="30" spans="2:17" ht="48" customHeight="1" x14ac:dyDescent="0.35">
      <c r="C30" s="255" t="s">
        <v>60</v>
      </c>
      <c r="D30" s="255"/>
      <c r="E30" s="255"/>
      <c r="F30" s="255"/>
      <c r="G30" s="255"/>
      <c r="H30" s="255"/>
      <c r="I30" s="255"/>
    </row>
  </sheetData>
  <mergeCells count="15">
    <mergeCell ref="C22:M22"/>
    <mergeCell ref="C23:M23"/>
    <mergeCell ref="C26:J26"/>
    <mergeCell ref="C30:I30"/>
    <mergeCell ref="I5:J5"/>
    <mergeCell ref="B12:N12"/>
    <mergeCell ref="B13:N13"/>
    <mergeCell ref="B20:N20"/>
    <mergeCell ref="C21:M21"/>
    <mergeCell ref="B3:N3"/>
    <mergeCell ref="P3:R3"/>
    <mergeCell ref="B4:D4"/>
    <mergeCell ref="E4:G4"/>
    <mergeCell ref="H4:K4"/>
    <mergeCell ref="L4:N4"/>
  </mergeCells>
  <pageMargins left="0.70833333333333304" right="0.70833333333333304" top="1.1027777777777801" bottom="0.74861111111111101" header="0.31527777777777799" footer="0.31527777777777799"/>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15"/>
  <sheetViews>
    <sheetView zoomScale="95" zoomScaleNormal="95" workbookViewId="0">
      <selection activeCell="B16" sqref="B16"/>
    </sheetView>
  </sheetViews>
  <sheetFormatPr defaultColWidth="9.1796875" defaultRowHeight="14.5" x14ac:dyDescent="0.35"/>
  <cols>
    <col min="1" max="1" width="7.1796875" style="141" customWidth="1"/>
    <col min="2" max="2" width="34.81640625" style="141" customWidth="1"/>
    <col min="3" max="3" width="15.81640625" style="142" customWidth="1"/>
    <col min="4" max="4" width="2.81640625" style="141" customWidth="1"/>
    <col min="5" max="5" width="9.1796875" style="141"/>
    <col min="6" max="6" width="44.81640625" style="141" customWidth="1"/>
    <col min="7" max="7" width="15.81640625" style="141" customWidth="1"/>
    <col min="8" max="1024" width="9.1796875" style="141"/>
  </cols>
  <sheetData>
    <row r="1" spans="1:8" s="29" customFormat="1" ht="14" x14ac:dyDescent="0.35">
      <c r="A1" s="161" t="s">
        <v>344</v>
      </c>
      <c r="C1" s="48"/>
    </row>
    <row r="2" spans="1:8" s="29" customFormat="1" ht="14" x14ac:dyDescent="0.35">
      <c r="C2" s="48"/>
    </row>
    <row r="3" spans="1:8" s="29" customFormat="1" ht="14.4" customHeight="1" x14ac:dyDescent="0.35">
      <c r="A3" s="268" t="s">
        <v>345</v>
      </c>
      <c r="B3" s="268"/>
      <c r="C3" s="268"/>
      <c r="E3" s="269" t="s">
        <v>346</v>
      </c>
      <c r="F3" s="269"/>
      <c r="G3" s="269"/>
    </row>
    <row r="4" spans="1:8" s="29" customFormat="1" ht="14" x14ac:dyDescent="0.35">
      <c r="A4" s="209" t="s">
        <v>347</v>
      </c>
      <c r="B4" s="210" t="s">
        <v>144</v>
      </c>
      <c r="C4" s="211" t="s">
        <v>348</v>
      </c>
      <c r="E4" s="212" t="s">
        <v>347</v>
      </c>
      <c r="F4" s="213" t="s">
        <v>349</v>
      </c>
      <c r="G4" s="214" t="s">
        <v>348</v>
      </c>
    </row>
    <row r="5" spans="1:8" s="29" customFormat="1" ht="42" x14ac:dyDescent="0.35">
      <c r="A5" s="215" t="s">
        <v>350</v>
      </c>
      <c r="B5" s="6" t="s">
        <v>351</v>
      </c>
      <c r="C5" s="216" t="s">
        <v>352</v>
      </c>
      <c r="E5" s="215" t="s">
        <v>353</v>
      </c>
      <c r="F5" s="217" t="s">
        <v>354</v>
      </c>
      <c r="G5" s="218" t="s">
        <v>352</v>
      </c>
    </row>
    <row r="6" spans="1:8" s="29" customFormat="1" ht="28" x14ac:dyDescent="0.35">
      <c r="A6" s="14" t="s">
        <v>355</v>
      </c>
      <c r="B6" s="6" t="s">
        <v>356</v>
      </c>
      <c r="C6" s="216" t="s">
        <v>352</v>
      </c>
      <c r="E6" s="14" t="s">
        <v>357</v>
      </c>
      <c r="F6" s="217" t="s">
        <v>358</v>
      </c>
      <c r="G6" s="219" t="s">
        <v>352</v>
      </c>
    </row>
    <row r="7" spans="1:8" s="29" customFormat="1" ht="28" x14ac:dyDescent="0.35">
      <c r="A7" s="14" t="s">
        <v>359</v>
      </c>
      <c r="B7" s="6" t="s">
        <v>360</v>
      </c>
      <c r="C7" s="216" t="s">
        <v>352</v>
      </c>
      <c r="E7" s="14" t="s">
        <v>361</v>
      </c>
      <c r="F7" s="217" t="s">
        <v>362</v>
      </c>
      <c r="G7" s="219" t="s">
        <v>352</v>
      </c>
    </row>
    <row r="8" spans="1:8" s="29" customFormat="1" ht="28" x14ac:dyDescent="0.35">
      <c r="A8" s="220" t="s">
        <v>363</v>
      </c>
      <c r="B8" s="221" t="s">
        <v>364</v>
      </c>
      <c r="C8" s="216" t="s">
        <v>325</v>
      </c>
      <c r="E8" s="14" t="s">
        <v>365</v>
      </c>
      <c r="F8" s="217" t="s">
        <v>366</v>
      </c>
      <c r="G8" s="219" t="s">
        <v>352</v>
      </c>
    </row>
    <row r="9" spans="1:8" s="29" customFormat="1" ht="28" x14ac:dyDescent="0.35">
      <c r="A9" s="220" t="s">
        <v>367</v>
      </c>
      <c r="B9" s="221" t="s">
        <v>368</v>
      </c>
      <c r="C9" s="216" t="s">
        <v>325</v>
      </c>
      <c r="E9" s="14" t="s">
        <v>369</v>
      </c>
      <c r="F9" s="217" t="s">
        <v>370</v>
      </c>
      <c r="G9" s="219" t="s">
        <v>352</v>
      </c>
    </row>
    <row r="10" spans="1:8" s="29" customFormat="1" ht="42" x14ac:dyDescent="0.35">
      <c r="A10" s="222" t="s">
        <v>371</v>
      </c>
      <c r="B10" s="223" t="s">
        <v>372</v>
      </c>
      <c r="C10" s="224" t="s">
        <v>325</v>
      </c>
      <c r="E10" s="225" t="s">
        <v>373</v>
      </c>
      <c r="F10" s="226" t="s">
        <v>374</v>
      </c>
      <c r="G10" s="227" t="s">
        <v>325</v>
      </c>
    </row>
    <row r="11" spans="1:8" s="29" customFormat="1" ht="14" x14ac:dyDescent="0.35">
      <c r="C11" s="48"/>
    </row>
    <row r="12" spans="1:8" s="29" customFormat="1" ht="14" x14ac:dyDescent="0.35">
      <c r="C12" s="48"/>
    </row>
    <row r="13" spans="1:8" s="29" customFormat="1" ht="14" x14ac:dyDescent="0.35">
      <c r="C13" s="48"/>
    </row>
    <row r="14" spans="1:8" s="29" customFormat="1" ht="14" x14ac:dyDescent="0.25">
      <c r="A14" s="25" t="s">
        <v>59</v>
      </c>
      <c r="C14" s="48"/>
    </row>
    <row r="15" spans="1:8" s="29" customFormat="1" ht="32.25" customHeight="1" x14ac:dyDescent="0.25">
      <c r="B15" s="255" t="s">
        <v>60</v>
      </c>
      <c r="C15" s="255"/>
      <c r="D15" s="255"/>
      <c r="E15" s="255"/>
      <c r="F15" s="255"/>
      <c r="G15" s="255"/>
      <c r="H15" s="255"/>
    </row>
  </sheetData>
  <mergeCells count="3">
    <mergeCell ref="A3:C3"/>
    <mergeCell ref="E3:G3"/>
    <mergeCell ref="B15:H15"/>
  </mergeCells>
  <pageMargins left="0.7" right="0.7" top="1.29375" bottom="0.75" header="0.3" footer="0.3"/>
  <pageSetup firstPageNumber="0" fitToHeight="0" orientation="portrait" horizontalDpi="300" verticalDpi="300"/>
  <headerFooter>
    <oddHeader>&amp;L&amp;"Cambria,Regular"Doc Number: D0000000909
Name: Product Security Risk Table
Revision:  AB
&amp;20Form</oddHeader>
    <oddFooter>&amp;L&amp;"Cambria,Regular"&amp;8Stryker Confidential&amp;R&amp;"Cambria,Regular"&amp;8Page &amp;P of &amp;N</oddFooter>
  </headerFooter>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95" zoomScaleNormal="95" workbookViewId="0">
      <selection activeCell="H13" sqref="H13"/>
    </sheetView>
  </sheetViews>
  <sheetFormatPr defaultColWidth="9.1796875" defaultRowHeight="14.5" x14ac:dyDescent="0.35"/>
  <cols>
    <col min="1" max="1" width="6.1796875" customWidth="1"/>
    <col min="2" max="2" width="38.1796875" customWidth="1"/>
    <col min="3" max="3" width="49.453125" customWidth="1"/>
    <col min="4" max="4" width="27.81640625" customWidth="1"/>
    <col min="5" max="5" width="14.81640625" customWidth="1"/>
    <col min="6" max="6" width="16.1796875" customWidth="1"/>
    <col min="7" max="8" width="20.1796875" customWidth="1"/>
  </cols>
  <sheetData>
    <row r="1" spans="1:8" ht="14.4" customHeight="1" x14ac:dyDescent="0.35">
      <c r="A1" s="270" t="s">
        <v>375</v>
      </c>
      <c r="B1" s="270"/>
      <c r="C1" s="270"/>
      <c r="D1" s="270"/>
      <c r="E1" s="270"/>
      <c r="F1" s="270"/>
      <c r="G1" s="270"/>
      <c r="H1" s="270"/>
    </row>
    <row r="2" spans="1:8" ht="58" x14ac:dyDescent="0.35">
      <c r="A2" s="228" t="s">
        <v>141</v>
      </c>
      <c r="B2" s="228" t="s">
        <v>142</v>
      </c>
      <c r="C2" s="228" t="s">
        <v>143</v>
      </c>
      <c r="D2" s="229" t="s">
        <v>144</v>
      </c>
      <c r="E2" s="230" t="s">
        <v>376</v>
      </c>
      <c r="F2" s="228" t="s">
        <v>377</v>
      </c>
      <c r="G2" s="228" t="s">
        <v>378</v>
      </c>
      <c r="H2" s="228" t="s">
        <v>379</v>
      </c>
    </row>
    <row r="3" spans="1:8" s="237" customFormat="1" ht="48" x14ac:dyDescent="0.35">
      <c r="A3" s="231" t="s">
        <v>380</v>
      </c>
      <c r="B3" s="232" t="s">
        <v>381</v>
      </c>
      <c r="C3" s="232" t="s">
        <v>382</v>
      </c>
      <c r="D3" s="233" t="s">
        <v>350</v>
      </c>
      <c r="E3" s="234" t="s">
        <v>383</v>
      </c>
      <c r="F3" s="235" t="s">
        <v>324</v>
      </c>
      <c r="G3" s="235" t="s">
        <v>324</v>
      </c>
      <c r="H3" s="236" t="s">
        <v>324</v>
      </c>
    </row>
    <row r="4" spans="1:8" x14ac:dyDescent="0.35">
      <c r="A4" s="238"/>
      <c r="B4" s="238"/>
      <c r="C4" s="238"/>
      <c r="D4" s="238"/>
      <c r="E4" s="239"/>
      <c r="F4" s="238"/>
      <c r="G4" s="238"/>
      <c r="H4" s="238"/>
    </row>
    <row r="5" spans="1:8" x14ac:dyDescent="0.35">
      <c r="A5" s="238"/>
      <c r="B5" s="238"/>
      <c r="C5" s="238"/>
      <c r="D5" s="238"/>
      <c r="E5" s="239"/>
      <c r="F5" s="238"/>
      <c r="G5" s="238"/>
      <c r="H5" s="238"/>
    </row>
    <row r="6" spans="1:8" x14ac:dyDescent="0.35">
      <c r="A6" s="238"/>
      <c r="B6" s="238"/>
      <c r="C6" s="238"/>
      <c r="D6" s="238"/>
      <c r="E6" s="239"/>
      <c r="F6" s="238"/>
      <c r="G6" s="238"/>
      <c r="H6" s="238"/>
    </row>
    <row r="7" spans="1:8" x14ac:dyDescent="0.35">
      <c r="A7" s="238"/>
      <c r="B7" s="238"/>
      <c r="C7" s="238"/>
      <c r="D7" s="238"/>
      <c r="E7" s="239"/>
      <c r="F7" s="238"/>
      <c r="G7" s="238"/>
      <c r="H7" s="238"/>
    </row>
    <row r="8" spans="1:8" x14ac:dyDescent="0.35">
      <c r="A8" s="238"/>
      <c r="B8" s="238"/>
      <c r="C8" s="238"/>
      <c r="D8" s="238"/>
      <c r="E8" s="239"/>
      <c r="F8" s="238"/>
      <c r="G8" s="238"/>
      <c r="H8" s="238"/>
    </row>
    <row r="9" spans="1:8" x14ac:dyDescent="0.35">
      <c r="A9" s="238"/>
      <c r="B9" s="238"/>
      <c r="C9" s="238"/>
      <c r="D9" s="238"/>
      <c r="E9" s="239"/>
      <c r="F9" s="238"/>
      <c r="G9" s="238"/>
      <c r="H9" s="238"/>
    </row>
    <row r="10" spans="1:8" x14ac:dyDescent="0.35">
      <c r="A10" s="238"/>
      <c r="B10" s="238"/>
      <c r="C10" s="238"/>
      <c r="D10" s="238"/>
      <c r="E10" s="239"/>
      <c r="F10" s="238"/>
      <c r="G10" s="238"/>
      <c r="H10" s="238"/>
    </row>
  </sheetData>
  <mergeCells count="1">
    <mergeCell ref="A1:H1"/>
  </mergeCells>
  <dataValidations count="2">
    <dataValidation type="list" allowBlank="1" showInputMessage="1" showErrorMessage="1" sqref="F3:H3" xr:uid="{00000000-0002-0000-0700-000000000000}">
      <formula1>"Very High,High,Moderate,Low,Very Low"</formula1>
      <formula2>0</formula2>
    </dataValidation>
    <dataValidation type="list" allowBlank="1" showInputMessage="1" showErrorMessage="1" sqref="E3" xr:uid="{00000000-0002-0000-07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zoomScale="95" zoomScaleNormal="95" workbookViewId="0">
      <selection activeCell="H13" sqref="H13"/>
    </sheetView>
  </sheetViews>
  <sheetFormatPr defaultColWidth="9.1796875" defaultRowHeight="14.5" x14ac:dyDescent="0.35"/>
  <cols>
    <col min="1" max="1" width="27.81640625" customWidth="1"/>
    <col min="2" max="2" width="102.1796875" customWidth="1"/>
  </cols>
  <sheetData>
    <row r="1" spans="1:2" ht="18.5" x14ac:dyDescent="0.35">
      <c r="A1" s="240"/>
      <c r="B1" s="241"/>
    </row>
    <row r="2" spans="1:2" ht="18.5" x14ac:dyDescent="0.35">
      <c r="A2" s="242" t="s">
        <v>384</v>
      </c>
      <c r="B2" s="243" t="s">
        <v>385</v>
      </c>
    </row>
    <row r="3" spans="1:2" ht="18.5" x14ac:dyDescent="0.35">
      <c r="A3" s="244"/>
      <c r="B3" s="245"/>
    </row>
    <row r="4" spans="1:2" x14ac:dyDescent="0.35">
      <c r="A4" s="271"/>
      <c r="B4" s="246"/>
    </row>
    <row r="5" spans="1:2" x14ac:dyDescent="0.35">
      <c r="A5" s="271"/>
      <c r="B5" s="247"/>
    </row>
    <row r="6" spans="1:2" x14ac:dyDescent="0.35">
      <c r="A6" s="271"/>
      <c r="B6" s="247"/>
    </row>
    <row r="7" spans="1:2" x14ac:dyDescent="0.35">
      <c r="A7" s="271"/>
      <c r="B7" s="248"/>
    </row>
    <row r="8" spans="1:2" ht="18.5" x14ac:dyDescent="0.35">
      <c r="A8" s="240"/>
      <c r="B8" s="241"/>
    </row>
    <row r="9" spans="1:2" x14ac:dyDescent="0.35">
      <c r="A9" s="271"/>
      <c r="B9" s="246"/>
    </row>
    <row r="10" spans="1:2" x14ac:dyDescent="0.35">
      <c r="A10" s="271"/>
      <c r="B10" s="247"/>
    </row>
    <row r="11" spans="1:2" x14ac:dyDescent="0.35">
      <c r="A11" s="271"/>
      <c r="B11" s="247"/>
    </row>
    <row r="12" spans="1:2" x14ac:dyDescent="0.35">
      <c r="A12" s="271"/>
      <c r="B12" s="247"/>
    </row>
    <row r="13" spans="1:2" x14ac:dyDescent="0.35">
      <c r="A13" s="271"/>
      <c r="B13" s="24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dc:description/>
  <cp:lastModifiedBy>Sai Praneetha Bhaskaruni</cp:lastModifiedBy>
  <cp:revision>5</cp:revision>
  <cp:lastPrinted>2018-12-18T12:40:04Z</cp:lastPrinted>
  <dcterms:created xsi:type="dcterms:W3CDTF">2017-03-06T20:58:36Z</dcterms:created>
  <dcterms:modified xsi:type="dcterms:W3CDTF">2022-03-18T06:59:15Z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