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showInkAnnotation="0"/>
  <mc:AlternateContent xmlns:mc="http://schemas.openxmlformats.org/markup-compatibility/2006">
    <mc:Choice Requires="x15">
      <x15ac:absPath xmlns:x15ac="http://schemas.microsoft.com/office/spreadsheetml/2010/11/ac" url="D:\OneDrive - LTTS\Desktop\"/>
    </mc:Choice>
  </mc:AlternateContent>
  <bookViews>
    <workbookView xWindow="0" yWindow="0" windowWidth="11670" windowHeight="3855" tabRatio="891" activeTab="3"/>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12" l="1"/>
  <c r="E24" i="12"/>
  <c r="G24" i="12"/>
  <c r="R24" i="12"/>
  <c r="S24" i="12"/>
  <c r="T24" i="12" s="1"/>
  <c r="W24" i="12"/>
  <c r="AK24" i="12"/>
  <c r="AL24" i="12"/>
  <c r="AM24" i="12"/>
  <c r="AN24" i="12" s="1"/>
  <c r="U24" i="12" l="1"/>
  <c r="X24" i="12"/>
  <c r="Y24" i="12" s="1"/>
  <c r="AO24" i="12"/>
  <c r="AP24" i="12" s="1"/>
  <c r="C23" i="12" l="1"/>
  <c r="E23" i="12"/>
  <c r="G23" i="12"/>
  <c r="R23" i="12"/>
  <c r="S23" i="12"/>
  <c r="T23" i="12" s="1"/>
  <c r="W23" i="12"/>
  <c r="AK23" i="12"/>
  <c r="AL23" i="12"/>
  <c r="AM23" i="12"/>
  <c r="AN23" i="12" s="1"/>
  <c r="C21" i="12"/>
  <c r="C22" i="12"/>
  <c r="E21" i="12"/>
  <c r="E22" i="12"/>
  <c r="G21" i="12"/>
  <c r="G22" i="12"/>
  <c r="R21" i="12"/>
  <c r="R22" i="12"/>
  <c r="S21" i="12"/>
  <c r="T21" i="12" s="1"/>
  <c r="S22" i="12"/>
  <c r="T22" i="12" s="1"/>
  <c r="W21" i="12"/>
  <c r="W22" i="12"/>
  <c r="AK21" i="12"/>
  <c r="AK22" i="12"/>
  <c r="AL21" i="12"/>
  <c r="AL22" i="12"/>
  <c r="AM21" i="12"/>
  <c r="AN21" i="12" s="1"/>
  <c r="AM22" i="12"/>
  <c r="AN22" i="12" s="1"/>
  <c r="C17" i="12"/>
  <c r="E17" i="12"/>
  <c r="G17" i="12"/>
  <c r="R17" i="12"/>
  <c r="S17" i="12"/>
  <c r="T17" i="12" s="1"/>
  <c r="W17" i="12"/>
  <c r="AK17" i="12"/>
  <c r="AL17" i="12"/>
  <c r="AM17" i="12"/>
  <c r="AN17" i="12" s="1"/>
  <c r="C16" i="12"/>
  <c r="E16" i="12"/>
  <c r="G16" i="12"/>
  <c r="R16" i="12"/>
  <c r="S16" i="12"/>
  <c r="T16" i="12" s="1"/>
  <c r="W16" i="12"/>
  <c r="AK16" i="12"/>
  <c r="AL16" i="12"/>
  <c r="AM16" i="12"/>
  <c r="AN16" i="12" s="1"/>
  <c r="AO23" i="12" l="1"/>
  <c r="AP23" i="12" s="1"/>
  <c r="U21" i="12"/>
  <c r="X23" i="12"/>
  <c r="Y23" i="12" s="1"/>
  <c r="U22" i="12"/>
  <c r="U23" i="12"/>
  <c r="X22" i="12"/>
  <c r="Y22" i="12" s="1"/>
  <c r="X21" i="12"/>
  <c r="Y21" i="12" s="1"/>
  <c r="U17" i="12"/>
  <c r="U16" i="12"/>
  <c r="X17" i="12"/>
  <c r="Y17" i="12" s="1"/>
  <c r="X16" i="12"/>
  <c r="Y16" i="12" s="1"/>
  <c r="AO22" i="12"/>
  <c r="AP22" i="12" s="1"/>
  <c r="AO21" i="12"/>
  <c r="AP21" i="12" s="1"/>
  <c r="AO17" i="12"/>
  <c r="AP17" i="12" s="1"/>
  <c r="AO16" i="12"/>
  <c r="AP16" i="12" s="1"/>
  <c r="C20" i="12"/>
  <c r="E20" i="12"/>
  <c r="G20" i="12"/>
  <c r="R20" i="12"/>
  <c r="S20" i="12"/>
  <c r="T20" i="12" s="1"/>
  <c r="W20" i="12"/>
  <c r="AK20" i="12"/>
  <c r="AL20" i="12"/>
  <c r="AM20" i="12"/>
  <c r="AN20" i="12" s="1"/>
  <c r="C19" i="12"/>
  <c r="E19" i="12"/>
  <c r="G19" i="12"/>
  <c r="R19" i="12"/>
  <c r="S19" i="12"/>
  <c r="T19" i="12" s="1"/>
  <c r="W19" i="12"/>
  <c r="AK19" i="12"/>
  <c r="AL19" i="12"/>
  <c r="AM19" i="12"/>
  <c r="AO19" i="12" s="1"/>
  <c r="AP19" i="12" s="1"/>
  <c r="C18" i="12"/>
  <c r="E18" i="12"/>
  <c r="G18" i="12"/>
  <c r="R18" i="12"/>
  <c r="S18" i="12"/>
  <c r="T18" i="12" s="1"/>
  <c r="W18" i="12"/>
  <c r="AK18" i="12"/>
  <c r="AL18" i="12"/>
  <c r="AM18" i="12"/>
  <c r="AN18" i="12" s="1"/>
  <c r="C15" i="12"/>
  <c r="E15" i="12"/>
  <c r="G15" i="12"/>
  <c r="R15" i="12"/>
  <c r="S15" i="12"/>
  <c r="T15" i="12" s="1"/>
  <c r="W15" i="12"/>
  <c r="AK15" i="12"/>
  <c r="AL15" i="12"/>
  <c r="AM15" i="12"/>
  <c r="AN15" i="12" s="1"/>
  <c r="C14" i="12"/>
  <c r="E14" i="12"/>
  <c r="G14" i="12"/>
  <c r="R14" i="12"/>
  <c r="S14" i="12"/>
  <c r="T14" i="12" s="1"/>
  <c r="W14" i="12"/>
  <c r="AK14" i="12"/>
  <c r="AL14" i="12"/>
  <c r="AM14" i="12"/>
  <c r="AN14" i="12" s="1"/>
  <c r="U18" i="12" l="1"/>
  <c r="AN19" i="12"/>
  <c r="AO18" i="12"/>
  <c r="AP18" i="12" s="1"/>
  <c r="U20" i="12"/>
  <c r="X20" i="12"/>
  <c r="Y20" i="12" s="1"/>
  <c r="AO20" i="12"/>
  <c r="AP20" i="12" s="1"/>
  <c r="U19" i="12"/>
  <c r="X19" i="12"/>
  <c r="Y19" i="12" s="1"/>
  <c r="X18" i="12"/>
  <c r="Y18" i="12" s="1"/>
  <c r="U14" i="12"/>
  <c r="U15" i="12"/>
  <c r="X15" i="12"/>
  <c r="Y15" i="12" s="1"/>
  <c r="AO15" i="12"/>
  <c r="AP15" i="12" s="1"/>
  <c r="AO14" i="12"/>
  <c r="AP14" i="12" s="1"/>
  <c r="X14" i="12"/>
  <c r="Y14" i="12" s="1"/>
  <c r="C9" i="12"/>
  <c r="E9" i="12"/>
  <c r="G9" i="12"/>
  <c r="R9" i="12"/>
  <c r="S9" i="12"/>
  <c r="T9" i="12" s="1"/>
  <c r="W9" i="12"/>
  <c r="AK9" i="12"/>
  <c r="AL9" i="12"/>
  <c r="AM9" i="12"/>
  <c r="AN9" i="12" s="1"/>
  <c r="C10" i="12"/>
  <c r="E10" i="12"/>
  <c r="G10" i="12"/>
  <c r="R10" i="12"/>
  <c r="S10" i="12"/>
  <c r="T10" i="12" s="1"/>
  <c r="W10" i="12"/>
  <c r="AK10" i="12"/>
  <c r="AL10" i="12"/>
  <c r="AM10" i="12"/>
  <c r="AN10" i="12" s="1"/>
  <c r="C11" i="12"/>
  <c r="E11" i="12"/>
  <c r="G11" i="12"/>
  <c r="R11" i="12"/>
  <c r="S11" i="12"/>
  <c r="T11" i="12" s="1"/>
  <c r="W11" i="12"/>
  <c r="AK11" i="12"/>
  <c r="AL11" i="12"/>
  <c r="AM11" i="12"/>
  <c r="AN11" i="12" s="1"/>
  <c r="C8" i="12"/>
  <c r="E8" i="12"/>
  <c r="G8" i="12"/>
  <c r="R8" i="12"/>
  <c r="S8" i="12"/>
  <c r="T8" i="12" s="1"/>
  <c r="W8" i="12"/>
  <c r="AK8" i="12"/>
  <c r="AL8" i="12"/>
  <c r="AM8" i="12"/>
  <c r="AN8" i="12" s="1"/>
  <c r="U10" i="12" l="1"/>
  <c r="X9" i="12"/>
  <c r="Y9" i="12" s="1"/>
  <c r="U11" i="12"/>
  <c r="U8" i="12"/>
  <c r="X10" i="12"/>
  <c r="Y10" i="12" s="1"/>
  <c r="AO9" i="12"/>
  <c r="AP9" i="12" s="1"/>
  <c r="X8" i="12"/>
  <c r="Y8" i="12" s="1"/>
  <c r="U9" i="12"/>
  <c r="X11" i="12"/>
  <c r="Y11" i="12" s="1"/>
  <c r="AO10" i="12"/>
  <c r="AP10" i="12" s="1"/>
  <c r="AO11" i="12"/>
  <c r="AP11" i="12" s="1"/>
  <c r="AO8" i="12"/>
  <c r="AP8" i="12" s="1"/>
  <c r="C6" i="12"/>
  <c r="E6" i="12"/>
  <c r="G6" i="12"/>
  <c r="R6" i="12"/>
  <c r="S6" i="12"/>
  <c r="T6" i="12" s="1"/>
  <c r="W6" i="12"/>
  <c r="AK6" i="12"/>
  <c r="AL6" i="12"/>
  <c r="AM6" i="12"/>
  <c r="AO6" i="12" s="1"/>
  <c r="AP6" i="12" s="1"/>
  <c r="C13" i="12"/>
  <c r="E13" i="12"/>
  <c r="G13" i="12"/>
  <c r="R13" i="12"/>
  <c r="S13" i="12"/>
  <c r="T13" i="12" s="1"/>
  <c r="W13" i="12"/>
  <c r="AK13" i="12"/>
  <c r="AL13" i="12"/>
  <c r="AM13" i="12"/>
  <c r="AN13" i="12" s="1"/>
  <c r="C12" i="12"/>
  <c r="E12" i="12"/>
  <c r="G12" i="12"/>
  <c r="R12" i="12"/>
  <c r="S12" i="12"/>
  <c r="T12" i="12" s="1"/>
  <c r="W12" i="12"/>
  <c r="AK12" i="12"/>
  <c r="AL12" i="12"/>
  <c r="AM12" i="12"/>
  <c r="AO12" i="12" s="1"/>
  <c r="AP12" i="12" s="1"/>
  <c r="C7" i="12"/>
  <c r="E7" i="12"/>
  <c r="G7" i="12"/>
  <c r="R7" i="12"/>
  <c r="S7" i="12"/>
  <c r="T7" i="12" s="1"/>
  <c r="W7" i="12"/>
  <c r="AK7" i="12"/>
  <c r="AL7" i="12"/>
  <c r="AM7" i="12"/>
  <c r="AN7" i="12" s="1"/>
  <c r="C5" i="12"/>
  <c r="E5" i="12"/>
  <c r="G5" i="12"/>
  <c r="R5" i="12"/>
  <c r="S5" i="12"/>
  <c r="T5" i="12" s="1"/>
  <c r="W5" i="12"/>
  <c r="AK5" i="12"/>
  <c r="AL5" i="12"/>
  <c r="AM5" i="12"/>
  <c r="AN5" i="12" s="1"/>
  <c r="X6" i="12" l="1"/>
  <c r="Y6" i="12" s="1"/>
  <c r="AN6" i="12"/>
  <c r="U6" i="12"/>
  <c r="X13" i="12"/>
  <c r="Y13" i="12" s="1"/>
  <c r="U12" i="12"/>
  <c r="U7" i="12"/>
  <c r="U5" i="12"/>
  <c r="U13" i="12"/>
  <c r="AO13" i="12"/>
  <c r="AP13" i="12" s="1"/>
  <c r="AN12" i="12"/>
  <c r="AO7" i="12"/>
  <c r="AP7" i="12" s="1"/>
  <c r="X12" i="12"/>
  <c r="Y12" i="12" s="1"/>
  <c r="X7" i="12"/>
  <c r="Y7" i="12" s="1"/>
  <c r="X5" i="12"/>
  <c r="Y5" i="12" s="1"/>
  <c r="AO5" i="12"/>
  <c r="AP5" i="12" s="1"/>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6" i="21" l="1"/>
  <c r="C5" i="21"/>
  <c r="E9" i="21" l="1"/>
  <c r="E8" i="21"/>
  <c r="C9" i="21"/>
  <c r="C8" i="21"/>
  <c r="C7" i="21"/>
  <c r="C6" i="21"/>
  <c r="E7" i="21"/>
  <c r="E5" i="21"/>
  <c r="G8" i="21" l="1"/>
  <c r="G6" i="21"/>
  <c r="G7" i="21" l="1"/>
  <c r="G9" i="21"/>
  <c r="L8" i="21"/>
  <c r="L7" i="21" l="1"/>
  <c r="L9" i="21"/>
  <c r="G5" i="21" l="1"/>
  <c r="L5" i="21" l="1"/>
  <c r="L6" i="21"/>
  <c r="J6" i="21"/>
  <c r="J5" i="21"/>
  <c r="J8" i="21" l="1"/>
  <c r="J7" i="21"/>
  <c r="J9" i="21"/>
</calcChain>
</file>

<file path=xl/sharedStrings.xml><?xml version="1.0" encoding="utf-8"?>
<sst xmlns="http://schemas.openxmlformats.org/spreadsheetml/2006/main" count="830" uniqueCount="374">
  <si>
    <t>System &amp; Asset Identification</t>
  </si>
  <si>
    <t xml:space="preserve">Medical Device / System: </t>
  </si>
  <si>
    <t>Scope:</t>
  </si>
  <si>
    <t>Date:</t>
  </si>
  <si>
    <t xml:space="preserve">Conducted by: </t>
  </si>
  <si>
    <t>ID #</t>
  </si>
  <si>
    <t>Asset Type
(Information/Physical)</t>
  </si>
  <si>
    <t>Asset</t>
  </si>
  <si>
    <t>Asset Description</t>
  </si>
  <si>
    <t>Comments</t>
  </si>
  <si>
    <t>A01</t>
  </si>
  <si>
    <t>A02</t>
  </si>
  <si>
    <t>A03</t>
  </si>
  <si>
    <t>Information asset</t>
  </si>
  <si>
    <t>A04</t>
  </si>
  <si>
    <t>A05</t>
  </si>
  <si>
    <t>A06</t>
  </si>
  <si>
    <t>Information about internals of the system (Device identification, software versions, supported protocols, etc.)</t>
  </si>
  <si>
    <t>A07</t>
  </si>
  <si>
    <t>A08</t>
  </si>
  <si>
    <t>A09</t>
  </si>
  <si>
    <t>A10</t>
  </si>
  <si>
    <t>A11</t>
  </si>
  <si>
    <t>Log Files</t>
  </si>
  <si>
    <t>Security keys, tokens, certificates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</si>
  <si>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</si>
  <si>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</si>
  <si>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Vulnerability Identification</t>
  </si>
  <si>
    <t>Vuln. ID</t>
  </si>
  <si>
    <t>Vulnerability Description</t>
  </si>
  <si>
    <t>Applicable (Yes/No)</t>
  </si>
  <si>
    <t>Rationale (if Vulnerability not applicable)</t>
  </si>
  <si>
    <t>V01</t>
  </si>
  <si>
    <t>Yes</t>
  </si>
  <si>
    <t>n/a</t>
  </si>
  <si>
    <t>V02</t>
  </si>
  <si>
    <t>V03</t>
  </si>
  <si>
    <t>V04</t>
  </si>
  <si>
    <t>V11</t>
  </si>
  <si>
    <t>V12</t>
  </si>
  <si>
    <t>V13</t>
  </si>
  <si>
    <t>Ineffective patch management</t>
  </si>
  <si>
    <t>Security Operations Manual</t>
  </si>
  <si>
    <t>V14</t>
  </si>
  <si>
    <t>V15</t>
  </si>
  <si>
    <t>V16</t>
  </si>
  <si>
    <t>V17</t>
  </si>
  <si>
    <t>V21</t>
  </si>
  <si>
    <t>V22</t>
  </si>
  <si>
    <t>V23</t>
  </si>
  <si>
    <t>V24</t>
  </si>
  <si>
    <t>V25</t>
  </si>
  <si>
    <t>V26</t>
  </si>
  <si>
    <t>V31</t>
  </si>
  <si>
    <t>No</t>
  </si>
  <si>
    <t>V33</t>
  </si>
  <si>
    <t>V34</t>
  </si>
  <si>
    <t>Log Files: Audit Log Manipulation, Log Injection-Tampering-Forging</t>
  </si>
  <si>
    <t>InSecure Configurations of Resources</t>
  </si>
  <si>
    <t>V41</t>
  </si>
  <si>
    <t xml:space="preserve">Malicious Software Download </t>
  </si>
  <si>
    <t>V42</t>
  </si>
  <si>
    <t>Malicious Automated Software Update</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</si>
  <si>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</si>
  <si>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</si>
  <si>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</si>
  <si>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</si>
  <si>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</si>
  <si>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</si>
  <si>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</si>
  <si>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</si>
  <si>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</si>
  <si>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</si>
  <si>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</si>
  <si>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</si>
  <si>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</si>
  <si>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</si>
  <si>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</si>
  <si>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</si>
  <si>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</si>
  <si>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</si>
  <si>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</si>
  <si>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</si>
  <si>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</si>
  <si>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</si>
  <si>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</si>
  <si>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</si>
  <si>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</si>
  <si>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</si>
  <si>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</si>
  <si>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</si>
  <si>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</si>
  <si>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</si>
  <si>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</si>
  <si>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</si>
  <si>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</si>
  <si>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</si>
  <si>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</si>
  <si>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</si>
  <si>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</si>
  <si>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</si>
  <si>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</si>
  <si>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</si>
  <si>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</si>
  <si>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</si>
  <si>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</si>
  <si>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</si>
  <si>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</si>
  <si>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</si>
  <si>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</si>
  <si>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</si>
  <si>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</si>
  <si>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Low</t>
  </si>
  <si>
    <t>Network</t>
  </si>
  <si>
    <t>None</t>
  </si>
  <si>
    <t>Unchanged</t>
  </si>
  <si>
    <t>Changed</t>
  </si>
  <si>
    <t>Local</t>
  </si>
  <si>
    <t>T02</t>
  </si>
  <si>
    <t>High</t>
  </si>
  <si>
    <t>Required</t>
  </si>
  <si>
    <t>Physical</t>
  </si>
  <si>
    <t>T03</t>
  </si>
  <si>
    <t>T05</t>
  </si>
  <si>
    <t>T06</t>
  </si>
  <si>
    <t>Moderate</t>
  </si>
  <si>
    <t>T07</t>
  </si>
  <si>
    <t>T08</t>
  </si>
  <si>
    <t>Threat Assessment</t>
  </si>
  <si>
    <t>#</t>
  </si>
  <si>
    <t xml:space="preserve">Threat Event </t>
  </si>
  <si>
    <t xml:space="preserve">Description </t>
  </si>
  <si>
    <t>Threat Source</t>
  </si>
  <si>
    <t>In Scope (Yes/No)</t>
  </si>
  <si>
    <t>Rationale 
(if out of scope)</t>
  </si>
  <si>
    <t>Deliver undirected malware</t>
  </si>
  <si>
    <t>TSA-3 - Skript Kiddies</t>
  </si>
  <si>
    <t>Deliver directed malware</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</si>
  <si>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</si>
  <si>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</si>
  <si>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</si>
  <si>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</si>
  <si>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Adversary gains unauthorized access to the system and removes or modifies application binaries.</t>
  </si>
  <si>
    <t>TSA-1 - Individual (Disgruntled/Ex-Employees, Outsider, Insider, Trusted Insider, Priveleged Insider)</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</si>
  <si>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</si>
  <si>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</si>
  <si>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</si>
  <si>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</si>
  <si>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</si>
  <si>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</si>
  <si>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</si>
  <si>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</si>
  <si>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</si>
  <si>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</si>
  <si>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</si>
  <si>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</si>
  <si>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</si>
  <si>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</si>
  <si>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</si>
  <si>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</si>
  <si>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</si>
  <si>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</si>
  <si>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</si>
  <si>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</si>
  <si>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</si>
  <si>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</si>
  <si>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</si>
  <si>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</si>
  <si>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</si>
  <si>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</si>
  <si>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</si>
  <si>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</si>
  <si>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</si>
  <si>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</si>
  <si>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</si>
  <si>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</si>
  <si>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</si>
  <si>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</si>
  <si>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</si>
  <si>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</si>
  <si>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</si>
  <si>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</si>
  <si>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</si>
  <si>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</si>
  <si>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</si>
  <si>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</si>
  <si>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</si>
  <si>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</si>
  <si>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</si>
  <si>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</si>
  <si>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</si>
  <si>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</si>
  <si>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</si>
  <si>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</si>
  <si>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</si>
  <si>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</si>
  <si>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</si>
  <si>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</si>
  <si>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</si>
  <si>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</si>
  <si>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</si>
  <si>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</si>
  <si>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</si>
  <si>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</si>
  <si>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</si>
  <si>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</si>
  <si>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</si>
  <si>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</si>
  <si>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</si>
  <si>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</si>
  <si>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</si>
  <si>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</si>
  <si>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</si>
  <si>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</si>
  <si>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</si>
  <si>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</si>
  <si>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</si>
  <si>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</si>
  <si>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Knee balancer application</t>
  </si>
  <si>
    <t>V27</t>
  </si>
  <si>
    <t>V28</t>
  </si>
  <si>
    <t>SBOM/SOUP</t>
  </si>
  <si>
    <t>V51</t>
  </si>
  <si>
    <t>V52</t>
  </si>
  <si>
    <t>V53</t>
  </si>
  <si>
    <t>Knee Balancer</t>
  </si>
  <si>
    <t>MAC/iOS operating system</t>
  </si>
  <si>
    <t>Improper Input Validation (allowed range)</t>
  </si>
  <si>
    <t>Absence of application (status/behavior) logs and audit logs</t>
  </si>
  <si>
    <t>No security applications (antivirus, etc..) running in the ipad/iphone</t>
  </si>
  <si>
    <t>V32</t>
  </si>
  <si>
    <t>Application/Communication Management</t>
  </si>
  <si>
    <t xml:space="preserve">Perform wireless perimeter network reconnaissance/scanning. </t>
  </si>
  <si>
    <t>Unauthorized access to Knee Balancer App</t>
  </si>
  <si>
    <t>TSA-1 - Individual (Employees, Insider, Trusted Insider/Priveleged Insider)
TSA-3 - Skript Kiddies</t>
  </si>
  <si>
    <t>Lack of OS vulnerability management</t>
  </si>
  <si>
    <t>Application Data Management</t>
  </si>
  <si>
    <t>Untrusted 3rd party applications installation from appstore</t>
  </si>
  <si>
    <t>As Knee Balancer is running on a mobile device, it is important to secure the wireless interfaces on the host such as BT, Wifi. Without restrictions any device can be connected with the host</t>
  </si>
  <si>
    <t>Knee balancer supporting software components (binaries, frameworks, 3rd party components, etc..)</t>
  </si>
  <si>
    <t>If the software components are not protected properly/exposed for access inside the mobile host with unrestricted/unauthorized access, then the modification/tampering of the software can lead to the unavailability of the application</t>
  </si>
  <si>
    <t>If the application access permissions are not properly enforced during the starting of the application, then its become difficult for the application to get protected from the adversary attacks</t>
  </si>
  <si>
    <t>Unauthorized access to app sensitive data (device's keys/certificates/crypto algorithms)</t>
  </si>
  <si>
    <t>&lt;SIVA KUMAR /Security / LTTS&gt;
&lt;Author Name / Function / Organization&gt;</t>
  </si>
  <si>
    <t>Unsafely compiled Application Binaries in Application</t>
  </si>
  <si>
    <t>Corrupting the binaries/injecting malicious source code in Application</t>
  </si>
  <si>
    <t>Data at Rest</t>
  </si>
  <si>
    <t>Data in Transit</t>
  </si>
  <si>
    <t>Sensitive data being transmitted</t>
  </si>
  <si>
    <t>No Static Analysis for developed code &amp; SCA for SOUP in Application</t>
  </si>
  <si>
    <t>Threat source delivers malware on a removable media which was designed to exploit a known vulnerability of the existing Software. Directed attack on the Application using knowledge about the Application.</t>
  </si>
  <si>
    <t>Adversary gains unauthorized access to the system and removes or modifies application configuration and gains access</t>
  </si>
  <si>
    <t>As Knee Balancer is running on a mobile device, it is important to secure the wireless/Network interfaces on the host such as BT, Wifi &amp; charging interface. Without restrictions, any device can be connected with the host &amp; hence affect the application</t>
  </si>
  <si>
    <t>Open/Unrestricted Network interfaces are easy to exploit. Secure and hardened network elements protect the system from attacks. Code validation through static analysis required</t>
  </si>
  <si>
    <t>Improper access/modification of audit log</t>
  </si>
  <si>
    <t xml:space="preserve">Audit log data should be maintained to identify security breaches. With no proper authentication to access the audit logs the content can be modified/deleted. </t>
  </si>
  <si>
    <t>Sensitive information exposure through audit log</t>
  </si>
  <si>
    <t xml:space="preserve">Sensitive information should not be present in the audit log.
Audit log data should be maintained to identify security breaches. With no proper authentication to access the audit logs the content can be modified/deleted. </t>
  </si>
  <si>
    <t>Audit (log) data is considered as a sensitive data. It should be secured with proper access control</t>
  </si>
  <si>
    <t>Sensitive information such as patient name, PHI data should not be revealed through audit log. Audit (log) data is considered as a sensitive data. It should be secured with proper access control</t>
  </si>
  <si>
    <t>Physical asset</t>
  </si>
  <si>
    <t>Knee balancer application is composed of 3rd party applications (binaries, frameworks, 3rd party components, etc..)</t>
  </si>
  <si>
    <t>V29</t>
  </si>
  <si>
    <t>It provides input for the Knee Balancer application to generate solutions using algorithms</t>
  </si>
  <si>
    <t>User identity</t>
  </si>
  <si>
    <t>User tagged with Azure AD credentials for validation</t>
  </si>
  <si>
    <t xml:space="preserve">Data used by the application </t>
  </si>
  <si>
    <t>Log files supporting the application</t>
  </si>
  <si>
    <t>Cloud interface &amp; Storage</t>
  </si>
  <si>
    <t>For storing blobs</t>
  </si>
  <si>
    <t>Improper Storage of Stryker IP data</t>
  </si>
  <si>
    <t>Unrestricted Wifi communication with open/untrusted sources (app update)</t>
  </si>
  <si>
    <t>Unrestricted BT communication/transfer with multiple sources (app update)</t>
  </si>
  <si>
    <t>Ineffective management of user related data (creds)</t>
  </si>
  <si>
    <t xml:space="preserve">Improper Authentication in the application (single factor, no captcha, etc..) </t>
  </si>
  <si>
    <t xml:space="preserve">3rd Party Component Dependency &amp; Vulnerabilities in Application  </t>
  </si>
  <si>
    <t xml:space="preserve">Use of a Broken or Risky Cryptographic Algorithm </t>
  </si>
  <si>
    <t>Insecure Storage of Sensitive Information (Application data)</t>
  </si>
  <si>
    <t xml:space="preserve">Insecure Storage of Sensitive Information (Stryker data - keys, certs, etc.) </t>
  </si>
  <si>
    <t>V05</t>
  </si>
  <si>
    <t>Device deviated from the normal functionality (jailbroken)</t>
  </si>
  <si>
    <t>T09</t>
  </si>
  <si>
    <t xml:space="preserve">Unencrypted sensitive data at rest in all possible locations (Device, Cloud) </t>
  </si>
  <si>
    <t>Information Exposure Through Log Files</t>
  </si>
  <si>
    <t>Blob Storage</t>
  </si>
  <si>
    <t xml:space="preserve">Generating SAS with indefinite time period </t>
  </si>
  <si>
    <t>Improper key management during SAS generation</t>
  </si>
  <si>
    <t>V54</t>
  </si>
  <si>
    <t>V55</t>
  </si>
  <si>
    <t>V56</t>
  </si>
  <si>
    <t>Compromised SAS URL's for blob storage</t>
  </si>
  <si>
    <t>V57</t>
  </si>
  <si>
    <t>Usage of storage account key to access the blob storage</t>
  </si>
  <si>
    <t>Sharing the SAS URL in unsecured channel</t>
  </si>
  <si>
    <t>Improper authorization (RBAC) during blob storage access</t>
  </si>
  <si>
    <t>A12</t>
  </si>
  <si>
    <t>Stryker IP data</t>
  </si>
  <si>
    <t>Algorithms used to generate the solutions</t>
  </si>
  <si>
    <t>T10</t>
  </si>
  <si>
    <t>T11</t>
  </si>
  <si>
    <t xml:space="preserve">Improper access/modification of Stryker IP  data </t>
  </si>
  <si>
    <t>TSA-2 Organization
TSA-3 - Skript Kiddies</t>
  </si>
  <si>
    <t>Improper validation/assessment of 3rd party components (libs, fw, etc..)</t>
  </si>
  <si>
    <t>T12</t>
  </si>
  <si>
    <t>V06</t>
  </si>
  <si>
    <t>Missing data with factory reset</t>
  </si>
  <si>
    <t>T13</t>
  </si>
  <si>
    <t xml:space="preserve">Unpatched operating system </t>
  </si>
  <si>
    <t>Exposed SAS (token/URL/Key) to unauthorized parties</t>
  </si>
  <si>
    <t>T14</t>
  </si>
  <si>
    <t>T15</t>
  </si>
  <si>
    <t>Adversary might gain access to the jailbroken device easily and can harms the application</t>
  </si>
  <si>
    <t>Adversary identifies the binaries/source files supporting the application and tries to tamper for making the app unavailable</t>
  </si>
  <si>
    <t>Unavailability of uploading to Blob storage</t>
  </si>
  <si>
    <t>New data/files can't be stored or moved to the blob storage</t>
  </si>
  <si>
    <t>SAS (token/URL/key) needs to be confidential and should not be revealed to 3rd parties</t>
  </si>
  <si>
    <t>As upload to the blob waits for the device to be online and with factory reset before upload leads to data unavailability</t>
  </si>
  <si>
    <t>Adversary gains unauthorized access to the system and can remove/modify Stryker IP data</t>
  </si>
  <si>
    <t>If the software components are not protected properly or exposed for access inside the mobile host with unrestricted/unauthorized access, then the modification/tampering of the software can lead to the unavailability of the application</t>
  </si>
  <si>
    <t>All 3rd party components (libs, fw, etc…) should be validated properly related to the vulnerabilities and also their history of updates</t>
  </si>
  <si>
    <t xml:space="preserve">App may gets effected if its running on a jailbroken device. Also, adversary can get easy access to the jailbroken devices. </t>
  </si>
  <si>
    <t>For iPad/iPhone, the charging/USB interface is provided &amp; this can be used to connect the OTG devices. Other Network Interfaces can also be used for injecting the malware.</t>
  </si>
  <si>
    <t>Adversary gains unauthorized access to the Crypto keys and associated tokens, certificates</t>
  </si>
  <si>
    <t>Application running on the abnormal device (jailbroken)</t>
  </si>
  <si>
    <t>Unrestricted access to the stored application resources</t>
  </si>
  <si>
    <t xml:space="preserve">Unencrypted sensitive data in transit in all flow channels </t>
  </si>
  <si>
    <t>Weak Encryption Implementation for data at rest and in motion tactical and design wise or Inadequate encryption strength</t>
  </si>
  <si>
    <t>Keys, tokens and certificates</t>
  </si>
  <si>
    <t>Mobile Device (iPad, iPhone V8-13)</t>
  </si>
  <si>
    <t>&lt;2022-06-08&gt;</t>
  </si>
  <si>
    <t>iPhone/iPad is used for running the knee balancer application (currently V8-13 are supported)</t>
  </si>
  <si>
    <t>The trust boundary of this risk analysis is only permitted to application and hence not considering the mobile device</t>
  </si>
  <si>
    <t>The trust boundary of this risk analysis is only permitted to application and hence not considering the mobile device. Application has no web interface functionality</t>
  </si>
  <si>
    <t>Irregular upload of case data to cloud storage</t>
  </si>
  <si>
    <t>MAKO Screen</t>
  </si>
  <si>
    <t>Knee balancer application leveraging the mobile login credentials and for upload feature Microsoft authentication gets leveraged</t>
  </si>
  <si>
    <t>Not in scope</t>
  </si>
  <si>
    <t>A13</t>
  </si>
  <si>
    <t>Stryker App store</t>
  </si>
  <si>
    <t>For authorized MPS users, Knee Balancer application can be downloaded from stryker app store</t>
  </si>
  <si>
    <t>V07</t>
  </si>
  <si>
    <t>Reveal/exposure of sensitive information (Stryker IP data)</t>
  </si>
  <si>
    <t>T16</t>
  </si>
  <si>
    <t>Open to download (All stryker users) without restriction</t>
  </si>
  <si>
    <t>Exposure of Stryker IP data to unauthorized users</t>
  </si>
  <si>
    <t>Unauthorized modifications to Knee Balancer Software</t>
  </si>
  <si>
    <t>1. Intentional/Unintentional copying/deletion of the resources should be validated.
2. Application resources should not be visible (or) accessed directly through any channel.
3.  Proper security recommendations should be followed by the MPS users.</t>
  </si>
  <si>
    <t xml:space="preserve">1. In the build configuration, enable binary protection with safe compilation by ensuring stack protection, PIE support, Automatic Reference Counting (ARC) and setting byte-code minification.
2. Reference to the binary protection followed in the compilation process with design document.
</t>
  </si>
  <si>
    <t xml:space="preserve">Performing static code analysis (such as sonarqube) for identification of deviation from the coding standards and vulnerabilities on developed code.
</t>
  </si>
  <si>
    <t>1. Path should not be exposed directly/indirectly.
2. Copying of the binaries should not be allowed.
3. If we could do reverse engineering, no information should revealed by the binary.</t>
  </si>
  <si>
    <t xml:space="preserve">1. The 3rd party components (SOUP items) and dependencies should be identified and listed in the design document.
2. SCA tools (such as blackduck) should be used for evaluating the risk from 3rd party components with security testing.
</t>
  </si>
  <si>
    <t xml:space="preserve">1. Critical error/failure logs (unavailable, not working) in the application source code should be logged into audit file.
2. The path should not be exposed  directly/indirectly.
3. Intentional/accidental, modification/deletion of audit log should not be allowed.
</t>
  </si>
  <si>
    <t xml:space="preserve">1. During application starting, there should be a provision to check the device status (normal/abnormal).
2. Deviation from any normal condition should identified by the device and inform the user it is vulnerable.
</t>
  </si>
  <si>
    <t>Exhaustion of the confined storage limit</t>
  </si>
  <si>
    <t>1. Notify the admin related to the upload failure with azure resources.
2. Possible solutions from the admin needs to be addressed (such as increasing/deleting the storage limit)</t>
  </si>
  <si>
    <t xml:space="preserve">1. Generate the SAS with limited time period. 
2. Generate the SAS for every upload and never store the SAS in source code
3. Based on the application id  SAS should be generated.
4. Keys should never be used for uploading the blob. Only generated SAS token from authorized source needs to be used.
</t>
  </si>
  <si>
    <t xml:space="preserve">1. Once the case data is ready to upload, notify the user regarding the normal life time of this case data.
2. The special cases where the data can be lost needs to be mentioned in the SOM (such as factory reset, app uninstallation).
3. TBD(Incase of any upload failure consider extending the case data life time)
</t>
  </si>
  <si>
    <t xml:space="preserve">Exposure of sensitive information (stryker IP data) to unauthorized users </t>
  </si>
  <si>
    <t xml:space="preserve">1. Generate the SAS with limited time period. 
2. Generate the new SAS for every upload and never store the SAS in source code
3. Based on the application id SAS should be generated.
</t>
  </si>
  <si>
    <t>1. Log files should not store any kind of debugging or detailed information.
2. The log files should not contain sensitive information (such as keys/certs,etc..).
3. The path should not be exposed directly/indirectly.</t>
  </si>
  <si>
    <t>1. Knee balancer application should be available for download only to the authorized MPS users.
2. with anykind of reverse engineering, no information should revealed from the binary.</t>
  </si>
  <si>
    <t>1&amp;2 NA - TBD</t>
  </si>
  <si>
    <r>
      <t>Document Name :</t>
    </r>
    <r>
      <rPr>
        <b/>
        <sz val="11"/>
        <color theme="1"/>
        <rFont val="Cambria"/>
        <family val="1"/>
      </rPr>
      <t>SCA_CheckList</t>
    </r>
    <r>
      <rPr>
        <sz val="11"/>
        <color theme="1"/>
        <rFont val="Cambria"/>
        <family val="1"/>
      </rPr>
      <t xml:space="preserve">          Followed ios swift languauge standards.</t>
    </r>
  </si>
  <si>
    <r>
      <t>1 SDD Document Id:</t>
    </r>
    <r>
      <rPr>
        <b/>
        <sz val="11"/>
        <color theme="1"/>
        <rFont val="Cambria"/>
        <family val="1"/>
      </rPr>
      <t xml:space="preserve">D007010070 -5.7.1 </t>
    </r>
    <r>
      <rPr>
        <sz val="11"/>
        <color theme="1"/>
        <rFont val="Cambria"/>
        <family val="1"/>
      </rPr>
      <t>Generatting the SAS with short limited time(one hour).                         2. SDD Document Id:</t>
    </r>
    <r>
      <rPr>
        <b/>
        <sz val="11"/>
        <color theme="1"/>
        <rFont val="Cambria"/>
        <family val="1"/>
      </rPr>
      <t xml:space="preserve">D007010070 </t>
    </r>
    <r>
      <rPr>
        <sz val="11"/>
        <color theme="1"/>
        <rFont val="Cambria"/>
        <family val="1"/>
      </rPr>
      <t>-</t>
    </r>
    <r>
      <rPr>
        <b/>
        <sz val="11"/>
        <color theme="1"/>
        <rFont val="Cambria"/>
        <family val="1"/>
      </rPr>
      <t>5.7.1</t>
    </r>
    <r>
      <rPr>
        <sz val="11"/>
        <color theme="1"/>
        <rFont val="Cambria"/>
        <family val="1"/>
      </rPr>
      <t xml:space="preserve"> For every upload generating the SAS. And its is not storing anywhere in APP.                                  3.SDD Document Id</t>
    </r>
    <r>
      <rPr>
        <b/>
        <sz val="11"/>
        <color theme="1"/>
        <rFont val="Cambria"/>
        <family val="1"/>
      </rPr>
      <t xml:space="preserve">:D007010070 -5.7.1 </t>
    </r>
    <r>
      <rPr>
        <sz val="11"/>
        <color theme="1"/>
        <rFont val="Cambria"/>
        <family val="1"/>
      </rPr>
      <t>Based on storage access key generating the SAS token.                     4. SDD Document Id:</t>
    </r>
    <r>
      <rPr>
        <b/>
        <sz val="11"/>
        <color theme="1"/>
        <rFont val="Cambria"/>
        <family val="1"/>
      </rPr>
      <t xml:space="preserve">D007010070 -5.7.1 </t>
    </r>
    <r>
      <rPr>
        <sz val="11"/>
        <color theme="1"/>
        <rFont val="Cambria"/>
        <family val="1"/>
      </rPr>
      <t>Genearted SAS are using to upload.</t>
    </r>
  </si>
  <si>
    <r>
      <t>1.TBD                                               2.SDD Document Id:</t>
    </r>
    <r>
      <rPr>
        <b/>
        <sz val="11"/>
        <color theme="1"/>
        <rFont val="Cambria"/>
        <family val="1"/>
      </rPr>
      <t xml:space="preserve">D007010070 - 5.7.1 </t>
    </r>
    <r>
      <rPr>
        <sz val="11"/>
        <color theme="1"/>
        <rFont val="Cambria"/>
        <family val="1"/>
      </rPr>
      <t>Deleting the data in cloud for every 90 days automatically.</t>
    </r>
  </si>
  <si>
    <r>
      <t>1&amp;2&amp;3.  SDD Document :</t>
    </r>
    <r>
      <rPr>
        <b/>
        <sz val="11"/>
        <color theme="1"/>
        <rFont val="Cambria"/>
        <family val="1"/>
      </rPr>
      <t xml:space="preserve">D007010070 - </t>
    </r>
    <r>
      <rPr>
        <sz val="11"/>
        <color theme="1"/>
        <rFont val="Cambria"/>
        <family val="1"/>
      </rPr>
      <t>3.2 No path exposing directly/Indirectly.</t>
    </r>
  </si>
  <si>
    <t>TBD</t>
  </si>
  <si>
    <r>
      <t>1 &amp;2.Document ID :</t>
    </r>
    <r>
      <rPr>
        <b/>
        <sz val="11"/>
        <color theme="1"/>
        <rFont val="Cambria"/>
        <family val="1"/>
      </rPr>
      <t>D007010070-8</t>
    </r>
    <r>
      <rPr>
        <sz val="11"/>
        <color theme="1"/>
        <rFont val="Cambria"/>
        <family val="1"/>
      </rPr>
      <t xml:space="preserve">  Enaled Xcode Configurtions are  enable binary protection with safe compilation by ensuring stack protection, PIE support, Automatic Reference Counting (ARC) and setting byte-code. </t>
    </r>
  </si>
  <si>
    <r>
      <t>1. Document ID :</t>
    </r>
    <r>
      <rPr>
        <b/>
        <sz val="11"/>
        <color theme="1"/>
        <rFont val="Cambria"/>
        <family val="1"/>
      </rPr>
      <t xml:space="preserve">D007010070 -6 and Soup Document : </t>
    </r>
    <r>
      <rPr>
        <sz val="11"/>
        <color theme="1"/>
        <rFont val="Cambria"/>
        <family val="1"/>
      </rPr>
      <t xml:space="preserve">SGTC-QFM-DLC-001-30_SOFTWARE_SOUP_DESCRIPTION </t>
    </r>
    <r>
      <rPr>
        <b/>
        <sz val="11"/>
        <color theme="1"/>
        <rFont val="Cambria"/>
        <family val="1"/>
      </rPr>
      <t xml:space="preserve"> </t>
    </r>
    <r>
      <rPr>
        <sz val="11"/>
        <color theme="1"/>
        <rFont val="Cambria"/>
        <family val="1"/>
      </rPr>
      <t>MSAL and AZS libraries are using for user authentiction and cased Data upload                                                     2. NA</t>
    </r>
  </si>
  <si>
    <r>
      <t>1.Refer SDD  Document ID :</t>
    </r>
    <r>
      <rPr>
        <b/>
        <sz val="11"/>
        <color theme="1"/>
        <rFont val="Cambria"/>
        <family val="1"/>
      </rPr>
      <t xml:space="preserve">D007010070 - </t>
    </r>
    <r>
      <rPr>
        <sz val="11"/>
        <color theme="1"/>
        <rFont val="Cambria"/>
        <family val="1"/>
      </rPr>
      <t xml:space="preserve">3.2  In log files not storing any detailed information 2.&amp;3 Refer SDD  Document ID </t>
    </r>
    <r>
      <rPr>
        <b/>
        <sz val="11"/>
        <color theme="1"/>
        <rFont val="Cambria"/>
        <family val="1"/>
      </rPr>
      <t>D007010070</t>
    </r>
    <r>
      <rPr>
        <sz val="11"/>
        <color theme="1"/>
        <rFont val="Cambria"/>
        <family val="1"/>
      </rPr>
      <t xml:space="preserve"> - 3.2  In log files not storing any Sensitive information  and no where exposing the paths are directy and indirectly.     </t>
    </r>
  </si>
  <si>
    <r>
      <t xml:space="preserve">1. Document ID </t>
    </r>
    <r>
      <rPr>
        <b/>
        <sz val="11"/>
        <color theme="1"/>
        <rFont val="Cambria"/>
        <family val="1"/>
      </rPr>
      <t>:D007010070 -6</t>
    </r>
    <r>
      <rPr>
        <sz val="11"/>
        <color theme="1"/>
        <rFont val="Cambria"/>
        <family val="1"/>
      </rPr>
      <t xml:space="preserve"> and Soup Document : SGTC-QFM-DLC-001-30_SOFTWARE_SOUP_DESCRIPTION  MSAL and AZS libraries are using for user authentiction and cased Data upload                                                     2. NA</t>
    </r>
  </si>
  <si>
    <r>
      <t xml:space="preserve">1. Document SRS Document id : </t>
    </r>
    <r>
      <rPr>
        <b/>
        <sz val="11"/>
        <color theme="1"/>
        <rFont val="Cambria"/>
        <family val="1"/>
      </rPr>
      <t>D007001059</t>
    </r>
    <r>
      <rPr>
        <sz val="11"/>
        <color theme="1"/>
        <rFont val="Cambria"/>
        <family val="1"/>
      </rPr>
      <t xml:space="preserve">  -</t>
    </r>
    <r>
      <rPr>
        <b/>
        <sz val="11"/>
        <color theme="1"/>
        <rFont val="Cambria"/>
        <family val="1"/>
      </rPr>
      <t xml:space="preserve">2.17 </t>
    </r>
    <r>
      <rPr>
        <sz val="11"/>
        <color theme="1"/>
        <rFont val="Cambria"/>
        <family val="1"/>
      </rPr>
      <t>only authorized users are  allow to install.                                                 2.NA</t>
    </r>
  </si>
  <si>
    <r>
      <t>1 . SDD. Document ID :</t>
    </r>
    <r>
      <rPr>
        <b/>
        <sz val="11"/>
        <color theme="1"/>
        <rFont val="Cambria"/>
        <family val="1"/>
      </rPr>
      <t xml:space="preserve">D007010070 </t>
    </r>
    <r>
      <rPr>
        <sz val="11"/>
        <color theme="1"/>
        <rFont val="Cambria"/>
        <family val="1"/>
      </rPr>
      <t>Section :5.3.6 once past case data ia available. App shows a pop-up</t>
    </r>
    <r>
      <rPr>
        <b/>
        <sz val="11"/>
        <color theme="1"/>
        <rFont val="Cambria"/>
        <family val="1"/>
      </rPr>
      <t xml:space="preserve"> </t>
    </r>
    <r>
      <rPr>
        <sz val="11"/>
        <color theme="1"/>
        <rFont val="Cambria"/>
        <family val="1"/>
      </rPr>
      <t xml:space="preserve">for once every 12 horus upto 7 days. </t>
    </r>
    <r>
      <rPr>
        <b/>
        <sz val="11"/>
        <color theme="1"/>
        <rFont val="Cambria"/>
        <family val="1"/>
      </rPr>
      <t xml:space="preserve">                                    2. </t>
    </r>
    <r>
      <rPr>
        <sz val="11"/>
        <color theme="1"/>
        <rFont val="Cambria"/>
        <family val="1"/>
      </rPr>
      <t>SDD. Document ID :</t>
    </r>
    <r>
      <rPr>
        <b/>
        <sz val="11"/>
        <color theme="1"/>
        <rFont val="Cambria"/>
        <family val="1"/>
      </rPr>
      <t xml:space="preserve">D007010070 -5.3.6 </t>
    </r>
    <r>
      <rPr>
        <sz val="11"/>
        <color theme="1"/>
        <rFont val="Cambria"/>
        <family val="1"/>
      </rPr>
      <t xml:space="preserve">data will be lose once app is uninstall which data  is not upload to cloud.           </t>
    </r>
    <r>
      <rPr>
        <b/>
        <sz val="11"/>
        <color theme="1"/>
        <rFont val="Cambria"/>
        <family val="1"/>
      </rPr>
      <t xml:space="preserve">             </t>
    </r>
    <r>
      <rPr>
        <sz val="11"/>
        <color theme="1"/>
        <rFont val="Cambria"/>
        <family val="1"/>
      </rPr>
      <t xml:space="preserve">                               3. TBD</t>
    </r>
  </si>
  <si>
    <r>
      <t>1 SDD Document Id:</t>
    </r>
    <r>
      <rPr>
        <b/>
        <sz val="11"/>
        <color theme="1"/>
        <rFont val="Cambria"/>
        <family val="1"/>
      </rPr>
      <t xml:space="preserve">D007010070 -5.7.1 </t>
    </r>
    <r>
      <rPr>
        <sz val="11"/>
        <color theme="1"/>
        <rFont val="Cambria"/>
        <family val="1"/>
      </rPr>
      <t>Generatting the SAS with short limited time.                                          2. SDD Document Id:</t>
    </r>
    <r>
      <rPr>
        <b/>
        <sz val="11"/>
        <color theme="1"/>
        <rFont val="Cambria"/>
        <family val="1"/>
      </rPr>
      <t>D007010070 -5.7.1</t>
    </r>
    <r>
      <rPr>
        <sz val="11"/>
        <color theme="1"/>
        <rFont val="Cambria"/>
        <family val="1"/>
      </rPr>
      <t xml:space="preserve"> For every upload generating the SAS. And its is not storing anywhere in APP.                                  3.SDD Document Id</t>
    </r>
    <r>
      <rPr>
        <b/>
        <sz val="11"/>
        <color theme="1"/>
        <rFont val="Cambria"/>
        <family val="1"/>
      </rPr>
      <t>:D007010070 -5.7.1</t>
    </r>
    <r>
      <rPr>
        <sz val="11"/>
        <color theme="1"/>
        <rFont val="Cambria"/>
        <family val="1"/>
      </rPr>
      <t xml:space="preserve"> Based on storage access key generating the SAS token.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</si>
</sst>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8">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0"/>
      <color rgb="FF000000"/>
      <name val="Humanist Slabserif 712 Std Roma"/>
      <charset val="1"/>
    </font>
    <font>
      <sz val="11"/>
      <color theme="1"/>
      <name val="Cambria"/>
      <family val="1"/>
    </font>
    <font>
      <sz val="11"/>
      <color rgb="FF0000FF"/>
      <name val="Cambria"/>
      <family val="1"/>
    </font>
    <font>
      <sz val="11"/>
      <name val="Cambria"/>
      <family val="1"/>
    </font>
    <font>
      <sz val="11"/>
      <color rgb="FFFF0000"/>
      <name val="Cambria"/>
      <family val="1"/>
    </font>
    <font>
      <sz val="8"/>
      <name val="Calibri"/>
      <family val="2"/>
      <scheme val="minor"/>
    </font>
    <font>
      <sz val="11"/>
      <color theme="1"/>
      <name val="Cambria"/>
    </font>
    <font>
      <sz val="11"/>
      <color rgb="FF0000FF"/>
      <name val="Cambria"/>
    </font>
    <font>
      <sz val="11"/>
      <name val="Cambria"/>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91">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29" xfId="0" applyFont="1" applyBorder="1" applyAlignment="1">
      <alignment horizontal="center" vertical="center"/>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37" fillId="5" borderId="6" xfId="0" applyFont="1" applyFill="1" applyBorder="1" applyAlignment="1">
      <alignment horizontal="center" vertical="top" wrapText="1"/>
    </xf>
    <xf numFmtId="0" fontId="15" fillId="0" borderId="5" xfId="0" applyFont="1" applyBorder="1" applyAlignment="1">
      <alignment horizontal="center" vertical="top"/>
    </xf>
    <xf numFmtId="0" fontId="15" fillId="0" borderId="7" xfId="0" applyFont="1" applyBorder="1" applyAlignment="1">
      <alignment vertical="top" wrapText="1"/>
    </xf>
    <xf numFmtId="0" fontId="21" fillId="0" borderId="1" xfId="0" applyFont="1" applyBorder="1" applyAlignment="1">
      <alignment horizontal="lef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17" fillId="0" borderId="0" xfId="0" applyFont="1" applyAlignment="1">
      <alignment wrapText="1"/>
    </xf>
    <xf numFmtId="0" fontId="39" fillId="0" borderId="0" xfId="0" applyFont="1" applyAlignment="1">
      <alignment wrapText="1"/>
    </xf>
    <xf numFmtId="0" fontId="0" fillId="0" borderId="0" xfId="0" applyAlignment="1">
      <alignment wrapText="1"/>
    </xf>
    <xf numFmtId="0" fontId="15" fillId="19" borderId="4" xfId="0" applyFont="1" applyFill="1" applyBorder="1" applyAlignment="1">
      <alignment horizontal="left" vertical="top"/>
    </xf>
    <xf numFmtId="0" fontId="15" fillId="19" borderId="1" xfId="0" applyFont="1" applyFill="1" applyBorder="1" applyAlignment="1">
      <alignment horizontal="left" vertical="top"/>
    </xf>
    <xf numFmtId="0" fontId="40" fillId="0" borderId="1" xfId="0" applyFont="1" applyBorder="1" applyAlignment="1">
      <alignment vertical="top"/>
    </xf>
    <xf numFmtId="0" fontId="40" fillId="19" borderId="4" xfId="0" applyFont="1" applyFill="1" applyBorder="1" applyAlignment="1">
      <alignment horizontal="left" vertical="top"/>
    </xf>
    <xf numFmtId="0" fontId="40" fillId="19" borderId="1" xfId="0" applyFont="1" applyFill="1" applyBorder="1" applyAlignment="1">
      <alignment horizontal="left" vertical="top"/>
    </xf>
    <xf numFmtId="0" fontId="40" fillId="19" borderId="1" xfId="0" applyFont="1" applyFill="1" applyBorder="1" applyAlignment="1">
      <alignment horizontal="left" vertical="top" wrapText="1"/>
    </xf>
    <xf numFmtId="0" fontId="40" fillId="0" borderId="1" xfId="0" applyFont="1" applyBorder="1" applyAlignment="1">
      <alignment vertical="top" wrapText="1"/>
    </xf>
    <xf numFmtId="0" fontId="40" fillId="0" borderId="4" xfId="0" applyFont="1" applyBorder="1" applyAlignment="1">
      <alignment vertical="top"/>
    </xf>
    <xf numFmtId="0" fontId="40" fillId="0" borderId="1" xfId="0" applyFont="1" applyBorder="1" applyAlignment="1">
      <alignment horizontal="center" vertical="top"/>
    </xf>
    <xf numFmtId="0" fontId="40" fillId="0" borderId="5" xfId="0" applyFont="1" applyBorder="1" applyAlignment="1">
      <alignment horizontal="center" vertical="top"/>
    </xf>
    <xf numFmtId="0" fontId="40" fillId="0" borderId="5" xfId="0" applyFont="1" applyBorder="1" applyAlignment="1">
      <alignment vertical="top"/>
    </xf>
    <xf numFmtId="0" fontId="40" fillId="15" borderId="5" xfId="0" applyNumberFormat="1" applyFont="1" applyFill="1" applyBorder="1" applyAlignment="1">
      <alignment vertical="top" wrapText="1"/>
    </xf>
    <xf numFmtId="0" fontId="40" fillId="18" borderId="5" xfId="0" applyFont="1" applyFill="1" applyBorder="1" applyAlignment="1">
      <alignment vertical="top"/>
    </xf>
    <xf numFmtId="0" fontId="40" fillId="0" borderId="5" xfId="0" applyFont="1" applyBorder="1" applyAlignment="1">
      <alignment horizontal="center" vertical="center"/>
    </xf>
    <xf numFmtId="0" fontId="40" fillId="19" borderId="5" xfId="0" applyFont="1" applyFill="1" applyBorder="1" applyAlignment="1">
      <alignment horizontal="center" vertical="center" wrapText="1"/>
    </xf>
    <xf numFmtId="164" fontId="40" fillId="15" borderId="5" xfId="0" applyNumberFormat="1" applyFont="1" applyFill="1" applyBorder="1" applyAlignment="1">
      <alignment horizontal="center" vertical="center" wrapText="1"/>
    </xf>
    <xf numFmtId="164" fontId="41" fillId="15" borderId="5" xfId="0" applyNumberFormat="1" applyFont="1" applyFill="1" applyBorder="1" applyAlignment="1">
      <alignment horizontal="center" vertical="center" wrapText="1"/>
    </xf>
    <xf numFmtId="164" fontId="41" fillId="19" borderId="5" xfId="0" applyNumberFormat="1" applyFont="1" applyFill="1" applyBorder="1" applyAlignment="1">
      <alignment horizontal="center" vertical="center" wrapText="1"/>
    </xf>
    <xf numFmtId="0" fontId="40" fillId="0" borderId="5" xfId="0" applyNumberFormat="1" applyFont="1" applyBorder="1" applyAlignment="1">
      <alignment horizontal="center" vertical="top" wrapText="1"/>
    </xf>
    <xf numFmtId="0" fontId="42" fillId="0" borderId="5" xfId="0" applyFont="1" applyBorder="1" applyAlignment="1">
      <alignment vertical="top"/>
    </xf>
    <xf numFmtId="0" fontId="40" fillId="19" borderId="5" xfId="0" applyNumberFormat="1" applyFont="1" applyFill="1" applyBorder="1" applyAlignment="1">
      <alignment horizontal="center" vertical="center" wrapText="1"/>
    </xf>
    <xf numFmtId="0" fontId="41"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40" fillId="0" borderId="5" xfId="0" applyFont="1" applyBorder="1" applyAlignment="1">
      <alignment vertical="top" wrapText="1"/>
    </xf>
    <xf numFmtId="0" fontId="23" fillId="0" borderId="1" xfId="3" applyFont="1" applyBorder="1" applyAlignment="1">
      <alignment vertical="center" wrapText="1"/>
    </xf>
    <xf numFmtId="0" fontId="3" fillId="0" borderId="1" xfId="0" applyFont="1" applyBorder="1" applyAlignment="1">
      <alignment vertical="top" wrapText="1"/>
    </xf>
    <xf numFmtId="0" fontId="43" fillId="19" borderId="1"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4" xfId="0" applyFont="1" applyFill="1" applyBorder="1" applyAlignment="1">
      <alignment vertical="top"/>
    </xf>
    <xf numFmtId="0" fontId="45" fillId="0" borderId="4" xfId="0" applyFont="1" applyBorder="1" applyAlignment="1">
      <alignment vertical="top"/>
    </xf>
    <xf numFmtId="0" fontId="45" fillId="0" borderId="1" xfId="0" applyFont="1" applyBorder="1" applyAlignment="1">
      <alignment vertical="top"/>
    </xf>
    <xf numFmtId="0" fontId="45" fillId="0" borderId="1" xfId="0" applyFont="1" applyBorder="1" applyAlignment="1">
      <alignment vertical="top" wrapText="1"/>
    </xf>
    <xf numFmtId="0" fontId="15" fillId="0" borderId="0" xfId="0" applyFont="1" applyBorder="1" applyAlignment="1">
      <alignment vertical="top"/>
    </xf>
    <xf numFmtId="0" fontId="15" fillId="0" borderId="0" xfId="0" applyFont="1" applyBorder="1" applyAlignment="1">
      <alignment vertical="top" wrapText="1"/>
    </xf>
    <xf numFmtId="0" fontId="15" fillId="0" borderId="0" xfId="0" applyFont="1" applyBorder="1" applyAlignment="1">
      <alignment horizontal="center" vertical="top"/>
    </xf>
    <xf numFmtId="0" fontId="45" fillId="0" borderId="1" xfId="0" applyFont="1" applyBorder="1" applyAlignment="1">
      <alignment horizontal="center" vertical="top"/>
    </xf>
    <xf numFmtId="0" fontId="45" fillId="15" borderId="1" xfId="0" applyNumberFormat="1" applyFont="1" applyFill="1" applyBorder="1" applyAlignment="1">
      <alignment vertical="top" wrapText="1"/>
    </xf>
    <xf numFmtId="0" fontId="45" fillId="18" borderId="1" xfId="0" applyFont="1" applyFill="1" applyBorder="1" applyAlignment="1">
      <alignment vertical="top"/>
    </xf>
    <xf numFmtId="0" fontId="45" fillId="0" borderId="1" xfId="0" applyFont="1" applyBorder="1" applyAlignment="1">
      <alignment horizontal="center" vertical="center"/>
    </xf>
    <xf numFmtId="0" fontId="45" fillId="19" borderId="1" xfId="0" applyFont="1" applyFill="1" applyBorder="1" applyAlignment="1">
      <alignment horizontal="center" vertical="center" wrapText="1"/>
    </xf>
    <xf numFmtId="164" fontId="45" fillId="15" borderId="1" xfId="0" applyNumberFormat="1" applyFont="1" applyFill="1" applyBorder="1" applyAlignment="1">
      <alignment horizontal="center" vertical="center" wrapText="1"/>
    </xf>
    <xf numFmtId="164" fontId="46" fillId="15" borderId="1" xfId="0" applyNumberFormat="1" applyFont="1" applyFill="1" applyBorder="1" applyAlignment="1">
      <alignment horizontal="center" vertical="center" wrapText="1"/>
    </xf>
    <xf numFmtId="164" fontId="46" fillId="19" borderId="1" xfId="0" applyNumberFormat="1" applyFont="1" applyFill="1" applyBorder="1" applyAlignment="1">
      <alignment horizontal="center" vertical="center" wrapText="1"/>
    </xf>
    <xf numFmtId="0" fontId="45" fillId="0" borderId="1" xfId="0" applyNumberFormat="1" applyFont="1" applyBorder="1" applyAlignment="1">
      <alignment horizontal="center" vertical="top" wrapText="1"/>
    </xf>
    <xf numFmtId="0" fontId="47" fillId="0" borderId="1" xfId="0" applyFont="1" applyBorder="1" applyAlignment="1">
      <alignment vertical="top"/>
    </xf>
    <xf numFmtId="0" fontId="45" fillId="19" borderId="1" xfId="0" applyNumberFormat="1" applyFont="1" applyFill="1" applyBorder="1" applyAlignment="1">
      <alignment horizontal="center" vertical="center" wrapText="1"/>
    </xf>
    <xf numFmtId="0" fontId="46" fillId="22" borderId="1" xfId="0" applyNumberFormat="1" applyFont="1" applyFill="1" applyBorder="1" applyAlignment="1">
      <alignment horizontal="center" vertical="center" wrapText="1"/>
    </xf>
    <xf numFmtId="0" fontId="45" fillId="0" borderId="5" xfId="0" applyFont="1" applyBorder="1" applyAlignment="1">
      <alignment horizontal="center" vertical="top"/>
    </xf>
    <xf numFmtId="0" fontId="45" fillId="0" borderId="5" xfId="0" applyFont="1" applyBorder="1" applyAlignment="1">
      <alignment vertical="top"/>
    </xf>
    <xf numFmtId="0" fontId="45" fillId="15" borderId="5" xfId="0" applyNumberFormat="1" applyFont="1" applyFill="1" applyBorder="1" applyAlignment="1">
      <alignment vertical="top" wrapText="1"/>
    </xf>
    <xf numFmtId="0" fontId="45" fillId="18" borderId="5" xfId="0" applyFont="1" applyFill="1" applyBorder="1" applyAlignment="1">
      <alignment vertical="top"/>
    </xf>
    <xf numFmtId="0" fontId="45" fillId="0" borderId="5" xfId="0" applyFont="1" applyBorder="1" applyAlignment="1">
      <alignment horizontal="center" vertical="center"/>
    </xf>
    <xf numFmtId="0" fontId="45" fillId="19" borderId="5" xfId="0" applyFont="1" applyFill="1" applyBorder="1" applyAlignment="1">
      <alignment horizontal="center" vertical="center" wrapText="1"/>
    </xf>
    <xf numFmtId="164" fontId="45" fillId="15" borderId="5" xfId="0" applyNumberFormat="1" applyFont="1" applyFill="1" applyBorder="1" applyAlignment="1">
      <alignment horizontal="center" vertical="center" wrapText="1"/>
    </xf>
    <xf numFmtId="164" fontId="46" fillId="15" borderId="5" xfId="0" applyNumberFormat="1" applyFont="1" applyFill="1" applyBorder="1" applyAlignment="1">
      <alignment horizontal="center" vertical="center" wrapText="1"/>
    </xf>
    <xf numFmtId="164" fontId="46" fillId="19" borderId="5" xfId="0" applyNumberFormat="1" applyFont="1" applyFill="1" applyBorder="1" applyAlignment="1">
      <alignment horizontal="center" vertical="center" wrapText="1"/>
    </xf>
    <xf numFmtId="0" fontId="45" fillId="0" borderId="5" xfId="0" applyNumberFormat="1" applyFont="1" applyBorder="1" applyAlignment="1">
      <alignment horizontal="center" vertical="top" wrapText="1"/>
    </xf>
    <xf numFmtId="0" fontId="47" fillId="0" borderId="5" xfId="0" applyFont="1" applyBorder="1" applyAlignment="1">
      <alignment vertical="top"/>
    </xf>
    <xf numFmtId="0" fontId="45" fillId="19" borderId="5" xfId="0" applyNumberFormat="1" applyFont="1" applyFill="1" applyBorder="1" applyAlignment="1">
      <alignment horizontal="center" vertical="center" wrapText="1"/>
    </xf>
    <xf numFmtId="0" fontId="46" fillId="22" borderId="5" xfId="0" applyNumberFormat="1" applyFont="1" applyFill="1" applyBorder="1" applyAlignment="1">
      <alignment horizontal="center" vertical="center" wrapText="1"/>
    </xf>
    <xf numFmtId="0" fontId="15" fillId="18" borderId="5" xfId="0" applyFont="1" applyFill="1" applyBorder="1" applyAlignment="1">
      <alignment vertical="top"/>
    </xf>
    <xf numFmtId="0" fontId="45" fillId="0" borderId="5" xfId="0" applyFont="1" applyBorder="1" applyAlignment="1">
      <alignment vertical="top" wrapText="1"/>
    </xf>
    <xf numFmtId="0" fontId="15" fillId="0" borderId="2" xfId="0" applyFont="1" applyBorder="1" applyAlignment="1">
      <alignment vertical="top" wrapText="1"/>
    </xf>
    <xf numFmtId="0" fontId="45" fillId="0" borderId="0" xfId="0" applyFont="1" applyBorder="1" applyAlignment="1">
      <alignment vertical="top"/>
    </xf>
    <xf numFmtId="0" fontId="45" fillId="0" borderId="0" xfId="0" applyFont="1" applyBorder="1" applyAlignment="1">
      <alignment vertical="top" wrapText="1"/>
    </xf>
    <xf numFmtId="0" fontId="45" fillId="19" borderId="5" xfId="0" applyFont="1" applyFill="1" applyBorder="1" applyAlignment="1">
      <alignment horizontal="left" vertical="top" wrapText="1"/>
    </xf>
    <xf numFmtId="0" fontId="15" fillId="0" borderId="36" xfId="0" applyFont="1" applyBorder="1" applyAlignment="1">
      <alignment vertical="top"/>
    </xf>
    <xf numFmtId="0" fontId="45" fillId="0" borderId="0" xfId="0" applyFont="1" applyBorder="1" applyAlignment="1">
      <alignment horizontal="center"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4">
    <cellStyle name="Excel Built-in Normal" xfId="2"/>
    <cellStyle name="Normal" xfId="0" builtinId="0"/>
    <cellStyle name="Normal 2" xfId="1"/>
    <cellStyle name="Normal 3" xfId="3"/>
  </cellStyles>
  <dxfs count="18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3" name="Assets" displayName="Assets" ref="A9:E22" totalsRowShown="0" headerRowDxfId="182" dataDxfId="180" headerRowBorderDxfId="181" tableBorderDxfId="179" totalsRowBorderDxfId="178">
  <autoFilter ref="A9:E22"/>
  <tableColumns count="5">
    <tableColumn id="1" name="ID #" dataDxfId="177"/>
    <tableColumn id="2" name="Asset Type_x000a_(Information/Physical)" dataDxfId="176"/>
    <tableColumn id="3" name="Asset" dataDxfId="175"/>
    <tableColumn id="4" name="Asset Description" dataDxfId="174"/>
    <tableColumn id="5" name="Comments" dataDxfId="173"/>
  </tableColumns>
  <tableStyleInfo name="TableStyleLight8" showFirstColumn="0" showLastColumn="0" showRowStripes="1" showColumnStripes="0"/>
</table>
</file>

<file path=xl/tables/table2.xml><?xml version="1.0" encoding="utf-8"?>
<table xmlns="http://schemas.openxmlformats.org/spreadsheetml/2006/main" id="2" name="Vulnerabilities" displayName="Vulnerabilities" ref="A4:D64" totalsRowShown="0" headerRowDxfId="172" dataDxfId="170" headerRowBorderDxfId="171" tableBorderDxfId="169" totalsRowBorderDxfId="168">
  <autoFilter ref="A4:D64"/>
  <tableColumns count="4">
    <tableColumn id="1" name="Vuln. ID" dataDxfId="167"/>
    <tableColumn id="4" name="Vulnerability Description" dataDxfId="166"/>
    <tableColumn id="5" name="Applicable (Yes/No)" dataDxfId="165"/>
    <tableColumn id="6"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id="5" name="Table5" displayName="Table5" ref="A3:F19" totalsRowShown="0" headerRowDxfId="163" dataDxfId="161" headerRowBorderDxfId="162" tableBorderDxfId="160" totalsRowBorderDxfId="159">
  <autoFilter ref="A3:F19"/>
  <tableColumns count="6">
    <tableColumn id="1" name="#" dataDxfId="158"/>
    <tableColumn id="2" name="Threat Event " dataDxfId="157"/>
    <tableColumn id="3" name="Description " dataDxfId="156"/>
    <tableColumn id="4" name="Threat Source" dataDxfId="155"/>
    <tableColumn id="5" name="In Scope (Yes/No)" dataDxfId="154"/>
    <tableColumn id="13" name="Rationale _x000a_(if out of scope)" dataDxfId="153"/>
  </tableColumns>
  <tableStyleInfo name="TableStyleLight11" showFirstColumn="0" showLastColumn="0" showRowStripes="1" showColumnStripes="0"/>
</table>
</file>

<file path=xl/tables/table4.xml><?xml version="1.0" encoding="utf-8"?>
<table xmlns="http://schemas.openxmlformats.org/spreadsheetml/2006/main" id="4" name="Table4" displayName="Table4" ref="A4:AQ24" totalsRowShown="0" headerRowDxfId="147" dataDxfId="146" tableBorderDxfId="145">
  <autoFilter ref="A4:AQ24">
    <filterColumn colId="3">
      <filters>
        <filter val="V01"/>
        <filter val="V02"/>
        <filter val="V04"/>
        <filter val="V05"/>
        <filter val="V06"/>
        <filter val="V07"/>
        <filter val="V12"/>
        <filter val="V15"/>
        <filter val="V17"/>
        <filter val="V26"/>
        <filter val="V27"/>
        <filter val="V31"/>
        <filter val="V53"/>
        <filter val="V54"/>
        <filter val="V57"/>
      </filters>
    </filterColumn>
  </autoFilter>
  <tableColumns count="43">
    <tableColumn id="1" name="_x000a_ID #" dataDxfId="144" totalsRowDxfId="143"/>
    <tableColumn id="23" name="T ID" dataDxfId="142" totalsRowDxfId="141"/>
    <tableColumn id="2" name="Threat Event(s)" dataDxfId="140" totalsRowDxfId="139">
      <calculatedColumnFormula>IF(VLOOKUP(Table4[[#This Row],[T ID]],Table5[#All],5,FALSE)="No","Not in scope",VLOOKUP(Table4[[#This Row],[T ID]],Table5[#All],2,FALSE))</calculatedColumnFormula>
    </tableColumn>
    <tableColumn id="22" name="V ID" dataDxfId="138" totalsRowDxfId="137"/>
    <tableColumn id="3" name="Vulnerabilities" dataDxfId="136" totalsRowDxfId="135">
      <calculatedColumnFormula>IF(VLOOKUP(Table4[[#This Row],[V ID]],Vulnerabilities[#All],3,FALSE)="No","Not in scope",VLOOKUP(Table4[[#This Row],[V ID]],Vulnerabilities[#All],2,FALSE))</calculatedColumnFormula>
    </tableColumn>
    <tableColumn id="24" name="A ID" dataDxfId="134" totalsRowDxfId="133"/>
    <tableColumn id="4" name="Asset" dataDxfId="132" totalsRowDxfId="131">
      <calculatedColumnFormula>VLOOKUP(Table4[[#This Row],[A ID]],Assets[#All],3,FALSE)</calculatedColumnFormula>
    </tableColumn>
    <tableColumn id="5" name="Impact Description" dataDxfId="130" totalsRowDxfId="129"/>
    <tableColumn id="7" name="Safety Impact _x000a_(Risk ID# or N/A)" dataDxfId="128" totalsRowDxfId="127"/>
    <tableColumn id="26" name="Confidentiality" dataDxfId="126" totalsRowDxfId="125"/>
    <tableColumn id="25" name="Integrity" dataDxfId="124" totalsRowDxfId="123"/>
    <tableColumn id="21" name="Availability" dataDxfId="122" totalsRowDxfId="121"/>
    <tableColumn id="44" name="Attack Vector" dataDxfId="120" totalsRowDxfId="119"/>
    <tableColumn id="45" name="Attack Complexity" dataDxfId="118" totalsRowDxfId="117"/>
    <tableColumn id="46" name="Privileges Required" dataDxfId="116" totalsRowDxfId="115"/>
    <tableColumn id="47" name="User Interaction" dataDxfId="114" totalsRowDxfId="113"/>
    <tableColumn id="43" name="Scope" dataDxfId="112" totalsRowDxfId="111"/>
    <tableColumn id="48" name="Exploitability Sub Score" dataDxfId="110" totalsRowDxfId="10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name="ISC Base" dataDxfId="108" totalsRowDxfId="10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name="Impact Sub Score" dataDxfId="106" totalsRowDxfId="105">
      <calculatedColumnFormula>IF(Table4[[#This Row],[Scope]]="Unchanged",6.42*Table4[[#This Row],[ISC Base]],IF(Table4[[#This Row],[Scope]]="Changed",7.52*(Table4[[#This Row],[ISC Base]] - 0.029) - 3.25 * POWER(Table4[[#This Row],[ISC Base]] - 0.02,15),NA()))</calculatedColumnFormula>
    </tableColumn>
    <tableColumn id="34" name="CVSS v3.0 Base Score" dataDxfId="104" totalsRowDxfId="10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name="Threat Event Initiation" dataDxfId="102"/>
    <tableColumn id="33" name="Threat Event Initiation_x000a_Score" dataDxfId="101" totalsRowDxfId="100">
      <calculatedColumnFormula>VLOOKUP(Table4[[#This Row],[Threat Event Initiation]],NIST_Scale_LOAI[],2,FALSE)</calculatedColumnFormula>
    </tableColumn>
    <tableColumn id="10" name="Overall Risk Score" dataDxfId="99" totalsRowDxfId="9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name="Security _x000a_Risk _x000a_Level" dataDxfId="97" totalsRowDxfId="9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name="Security Risk Control Measures" dataDxfId="95" totalsRowDxfId="94"/>
    <tableColumn id="14" name="Implementation of Risk Control Measures " dataDxfId="93" totalsRowDxfId="92"/>
    <tableColumn id="15" name="Verification of Risk Control Measures (Effectiveness)" dataDxfId="91" totalsRowDxfId="90"/>
    <tableColumn id="13" name="ConfidentialityP" dataDxfId="89" totalsRowDxfId="88"/>
    <tableColumn id="27" name="IntegrityP" dataDxfId="87" totalsRowDxfId="86"/>
    <tableColumn id="28" name="AvailabilityP" dataDxfId="85" totalsRowDxfId="84"/>
    <tableColumn id="8" name="Attack VectorP" dataDxfId="83" totalsRowDxfId="82"/>
    <tableColumn id="29" name="Attack ComplexityP" dataDxfId="81" totalsRowDxfId="80"/>
    <tableColumn id="30" name="Privileges RequiredP" dataDxfId="79" totalsRowDxfId="78"/>
    <tableColumn id="31" name="User InteractionP" dataDxfId="77"/>
    <tableColumn id="36" name="ScopeP" dataDxfId="76" totalsRowDxfId="75"/>
    <tableColumn id="35" name="Exploitability Sub ScoreP" dataDxfId="74" totalsRowDxfId="7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name="ISC BaseP" dataDxfId="72" totalsRowDxfId="7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name="Impact Sub ScoreP" dataDxfId="70" totalsRowDxfId="69">
      <calculatedColumnFormula>IF(Table4[[#This Row],[ScopeP]]="Unchanged",6.42*Table4[[#This Row],[ISC BaseP]],IF(Table4[[#This Row],[ScopeP]]="Changed",7.52*(Table4[[#This Row],[ISC BaseP]] - 0.029) - 3.25 * POWER(Table4[[#This Row],[ISC BaseP]] - 0.02,15),NA()))</calculatedColumnFormula>
    </tableColumn>
    <tableColumn id="42" name="CVSS v3.0 Base ScoreP" dataDxfId="68" totalsRowDxfId="6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name="Overall Risk ScoreP" dataDxfId="66" totalsRowDxfId="6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name="Security Risk LevelP" dataDxfId="64" totalsRowDxfId="6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name="Residual Security Risk Acceptability Justification" dataDxfId="62" totalsRowDxfId="61"/>
  </tableColumns>
  <tableStyleInfo name="TableStyleLight11" showFirstColumn="0" showLastColumn="0" showRowStripes="1" showColumnStripes="0"/>
</table>
</file>

<file path=xl/tables/table5.xml><?xml version="1.0" encoding="utf-8"?>
<table xmlns="http://schemas.openxmlformats.org/spreadsheetml/2006/main" id="14" name="Table41415" displayName="Table41415" ref="A4:M9" totalsRowShown="0" headerRowDxfId="45" dataDxfId="44" tableBorderDxfId="43">
  <tableColumns count="13">
    <tableColumn id="1" name="_x000a_ID #" dataDxfId="42" totalsRowDxfId="41">
      <calculatedColumnFormula>Table4[[#This Row],[
ID '#]]</calculatedColumnFormula>
    </tableColumn>
    <tableColumn id="23" name="T ID" dataDxfId="40" totalsRowDxfId="39">
      <calculatedColumnFormula>IF(Table4[[#This Row],[A ID]]&gt;0,Table4[[#This Row],[T ID]],"")</calculatedColumnFormula>
    </tableColumn>
    <tableColumn id="2" name="Threat Event(s)" dataDxfId="38" totalsRowDxfId="37">
      <calculatedColumnFormula>Table4[[#This Row],[Threat Event(s)]]</calculatedColumnFormula>
    </tableColumn>
    <tableColumn id="22" name="V ID" dataDxfId="36" totalsRowDxfId="35">
      <calculatedColumnFormula>IF(Table4[[#This Row],[V ID]]&gt;0,Table4[[#This Row],[V ID]],"")</calculatedColumnFormula>
    </tableColumn>
    <tableColumn id="3" name="Vulnerabilities" dataDxfId="34" totalsRowDxfId="33">
      <calculatedColumnFormula>Table4[[#This Row],[Vulnerabilities]]</calculatedColumnFormula>
    </tableColumn>
    <tableColumn id="24" name="A ID" dataDxfId="32" totalsRowDxfId="31">
      <calculatedColumnFormula>IF(Table4[[#This Row],[A ID]]&gt;0,Table4[[#This Row],[A ID]],"")</calculatedColumnFormula>
    </tableColumn>
    <tableColumn id="4" name="Assets" dataDxfId="30" totalsRowDxfId="29">
      <calculatedColumnFormula>Table4[[#This Row],[Asset]]</calculatedColumnFormula>
    </tableColumn>
    <tableColumn id="5" name="Impact Description" dataDxfId="28" totalsRowDxfId="27">
      <calculatedColumnFormula>IF(Table4[[#This Row],[Impact Description]]&gt;0,Table4[[#This Row],[Impact Description]],"")</calculatedColumnFormula>
    </tableColumn>
    <tableColumn id="7" name="Safety Impact _x000a_(Risk ID# or N/A)" dataDxfId="26" totalsRowDxfId="25">
      <calculatedColumnFormula>IF(Table4[[#This Row],[Safety Impact 
(Risk ID'# or N/A)]]&gt;0,Table4[[#This Row],[Safety Impact 
(Risk ID'# or N/A)]],"")</calculatedColumnFormula>
    </tableColumn>
    <tableColumn id="11" name="Pre-Controls _x000a_Risk Level" dataDxfId="24" totalsRowDxfId="23">
      <calculatedColumnFormula>Table4[[#This Row],[Security 
Risk 
Level]]</calculatedColumnFormula>
    </tableColumn>
    <tableColumn id="12" name="Security Risk Control Measures" dataDxfId="22" totalsRowDxfId="21">
      <calculatedColumnFormula>IF(Table4[[#This Row],[Security Risk Control Measures]]&gt;0,Table4[[#This Row],[Security Risk Control Measures]],"")</calculatedColumnFormula>
    </tableColumn>
    <tableColumn id="50" name="Post-Controls Risk Level" dataDxfId="20" totalsRowDxfId="19">
      <calculatedColumnFormula>Table4[[#This Row],[Security Risk LevelP]]</calculatedColumnFormula>
    </tableColumn>
    <tableColumn id="2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NIST_Scale_LOAI" displayName="NIST_Scale_LOAI" ref="Q4:R10" totalsRowShown="0" headerRowDxfId="16" dataDxfId="15" tableBorderDxfId="14">
  <autoFilter ref="Q4:R10"/>
  <tableColumns count="2">
    <tableColumn id="1" name="Rating" dataDxfId="13"/>
    <tableColumn id="2" name="Score" dataDxfId="12"/>
  </tableColumns>
  <tableStyleInfo name="TableStyleLight11" showFirstColumn="0" showLastColumn="0" showRowStripes="1" showColumnStripes="0"/>
</table>
</file>

<file path=xl/tables/table7.xml><?xml version="1.0" encoding="utf-8"?>
<table xmlns="http://schemas.openxmlformats.org/spreadsheetml/2006/main" id="7" name="Table7" displayName="Table7" ref="A4:C10" totalsRowShown="0" headerRowDxfId="11" dataDxfId="10" tableBorderDxfId="9">
  <autoFilter ref="A4:C10"/>
  <tableColumns count="3">
    <tableColumn id="1" name="ID#" dataDxfId="8"/>
    <tableColumn id="2" name="Threat Source" dataDxfId="7"/>
    <tableColumn id="3" name="In Scope (Y/N)" dataDxfId="6"/>
  </tableColumns>
  <tableStyleInfo name="TableStyleLight10" showFirstColumn="0" showLastColumn="0" showRowStripes="1" showColumnStripes="0"/>
</table>
</file>

<file path=xl/tables/table8.xml><?xml version="1.0" encoding="utf-8"?>
<table xmlns="http://schemas.openxmlformats.org/spreadsheetml/2006/main" id="8" name="Table8" displayName="Table8" ref="E4:G10" totalsRowShown="0" headerRowDxfId="5" dataDxfId="4" tableBorderDxfId="3">
  <autoFilter ref="E4:G10"/>
  <tableColumns count="3">
    <tableColumn id="1" name="ID#" dataDxfId="2"/>
    <tableColumn id="2" name="Source" dataDxfId="1"/>
    <tableColumn id="3"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topLeftCell="A7" zoomScaleNormal="100" workbookViewId="0">
      <selection activeCell="A23" sqref="A23"/>
    </sheetView>
  </sheetViews>
  <sheetFormatPr defaultColWidth="9.140625" defaultRowHeight="14.25"/>
  <cols>
    <col min="1" max="1" width="7.85546875" style="25" customWidth="1"/>
    <col min="2" max="2" width="30.7109375" style="25" customWidth="1"/>
    <col min="3" max="3" width="40.85546875" style="25" customWidth="1"/>
    <col min="4" max="4" width="51.28515625" style="25" customWidth="1"/>
    <col min="5" max="5" width="16.140625" style="25" customWidth="1"/>
    <col min="6" max="6" width="14.28515625" style="25" customWidth="1"/>
    <col min="7" max="16384" width="9.140625" style="25"/>
  </cols>
  <sheetData>
    <row r="1" spans="1:5" s="28" customFormat="1">
      <c r="A1" s="27" t="s">
        <v>0</v>
      </c>
    </row>
    <row r="2" spans="1:5" s="28" customFormat="1"/>
    <row r="3" spans="1:5" s="28" customFormat="1">
      <c r="A3" s="29" t="s">
        <v>1</v>
      </c>
      <c r="B3" s="30"/>
      <c r="C3" s="251" t="s">
        <v>225</v>
      </c>
      <c r="D3" s="251"/>
    </row>
    <row r="4" spans="1:5" s="28" customFormat="1">
      <c r="A4" s="31" t="s">
        <v>2</v>
      </c>
      <c r="B4" s="32"/>
      <c r="C4" s="251"/>
      <c r="D4" s="251"/>
    </row>
    <row r="5" spans="1:5" s="28" customFormat="1">
      <c r="A5" s="31" t="s">
        <v>3</v>
      </c>
      <c r="B5" s="32"/>
      <c r="C5" s="251" t="s">
        <v>329</v>
      </c>
      <c r="D5" s="251"/>
    </row>
    <row r="6" spans="1:5" s="28" customFormat="1" ht="30" customHeight="1">
      <c r="A6" s="33" t="s">
        <v>4</v>
      </c>
      <c r="B6" s="34"/>
      <c r="C6" s="251" t="s">
        <v>243</v>
      </c>
      <c r="D6" s="251"/>
    </row>
    <row r="7" spans="1:5" s="28" customFormat="1"/>
    <row r="8" spans="1:5" s="28" customFormat="1"/>
    <row r="9" spans="1:5" s="28" customFormat="1" ht="28.5">
      <c r="A9" s="35" t="s">
        <v>5</v>
      </c>
      <c r="B9" s="36" t="s">
        <v>6</v>
      </c>
      <c r="C9" s="36" t="s">
        <v>7</v>
      </c>
      <c r="D9" s="37" t="s">
        <v>8</v>
      </c>
      <c r="E9" s="169" t="s">
        <v>9</v>
      </c>
    </row>
    <row r="10" spans="1:5" s="28" customFormat="1" ht="28.5">
      <c r="A10" s="38" t="s">
        <v>10</v>
      </c>
      <c r="B10" s="39" t="s">
        <v>260</v>
      </c>
      <c r="C10" s="178" t="s">
        <v>328</v>
      </c>
      <c r="D10" s="178" t="s">
        <v>330</v>
      </c>
      <c r="E10" s="178"/>
    </row>
    <row r="11" spans="1:5" s="28" customFormat="1">
      <c r="A11" s="38" t="s">
        <v>11</v>
      </c>
      <c r="B11" s="39" t="s">
        <v>13</v>
      </c>
      <c r="C11" s="178" t="s">
        <v>264</v>
      </c>
      <c r="D11" s="205" t="s">
        <v>265</v>
      </c>
      <c r="E11" s="178"/>
    </row>
    <row r="12" spans="1:5" s="28" customFormat="1" ht="42.75">
      <c r="A12" s="38" t="s">
        <v>12</v>
      </c>
      <c r="B12" s="39" t="s">
        <v>13</v>
      </c>
      <c r="C12" s="178" t="s">
        <v>218</v>
      </c>
      <c r="D12" s="178" t="s">
        <v>261</v>
      </c>
      <c r="E12" s="178"/>
    </row>
    <row r="13" spans="1:5" s="28" customFormat="1" ht="42.75">
      <c r="A13" s="38" t="s">
        <v>14</v>
      </c>
      <c r="B13" s="39" t="s">
        <v>13</v>
      </c>
      <c r="C13" s="178" t="s">
        <v>226</v>
      </c>
      <c r="D13" s="178" t="s">
        <v>17</v>
      </c>
      <c r="E13" s="178"/>
    </row>
    <row r="14" spans="1:5" s="28" customFormat="1" ht="42.75">
      <c r="A14" s="38" t="s">
        <v>15</v>
      </c>
      <c r="B14" s="39" t="s">
        <v>13</v>
      </c>
      <c r="C14" s="41" t="s">
        <v>239</v>
      </c>
      <c r="D14" s="178" t="s">
        <v>261</v>
      </c>
      <c r="E14" s="178"/>
    </row>
    <row r="15" spans="1:5" s="28" customFormat="1" ht="28.5">
      <c r="A15" s="38" t="s">
        <v>16</v>
      </c>
      <c r="B15" s="39" t="s">
        <v>13</v>
      </c>
      <c r="C15" s="178" t="s">
        <v>334</v>
      </c>
      <c r="D15" s="178" t="s">
        <v>263</v>
      </c>
      <c r="E15" s="178"/>
    </row>
    <row r="16" spans="1:5" s="28" customFormat="1">
      <c r="A16" s="38" t="s">
        <v>18</v>
      </c>
      <c r="B16" s="39" t="s">
        <v>13</v>
      </c>
      <c r="C16" s="205" t="s">
        <v>23</v>
      </c>
      <c r="D16" s="205" t="s">
        <v>267</v>
      </c>
      <c r="E16" s="178"/>
    </row>
    <row r="17" spans="1:8" s="28" customFormat="1">
      <c r="A17" s="38" t="s">
        <v>19</v>
      </c>
      <c r="B17" s="39" t="s">
        <v>13</v>
      </c>
      <c r="C17" s="207" t="s">
        <v>24</v>
      </c>
      <c r="D17" s="178" t="s">
        <v>327</v>
      </c>
      <c r="E17" s="178"/>
    </row>
    <row r="18" spans="1:8">
      <c r="A18" s="38" t="s">
        <v>20</v>
      </c>
      <c r="B18" s="40" t="s">
        <v>13</v>
      </c>
      <c r="C18" s="41" t="s">
        <v>246</v>
      </c>
      <c r="D18" s="178" t="s">
        <v>266</v>
      </c>
      <c r="E18" s="208"/>
    </row>
    <row r="19" spans="1:8">
      <c r="A19" s="38" t="s">
        <v>21</v>
      </c>
      <c r="B19" s="40" t="s">
        <v>13</v>
      </c>
      <c r="C19" s="41" t="s">
        <v>247</v>
      </c>
      <c r="D19" s="178" t="s">
        <v>248</v>
      </c>
      <c r="E19" s="208"/>
    </row>
    <row r="20" spans="1:8">
      <c r="A20" s="38" t="s">
        <v>22</v>
      </c>
      <c r="B20" s="40" t="s">
        <v>13</v>
      </c>
      <c r="C20" s="50" t="s">
        <v>268</v>
      </c>
      <c r="D20" s="178" t="s">
        <v>269</v>
      </c>
      <c r="E20" s="208"/>
    </row>
    <row r="21" spans="1:8">
      <c r="A21" s="38" t="s">
        <v>295</v>
      </c>
      <c r="B21" s="40" t="s">
        <v>13</v>
      </c>
      <c r="C21" s="50" t="s">
        <v>296</v>
      </c>
      <c r="D21" s="178" t="s">
        <v>297</v>
      </c>
      <c r="E21" s="208"/>
    </row>
    <row r="22" spans="1:8" ht="28.5">
      <c r="A22" s="38" t="s">
        <v>337</v>
      </c>
      <c r="B22" s="40" t="s">
        <v>13</v>
      </c>
      <c r="C22" s="50" t="s">
        <v>338</v>
      </c>
      <c r="D22" s="178" t="s">
        <v>339</v>
      </c>
      <c r="E22" s="208"/>
    </row>
    <row r="30" spans="1:8">
      <c r="A30" s="26" t="s">
        <v>25</v>
      </c>
    </row>
    <row r="31" spans="1:8" ht="34.5" customHeight="1">
      <c r="B31" s="252" t="s">
        <v>26</v>
      </c>
      <c r="C31" s="252"/>
      <c r="D31" s="180"/>
      <c r="E31" s="180"/>
      <c r="F31" s="180"/>
      <c r="G31" s="180"/>
      <c r="H31" s="180"/>
    </row>
    <row r="33" spans="2:2">
      <c r="B33" s="28"/>
    </row>
  </sheetData>
  <mergeCells count="5">
    <mergeCell ref="C3:D3"/>
    <mergeCell ref="C4:D4"/>
    <mergeCell ref="C5:D5"/>
    <mergeCell ref="C6:D6"/>
    <mergeCell ref="B31:C31"/>
  </mergeCells>
  <phoneticPr fontId="44" type="noConversion"/>
  <dataValidations count="1">
    <dataValidation type="list" allowBlank="1" showInputMessage="1" showErrorMessage="1" sqref="C17">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7"/>
  <sheetViews>
    <sheetView topLeftCell="A4" zoomScaleNormal="100" workbookViewId="0">
      <selection activeCell="B11" sqref="B11"/>
    </sheetView>
  </sheetViews>
  <sheetFormatPr defaultColWidth="9.140625" defaultRowHeight="15"/>
  <cols>
    <col min="1" max="1" width="31.7109375" style="23" customWidth="1"/>
    <col min="2" max="2" width="87.5703125" style="23" customWidth="1"/>
    <col min="3" max="3" width="20.7109375" style="23" customWidth="1"/>
    <col min="4" max="4" width="42.7109375" style="23" customWidth="1"/>
    <col min="5" max="16384" width="9.140625" style="23"/>
  </cols>
  <sheetData>
    <row r="1" spans="1:4" s="42" customFormat="1" ht="15" customHeight="1">
      <c r="A1" s="27" t="s">
        <v>27</v>
      </c>
    </row>
    <row r="2" spans="1:4" s="42" customFormat="1" ht="15" customHeight="1">
      <c r="A2" s="27"/>
    </row>
    <row r="3" spans="1:4" s="42" customFormat="1" ht="14.25" hidden="1"/>
    <row r="4" spans="1:4" s="42" customFormat="1" ht="14.25">
      <c r="A4" s="43" t="s">
        <v>28</v>
      </c>
      <c r="B4" s="44" t="s">
        <v>29</v>
      </c>
      <c r="C4" s="44" t="s">
        <v>30</v>
      </c>
      <c r="D4" s="44" t="s">
        <v>31</v>
      </c>
    </row>
    <row r="5" spans="1:4" s="42" customFormat="1" ht="57">
      <c r="A5" s="45" t="s">
        <v>32</v>
      </c>
      <c r="B5" s="46" t="s">
        <v>273</v>
      </c>
      <c r="C5" s="178" t="s">
        <v>54</v>
      </c>
      <c r="D5" s="178" t="s">
        <v>335</v>
      </c>
    </row>
    <row r="6" spans="1:4" s="42" customFormat="1" ht="57">
      <c r="A6" s="47" t="s">
        <v>35</v>
      </c>
      <c r="B6" s="46" t="s">
        <v>274</v>
      </c>
      <c r="C6" s="178" t="s">
        <v>54</v>
      </c>
      <c r="D6" s="178" t="s">
        <v>335</v>
      </c>
    </row>
    <row r="7" spans="1:4" s="42" customFormat="1" ht="14.25">
      <c r="A7" s="47" t="s">
        <v>36</v>
      </c>
      <c r="B7" s="48" t="s">
        <v>227</v>
      </c>
      <c r="C7" s="178" t="s">
        <v>33</v>
      </c>
      <c r="D7" s="178" t="s">
        <v>34</v>
      </c>
    </row>
    <row r="8" spans="1:4" s="42" customFormat="1" ht="14.25">
      <c r="A8" s="47" t="s">
        <v>37</v>
      </c>
      <c r="B8" s="48" t="s">
        <v>270</v>
      </c>
      <c r="C8" s="178" t="s">
        <v>33</v>
      </c>
      <c r="D8" s="178" t="s">
        <v>34</v>
      </c>
    </row>
    <row r="9" spans="1:4" s="42" customFormat="1" ht="14.25">
      <c r="A9" s="212" t="s">
        <v>279</v>
      </c>
      <c r="B9" s="213" t="s">
        <v>280</v>
      </c>
      <c r="C9" s="214" t="s">
        <v>33</v>
      </c>
      <c r="D9" s="178" t="s">
        <v>34</v>
      </c>
    </row>
    <row r="10" spans="1:4" s="42" customFormat="1" ht="14.25">
      <c r="A10" s="212" t="s">
        <v>304</v>
      </c>
      <c r="B10" s="184" t="s">
        <v>333</v>
      </c>
      <c r="C10" s="214" t="s">
        <v>33</v>
      </c>
      <c r="D10" s="178" t="s">
        <v>34</v>
      </c>
    </row>
    <row r="11" spans="1:4" s="42" customFormat="1" ht="14.25">
      <c r="A11" s="212" t="s">
        <v>340</v>
      </c>
      <c r="B11" s="231" t="s">
        <v>343</v>
      </c>
      <c r="C11" s="214" t="s">
        <v>33</v>
      </c>
      <c r="D11" s="178" t="s">
        <v>34</v>
      </c>
    </row>
    <row r="12" spans="1:4" s="42" customFormat="1" ht="14.25">
      <c r="A12" s="49" t="s">
        <v>221</v>
      </c>
      <c r="B12" s="49"/>
      <c r="C12" s="49"/>
      <c r="D12" s="49"/>
    </row>
    <row r="13" spans="1:4" s="42" customFormat="1" ht="14.25">
      <c r="A13" s="50" t="s">
        <v>38</v>
      </c>
      <c r="B13" s="50" t="s">
        <v>307</v>
      </c>
      <c r="C13" s="178" t="s">
        <v>54</v>
      </c>
      <c r="D13" s="48" t="s">
        <v>42</v>
      </c>
    </row>
    <row r="14" spans="1:4" s="42" customFormat="1" ht="14.25">
      <c r="A14" s="47" t="s">
        <v>39</v>
      </c>
      <c r="B14" s="48" t="s">
        <v>244</v>
      </c>
      <c r="C14" s="178" t="s">
        <v>33</v>
      </c>
      <c r="D14" s="48" t="s">
        <v>34</v>
      </c>
    </row>
    <row r="15" spans="1:4" s="42" customFormat="1" ht="14.25">
      <c r="A15" s="47" t="s">
        <v>40</v>
      </c>
      <c r="B15" s="50" t="s">
        <v>41</v>
      </c>
      <c r="C15" s="178" t="s">
        <v>54</v>
      </c>
      <c r="D15" s="48" t="s">
        <v>42</v>
      </c>
    </row>
    <row r="16" spans="1:4" s="42" customFormat="1" ht="14.25">
      <c r="A16" s="47" t="s">
        <v>43</v>
      </c>
      <c r="B16" s="50" t="s">
        <v>235</v>
      </c>
      <c r="C16" s="178" t="s">
        <v>54</v>
      </c>
      <c r="D16" s="48" t="s">
        <v>42</v>
      </c>
    </row>
    <row r="17" spans="1:4" s="42" customFormat="1" ht="14.25">
      <c r="A17" s="47" t="s">
        <v>44</v>
      </c>
      <c r="B17" s="48" t="s">
        <v>275</v>
      </c>
      <c r="C17" s="178" t="s">
        <v>33</v>
      </c>
      <c r="D17" s="48" t="s">
        <v>34</v>
      </c>
    </row>
    <row r="18" spans="1:4" s="42" customFormat="1" ht="14.25">
      <c r="A18" s="47" t="s">
        <v>45</v>
      </c>
      <c r="B18" s="178" t="s">
        <v>324</v>
      </c>
      <c r="C18" s="178" t="s">
        <v>33</v>
      </c>
      <c r="D18" s="48" t="s">
        <v>34</v>
      </c>
    </row>
    <row r="19" spans="1:4" s="42" customFormat="1" ht="14.25">
      <c r="A19" s="47" t="s">
        <v>46</v>
      </c>
      <c r="B19" s="213" t="s">
        <v>249</v>
      </c>
      <c r="C19" s="178" t="s">
        <v>33</v>
      </c>
      <c r="D19" s="48" t="s">
        <v>34</v>
      </c>
    </row>
    <row r="20" spans="1:4" s="42" customFormat="1" ht="14.25">
      <c r="A20" s="49" t="s">
        <v>236</v>
      </c>
      <c r="B20" s="49"/>
      <c r="C20" s="49"/>
      <c r="D20" s="49"/>
    </row>
    <row r="21" spans="1:4" s="42" customFormat="1" ht="14.25">
      <c r="A21" s="50" t="s">
        <v>47</v>
      </c>
      <c r="B21" s="178" t="s">
        <v>282</v>
      </c>
      <c r="C21" s="178" t="s">
        <v>33</v>
      </c>
      <c r="D21" s="48" t="s">
        <v>34</v>
      </c>
    </row>
    <row r="22" spans="1:4" s="42" customFormat="1" ht="14.25">
      <c r="A22" s="50" t="s">
        <v>48</v>
      </c>
      <c r="B22" s="178" t="s">
        <v>325</v>
      </c>
      <c r="C22" s="178" t="s">
        <v>33</v>
      </c>
      <c r="D22" s="48" t="s">
        <v>34</v>
      </c>
    </row>
    <row r="23" spans="1:4" s="42" customFormat="1" ht="28.5">
      <c r="A23" s="50" t="s">
        <v>49</v>
      </c>
      <c r="B23" s="178" t="s">
        <v>326</v>
      </c>
      <c r="C23" s="178" t="s">
        <v>33</v>
      </c>
      <c r="D23" s="48" t="s">
        <v>34</v>
      </c>
    </row>
    <row r="24" spans="1:4" s="42" customFormat="1" ht="14.25">
      <c r="A24" s="50" t="s">
        <v>50</v>
      </c>
      <c r="B24" s="178" t="s">
        <v>276</v>
      </c>
      <c r="C24" s="178" t="s">
        <v>33</v>
      </c>
      <c r="D24" s="48" t="s">
        <v>34</v>
      </c>
    </row>
    <row r="25" spans="1:4" s="42" customFormat="1" ht="14.25">
      <c r="A25" s="47" t="s">
        <v>51</v>
      </c>
      <c r="B25" s="178" t="s">
        <v>283</v>
      </c>
      <c r="C25" s="178" t="s">
        <v>33</v>
      </c>
      <c r="D25" s="48" t="s">
        <v>34</v>
      </c>
    </row>
    <row r="26" spans="1:4" s="42" customFormat="1" ht="14.25">
      <c r="A26" s="47" t="s">
        <v>52</v>
      </c>
      <c r="B26" s="48" t="s">
        <v>228</v>
      </c>
      <c r="C26" s="178" t="s">
        <v>33</v>
      </c>
      <c r="D26" s="48" t="s">
        <v>34</v>
      </c>
    </row>
    <row r="27" spans="1:4" s="42" customFormat="1" ht="14.25">
      <c r="A27" s="47" t="s">
        <v>219</v>
      </c>
      <c r="B27" s="48" t="s">
        <v>57</v>
      </c>
      <c r="C27" s="178" t="s">
        <v>33</v>
      </c>
      <c r="D27" s="48" t="s">
        <v>34</v>
      </c>
    </row>
    <row r="28" spans="1:4" s="42" customFormat="1" ht="14.25">
      <c r="A28" s="47" t="s">
        <v>220</v>
      </c>
      <c r="B28" s="48" t="s">
        <v>277</v>
      </c>
      <c r="C28" s="178" t="s">
        <v>33</v>
      </c>
      <c r="D28" s="48" t="s">
        <v>34</v>
      </c>
    </row>
    <row r="29" spans="1:4" s="42" customFormat="1" ht="14.25">
      <c r="A29" s="190" t="s">
        <v>262</v>
      </c>
      <c r="B29" s="48" t="s">
        <v>278</v>
      </c>
      <c r="C29" s="189" t="s">
        <v>33</v>
      </c>
      <c r="D29" s="48" t="s">
        <v>34</v>
      </c>
    </row>
    <row r="30" spans="1:4" s="42" customFormat="1" ht="14.25">
      <c r="A30" s="167" t="s">
        <v>231</v>
      </c>
      <c r="B30" s="168"/>
      <c r="C30" s="168"/>
      <c r="D30" s="168"/>
    </row>
    <row r="31" spans="1:4" s="42" customFormat="1" ht="14.25">
      <c r="A31" s="186" t="s">
        <v>53</v>
      </c>
      <c r="B31" s="187" t="s">
        <v>237</v>
      </c>
      <c r="C31" s="178" t="s">
        <v>54</v>
      </c>
      <c r="D31" s="48" t="s">
        <v>42</v>
      </c>
    </row>
    <row r="32" spans="1:4" s="42" customFormat="1" ht="14.25">
      <c r="A32" s="186" t="s">
        <v>230</v>
      </c>
      <c r="B32" s="188" t="s">
        <v>229</v>
      </c>
      <c r="C32" s="178" t="s">
        <v>54</v>
      </c>
      <c r="D32" s="48" t="s">
        <v>42</v>
      </c>
    </row>
    <row r="33" spans="1:4" s="42" customFormat="1" ht="14.25">
      <c r="A33" s="186" t="s">
        <v>55</v>
      </c>
      <c r="B33" s="210" t="s">
        <v>271</v>
      </c>
      <c r="C33" s="178" t="s">
        <v>54</v>
      </c>
      <c r="D33" s="48" t="s">
        <v>42</v>
      </c>
    </row>
    <row r="34" spans="1:4" s="42" customFormat="1" ht="14.25">
      <c r="A34" s="186" t="s">
        <v>56</v>
      </c>
      <c r="B34" s="210" t="s">
        <v>272</v>
      </c>
      <c r="C34" s="178" t="s">
        <v>54</v>
      </c>
      <c r="D34" s="48" t="s">
        <v>42</v>
      </c>
    </row>
    <row r="35" spans="1:4" s="42" customFormat="1" ht="14.25">
      <c r="A35" s="167" t="s">
        <v>58</v>
      </c>
      <c r="B35" s="168"/>
      <c r="C35" s="168"/>
      <c r="D35" s="168"/>
    </row>
    <row r="36" spans="1:4" s="42" customFormat="1" ht="14.25">
      <c r="A36" s="211" t="s">
        <v>59</v>
      </c>
      <c r="B36" s="48" t="s">
        <v>60</v>
      </c>
      <c r="C36" s="178" t="s">
        <v>54</v>
      </c>
      <c r="D36" s="48" t="s">
        <v>42</v>
      </c>
    </row>
    <row r="37" spans="1:4" s="42" customFormat="1" ht="14.25">
      <c r="A37" s="211" t="s">
        <v>61</v>
      </c>
      <c r="B37" s="51" t="s">
        <v>62</v>
      </c>
      <c r="C37" s="178" t="s">
        <v>54</v>
      </c>
      <c r="D37" s="48" t="s">
        <v>42</v>
      </c>
    </row>
    <row r="38" spans="1:4">
      <c r="A38" s="167" t="s">
        <v>284</v>
      </c>
      <c r="B38" s="168"/>
      <c r="C38" s="168"/>
      <c r="D38" s="168"/>
    </row>
    <row r="39" spans="1:4">
      <c r="A39" s="183" t="s">
        <v>222</v>
      </c>
      <c r="B39" s="184" t="s">
        <v>285</v>
      </c>
      <c r="C39" s="178" t="s">
        <v>33</v>
      </c>
      <c r="D39" s="48" t="s">
        <v>34</v>
      </c>
    </row>
    <row r="40" spans="1:4">
      <c r="A40" s="183" t="s">
        <v>223</v>
      </c>
      <c r="B40" s="183" t="s">
        <v>286</v>
      </c>
      <c r="C40" s="178" t="s">
        <v>33</v>
      </c>
      <c r="D40" s="48" t="s">
        <v>34</v>
      </c>
    </row>
    <row r="41" spans="1:4">
      <c r="A41" s="183" t="s">
        <v>224</v>
      </c>
      <c r="B41" s="184" t="s">
        <v>290</v>
      </c>
      <c r="C41" s="178" t="s">
        <v>33</v>
      </c>
      <c r="D41" s="48" t="s">
        <v>34</v>
      </c>
    </row>
    <row r="42" spans="1:4">
      <c r="A42" s="183" t="s">
        <v>287</v>
      </c>
      <c r="B42" s="184" t="s">
        <v>353</v>
      </c>
      <c r="C42" s="178" t="s">
        <v>33</v>
      </c>
      <c r="D42" s="48" t="s">
        <v>34</v>
      </c>
    </row>
    <row r="43" spans="1:4">
      <c r="A43" s="183" t="s">
        <v>288</v>
      </c>
      <c r="B43" s="184" t="s">
        <v>294</v>
      </c>
      <c r="C43" s="178" t="s">
        <v>33</v>
      </c>
      <c r="D43" s="48" t="s">
        <v>34</v>
      </c>
    </row>
    <row r="44" spans="1:4">
      <c r="A44" s="183" t="s">
        <v>289</v>
      </c>
      <c r="B44" s="184" t="s">
        <v>292</v>
      </c>
      <c r="C44" s="178" t="s">
        <v>33</v>
      </c>
      <c r="D44" s="48" t="s">
        <v>34</v>
      </c>
    </row>
    <row r="45" spans="1:4">
      <c r="A45" s="183" t="s">
        <v>291</v>
      </c>
      <c r="B45" s="184" t="s">
        <v>293</v>
      </c>
      <c r="C45" s="178" t="s">
        <v>33</v>
      </c>
      <c r="D45" s="48" t="s">
        <v>34</v>
      </c>
    </row>
    <row r="46" spans="1:4">
      <c r="A46" s="186"/>
      <c r="B46" s="184" t="s">
        <v>64</v>
      </c>
      <c r="C46" s="187"/>
      <c r="D46" s="187"/>
    </row>
    <row r="47" spans="1:4">
      <c r="A47" s="186"/>
      <c r="B47" s="213"/>
      <c r="C47" s="187"/>
      <c r="D47" s="187"/>
    </row>
    <row r="48" spans="1:4">
      <c r="A48" s="186"/>
      <c r="B48" s="187"/>
      <c r="C48" s="187"/>
      <c r="D48" s="187"/>
    </row>
    <row r="49" spans="1:4">
      <c r="A49" s="186"/>
      <c r="B49" s="187"/>
      <c r="C49" s="187"/>
      <c r="D49" s="187"/>
    </row>
    <row r="50" spans="1:4">
      <c r="A50" s="186"/>
      <c r="B50" s="209"/>
      <c r="C50" s="187"/>
      <c r="D50" s="187"/>
    </row>
    <row r="51" spans="1:4">
      <c r="A51" s="186"/>
      <c r="B51" s="209"/>
      <c r="C51" s="187"/>
      <c r="D51" s="187"/>
    </row>
    <row r="52" spans="1:4">
      <c r="A52" s="186"/>
      <c r="B52" s="209"/>
      <c r="C52" s="187"/>
      <c r="D52" s="187"/>
    </row>
    <row r="53" spans="1:4">
      <c r="A53" s="183"/>
      <c r="B53"/>
      <c r="C53" s="184"/>
      <c r="D53" s="184"/>
    </row>
    <row r="54" spans="1:4">
      <c r="A54" s="183"/>
      <c r="B54"/>
      <c r="C54" s="184"/>
      <c r="D54" s="184"/>
    </row>
    <row r="55" spans="1:4">
      <c r="A55" s="183"/>
      <c r="B55"/>
      <c r="C55" s="184"/>
      <c r="D55" s="184"/>
    </row>
    <row r="56" spans="1:4">
      <c r="A56" s="183"/>
      <c r="B56"/>
      <c r="C56" s="184"/>
      <c r="D56" s="184"/>
    </row>
    <row r="57" spans="1:4">
      <c r="A57" s="183"/>
      <c r="B57"/>
      <c r="C57" s="184"/>
      <c r="D57" s="184"/>
    </row>
    <row r="58" spans="1:4">
      <c r="A58" s="183"/>
      <c r="B58"/>
      <c r="C58" s="184"/>
      <c r="D58" s="184"/>
    </row>
    <row r="59" spans="1:4">
      <c r="A59" s="183"/>
      <c r="B59"/>
      <c r="C59" s="184"/>
      <c r="D59" s="184"/>
    </row>
    <row r="60" spans="1:4">
      <c r="A60" s="183"/>
      <c r="B60"/>
      <c r="C60" s="184"/>
      <c r="D60" s="184"/>
    </row>
    <row r="61" spans="1:4">
      <c r="A61" s="183"/>
      <c r="B61"/>
      <c r="C61" s="184"/>
      <c r="D61" s="184"/>
    </row>
    <row r="62" spans="1:4">
      <c r="A62" s="183"/>
      <c r="B62"/>
      <c r="C62" s="184"/>
      <c r="D62" s="184"/>
    </row>
    <row r="63" spans="1:4">
      <c r="A63" s="183"/>
      <c r="B63" s="209"/>
      <c r="C63" s="184"/>
      <c r="D63" s="184"/>
    </row>
    <row r="64" spans="1:4">
      <c r="A64" s="186"/>
      <c r="B64" s="187"/>
      <c r="C64" s="187"/>
      <c r="D64" s="187"/>
    </row>
    <row r="65" spans="1:4">
      <c r="A65" s="26" t="s">
        <v>25</v>
      </c>
      <c r="B65" s="42"/>
      <c r="C65" s="42"/>
      <c r="D65" s="42"/>
    </row>
    <row r="66" spans="1:4" ht="31.5">
      <c r="A66" s="42"/>
      <c r="B66" s="180" t="s">
        <v>26</v>
      </c>
      <c r="C66" s="180"/>
      <c r="D66" s="180"/>
    </row>
    <row r="67" spans="1:4">
      <c r="A67" s="42"/>
      <c r="B67" s="42"/>
      <c r="C67" s="42"/>
      <c r="D67" s="42"/>
    </row>
  </sheetData>
  <phoneticPr fontId="44" type="noConversion"/>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C21:C29 C13:C19 C39:C45 C36:C37 C31:C34 C5:C11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9"/>
  <sheetViews>
    <sheetView topLeftCell="A14" zoomScaleNormal="100" workbookViewId="0">
      <selection activeCell="B20" sqref="B20"/>
    </sheetView>
  </sheetViews>
  <sheetFormatPr defaultColWidth="9.140625" defaultRowHeight="15"/>
  <cols>
    <col min="1" max="1" width="6.140625" style="23" customWidth="1"/>
    <col min="2" max="2" width="60.140625" style="23" customWidth="1"/>
    <col min="3" max="3" width="49.42578125" style="23" customWidth="1"/>
    <col min="4" max="4" width="27.85546875" style="23" customWidth="1"/>
    <col min="5" max="5" width="15.140625" style="24" customWidth="1"/>
    <col min="6" max="6" width="24.7109375" style="23" customWidth="1"/>
    <col min="7" max="16384" width="9.140625" style="23"/>
  </cols>
  <sheetData>
    <row r="1" spans="1:6" s="42" customFormat="1" ht="14.25">
      <c r="A1" s="27" t="s">
        <v>128</v>
      </c>
      <c r="E1" s="52"/>
    </row>
    <row r="2" spans="1:6" s="42" customFormat="1" ht="14.25">
      <c r="E2" s="52"/>
    </row>
    <row r="3" spans="1:6" s="42" customFormat="1" ht="28.5">
      <c r="A3" s="53" t="s">
        <v>129</v>
      </c>
      <c r="B3" s="53" t="s">
        <v>130</v>
      </c>
      <c r="C3" s="53" t="s">
        <v>131</v>
      </c>
      <c r="D3" s="53" t="s">
        <v>132</v>
      </c>
      <c r="E3" s="53" t="s">
        <v>133</v>
      </c>
      <c r="F3" s="54" t="s">
        <v>134</v>
      </c>
    </row>
    <row r="4" spans="1:6" s="60" customFormat="1" ht="71.25">
      <c r="A4" s="171" t="s">
        <v>111</v>
      </c>
      <c r="B4" s="55" t="s">
        <v>135</v>
      </c>
      <c r="C4" s="56" t="s">
        <v>321</v>
      </c>
      <c r="D4" s="172" t="s">
        <v>234</v>
      </c>
      <c r="E4" s="57" t="s">
        <v>54</v>
      </c>
      <c r="F4" s="245" t="s">
        <v>331</v>
      </c>
    </row>
    <row r="5" spans="1:6" s="42" customFormat="1" ht="71.25">
      <c r="A5" s="171" t="s">
        <v>118</v>
      </c>
      <c r="B5" s="55" t="s">
        <v>137</v>
      </c>
      <c r="C5" s="56" t="s">
        <v>250</v>
      </c>
      <c r="D5" s="172" t="s">
        <v>138</v>
      </c>
      <c r="E5" s="57" t="s">
        <v>54</v>
      </c>
      <c r="F5" s="245" t="s">
        <v>331</v>
      </c>
    </row>
    <row r="6" spans="1:6" s="42" customFormat="1" ht="99.75">
      <c r="A6" s="171" t="s">
        <v>122</v>
      </c>
      <c r="B6" s="55" t="s">
        <v>232</v>
      </c>
      <c r="C6" s="55" t="s">
        <v>140</v>
      </c>
      <c r="D6" s="172" t="s">
        <v>136</v>
      </c>
      <c r="E6" s="57" t="s">
        <v>54</v>
      </c>
      <c r="F6" s="245" t="s">
        <v>332</v>
      </c>
    </row>
    <row r="7" spans="1:6" s="42" customFormat="1" ht="57">
      <c r="A7" s="171" t="s">
        <v>141</v>
      </c>
      <c r="B7" s="178" t="s">
        <v>345</v>
      </c>
      <c r="C7" s="61" t="s">
        <v>142</v>
      </c>
      <c r="D7" s="172" t="s">
        <v>143</v>
      </c>
      <c r="E7" s="57" t="s">
        <v>33</v>
      </c>
      <c r="F7" s="59" t="s">
        <v>34</v>
      </c>
    </row>
    <row r="8" spans="1:6" s="42" customFormat="1" ht="42.75">
      <c r="A8" s="51" t="s">
        <v>123</v>
      </c>
      <c r="B8" s="51" t="s">
        <v>233</v>
      </c>
      <c r="C8" s="41" t="s">
        <v>251</v>
      </c>
      <c r="D8" s="41" t="s">
        <v>136</v>
      </c>
      <c r="E8" s="170" t="s">
        <v>33</v>
      </c>
      <c r="F8" s="59" t="s">
        <v>34</v>
      </c>
    </row>
    <row r="9" spans="1:6" s="42" customFormat="1" ht="28.5">
      <c r="A9" s="51" t="s">
        <v>124</v>
      </c>
      <c r="B9" s="178" t="s">
        <v>242</v>
      </c>
      <c r="C9" s="178" t="s">
        <v>322</v>
      </c>
      <c r="D9" s="48" t="s">
        <v>136</v>
      </c>
      <c r="E9" s="57" t="s">
        <v>33</v>
      </c>
      <c r="F9" s="59" t="s">
        <v>34</v>
      </c>
    </row>
    <row r="10" spans="1:6" s="42" customFormat="1" ht="57">
      <c r="A10" s="51" t="s">
        <v>126</v>
      </c>
      <c r="B10" s="185" t="s">
        <v>256</v>
      </c>
      <c r="C10" s="189" t="s">
        <v>259</v>
      </c>
      <c r="D10" s="41" t="s">
        <v>143</v>
      </c>
      <c r="E10" s="191" t="s">
        <v>33</v>
      </c>
      <c r="F10" s="59" t="s">
        <v>34</v>
      </c>
    </row>
    <row r="11" spans="1:6" s="42" customFormat="1" ht="57">
      <c r="A11" s="51" t="s">
        <v>127</v>
      </c>
      <c r="B11" s="213" t="s">
        <v>254</v>
      </c>
      <c r="C11" s="178" t="s">
        <v>258</v>
      </c>
      <c r="D11" s="41" t="s">
        <v>143</v>
      </c>
      <c r="E11" s="170" t="s">
        <v>33</v>
      </c>
      <c r="F11" s="59" t="s">
        <v>34</v>
      </c>
    </row>
    <row r="12" spans="1:6" s="42" customFormat="1" ht="42.75">
      <c r="A12" s="48" t="s">
        <v>281</v>
      </c>
      <c r="B12" s="178" t="s">
        <v>245</v>
      </c>
      <c r="C12" s="178" t="s">
        <v>312</v>
      </c>
      <c r="D12" s="48" t="s">
        <v>136</v>
      </c>
      <c r="E12" s="57" t="s">
        <v>33</v>
      </c>
      <c r="F12" s="59" t="s">
        <v>34</v>
      </c>
    </row>
    <row r="13" spans="1:6" s="42" customFormat="1" ht="39.6" customHeight="1">
      <c r="A13" s="48" t="s">
        <v>298</v>
      </c>
      <c r="B13" s="213" t="s">
        <v>300</v>
      </c>
      <c r="C13" s="61" t="s">
        <v>317</v>
      </c>
      <c r="D13" s="172" t="s">
        <v>301</v>
      </c>
      <c r="E13" s="57" t="s">
        <v>33</v>
      </c>
      <c r="F13" s="59" t="s">
        <v>34</v>
      </c>
    </row>
    <row r="14" spans="1:6" s="42" customFormat="1" ht="42.75">
      <c r="A14" s="48" t="s">
        <v>299</v>
      </c>
      <c r="B14" s="214" t="s">
        <v>302</v>
      </c>
      <c r="C14" s="214" t="s">
        <v>319</v>
      </c>
      <c r="D14" s="172" t="s">
        <v>138</v>
      </c>
      <c r="E14" s="57" t="s">
        <v>33</v>
      </c>
      <c r="F14" s="59" t="s">
        <v>34</v>
      </c>
    </row>
    <row r="15" spans="1:6" s="42" customFormat="1" ht="30.6" customHeight="1">
      <c r="A15" s="48" t="s">
        <v>303</v>
      </c>
      <c r="B15" s="213" t="s">
        <v>323</v>
      </c>
      <c r="C15" s="214" t="s">
        <v>311</v>
      </c>
      <c r="D15" s="172" t="s">
        <v>138</v>
      </c>
      <c r="E15" s="57" t="s">
        <v>33</v>
      </c>
      <c r="F15" s="59" t="s">
        <v>34</v>
      </c>
    </row>
    <row r="16" spans="1:6" s="42" customFormat="1" ht="57">
      <c r="A16" s="48" t="s">
        <v>306</v>
      </c>
      <c r="B16" s="231" t="s">
        <v>305</v>
      </c>
      <c r="C16" s="244" t="s">
        <v>316</v>
      </c>
      <c r="D16" s="41" t="s">
        <v>143</v>
      </c>
      <c r="E16" s="57" t="s">
        <v>33</v>
      </c>
      <c r="F16" s="59" t="s">
        <v>34</v>
      </c>
    </row>
    <row r="17" spans="1:6" s="42" customFormat="1" ht="28.5">
      <c r="A17" s="48" t="s">
        <v>309</v>
      </c>
      <c r="B17" s="231" t="s">
        <v>308</v>
      </c>
      <c r="C17" s="244" t="s">
        <v>315</v>
      </c>
      <c r="D17" s="48" t="s">
        <v>136</v>
      </c>
      <c r="E17" s="57" t="s">
        <v>33</v>
      </c>
      <c r="F17" s="59" t="s">
        <v>34</v>
      </c>
    </row>
    <row r="18" spans="1:6" s="42" customFormat="1" ht="28.5">
      <c r="A18" s="48" t="s">
        <v>310</v>
      </c>
      <c r="B18" s="231" t="s">
        <v>313</v>
      </c>
      <c r="C18" s="244" t="s">
        <v>314</v>
      </c>
      <c r="D18" s="48" t="s">
        <v>136</v>
      </c>
      <c r="E18" s="57" t="s">
        <v>33</v>
      </c>
      <c r="F18" s="59" t="s">
        <v>34</v>
      </c>
    </row>
    <row r="19" spans="1:6" s="42" customFormat="1" ht="57">
      <c r="A19" s="51" t="s">
        <v>342</v>
      </c>
      <c r="B19" s="248" t="s">
        <v>341</v>
      </c>
      <c r="C19" s="244" t="s">
        <v>357</v>
      </c>
      <c r="D19" s="41" t="s">
        <v>143</v>
      </c>
      <c r="E19" s="230" t="s">
        <v>33</v>
      </c>
      <c r="F19" s="249" t="s">
        <v>34</v>
      </c>
    </row>
    <row r="20" spans="1:6" s="42" customFormat="1" ht="14.25">
      <c r="A20" s="246"/>
      <c r="B20" s="246"/>
      <c r="C20" s="247"/>
      <c r="D20" s="246"/>
      <c r="E20" s="250"/>
      <c r="F20" s="246"/>
    </row>
    <row r="21" spans="1:6" s="42" customFormat="1" ht="14.25">
      <c r="A21" s="215"/>
      <c r="B21" s="215"/>
      <c r="C21" s="216"/>
      <c r="D21" s="216"/>
      <c r="E21" s="217"/>
      <c r="F21" s="215"/>
    </row>
    <row r="22" spans="1:6" s="42" customFormat="1" ht="14.25">
      <c r="A22" s="26" t="s">
        <v>25</v>
      </c>
      <c r="E22" s="52"/>
    </row>
    <row r="23" spans="1:6" s="42" customFormat="1" ht="30" customHeight="1">
      <c r="B23" s="252" t="s">
        <v>26</v>
      </c>
      <c r="C23" s="252"/>
      <c r="D23" s="252"/>
      <c r="E23" s="180"/>
      <c r="F23" s="180"/>
    </row>
    <row r="24" spans="1:6" s="42" customFormat="1" ht="14.25">
      <c r="E24" s="52"/>
    </row>
    <row r="25" spans="1:6" s="42" customFormat="1" ht="14.25">
      <c r="E25" s="52"/>
    </row>
    <row r="26" spans="1:6" s="42" customFormat="1" ht="14.25">
      <c r="E26" s="52"/>
    </row>
    <row r="27" spans="1:6" s="42" customFormat="1" ht="14.25">
      <c r="E27" s="52"/>
    </row>
    <row r="28" spans="1:6" s="42" customFormat="1" ht="14.25">
      <c r="E28" s="52"/>
    </row>
    <row r="29" spans="1:6" s="42" customFormat="1" ht="14.25">
      <c r="E29" s="52"/>
    </row>
    <row r="30" spans="1:6" s="42" customFormat="1" ht="14.25">
      <c r="E30" s="52"/>
    </row>
    <row r="31" spans="1:6" s="42" customFormat="1" ht="14.25">
      <c r="E31" s="52"/>
    </row>
    <row r="32" spans="1:6" s="42" customFormat="1" ht="14.25">
      <c r="E32" s="52"/>
    </row>
    <row r="33" spans="5:5" s="42" customFormat="1" ht="14.25">
      <c r="E33" s="52"/>
    </row>
    <row r="34" spans="5:5" s="42" customFormat="1" ht="14.25">
      <c r="E34" s="52"/>
    </row>
    <row r="35" spans="5:5" s="42" customFormat="1" ht="14.25">
      <c r="E35" s="52"/>
    </row>
    <row r="36" spans="5:5" s="42" customFormat="1" ht="14.25">
      <c r="E36" s="52"/>
    </row>
    <row r="37" spans="5:5" s="42" customFormat="1" ht="14.25">
      <c r="E37" s="52"/>
    </row>
    <row r="38" spans="5:5" s="42" customFormat="1" ht="14.25">
      <c r="E38" s="52"/>
    </row>
    <row r="39" spans="5:5" s="42" customFormat="1" ht="14.25">
      <c r="E39" s="52"/>
    </row>
    <row r="40" spans="5:5" s="42" customFormat="1" ht="14.25">
      <c r="E40" s="52"/>
    </row>
    <row r="41" spans="5:5" s="42" customFormat="1" ht="14.25">
      <c r="E41" s="52"/>
    </row>
    <row r="42" spans="5:5" s="42" customFormat="1" ht="14.25">
      <c r="E42" s="52"/>
    </row>
    <row r="43" spans="5:5" s="42" customFormat="1" ht="14.25">
      <c r="E43" s="52"/>
    </row>
    <row r="44" spans="5:5" s="42" customFormat="1" ht="14.25">
      <c r="E44" s="52"/>
    </row>
    <row r="45" spans="5:5" s="42" customFormat="1" ht="14.25">
      <c r="E45" s="52"/>
    </row>
    <row r="46" spans="5:5" s="42" customFormat="1" ht="14.25">
      <c r="E46" s="52"/>
    </row>
    <row r="47" spans="5:5" s="42" customFormat="1" ht="14.25">
      <c r="E47" s="52"/>
    </row>
    <row r="48" spans="5:5" s="42" customFormat="1" ht="14.25">
      <c r="E48" s="52"/>
    </row>
    <row r="49" spans="1:6" s="42" customFormat="1" ht="14.25">
      <c r="E49" s="52"/>
    </row>
    <row r="50" spans="1:6" s="42" customFormat="1" ht="14.25">
      <c r="E50" s="52"/>
    </row>
    <row r="51" spans="1:6" s="42" customFormat="1" ht="14.25">
      <c r="E51" s="52"/>
    </row>
    <row r="52" spans="1:6" s="42" customFormat="1" ht="14.25">
      <c r="E52" s="52"/>
    </row>
    <row r="53" spans="1:6" s="42" customFormat="1" ht="14.25">
      <c r="E53" s="52"/>
    </row>
    <row r="54" spans="1:6" s="42" customFormat="1" ht="14.25">
      <c r="E54" s="52"/>
    </row>
    <row r="55" spans="1:6" s="42" customFormat="1" ht="14.25">
      <c r="E55" s="52"/>
    </row>
    <row r="56" spans="1:6" s="42" customFormat="1" ht="14.25">
      <c r="E56" s="52"/>
    </row>
    <row r="57" spans="1:6" s="42" customFormat="1" ht="14.25">
      <c r="E57" s="52"/>
    </row>
    <row r="58" spans="1:6" s="42" customFormat="1" ht="14.25">
      <c r="E58" s="52"/>
    </row>
    <row r="59" spans="1:6" s="42" customFormat="1" ht="14.25">
      <c r="E59" s="52"/>
    </row>
    <row r="60" spans="1:6" s="42" customFormat="1" ht="14.25">
      <c r="E60" s="52"/>
    </row>
    <row r="61" spans="1:6" s="42" customFormat="1" ht="14.25">
      <c r="E61" s="52"/>
    </row>
    <row r="62" spans="1:6" s="42" customFormat="1" ht="14.25">
      <c r="E62" s="52"/>
    </row>
    <row r="63" spans="1:6">
      <c r="A63" s="42"/>
      <c r="B63" s="42"/>
      <c r="C63" s="42"/>
      <c r="D63" s="42"/>
      <c r="E63" s="52"/>
      <c r="F63" s="42"/>
    </row>
    <row r="64" spans="1:6">
      <c r="A64" s="42"/>
      <c r="B64" s="42"/>
      <c r="C64" s="42"/>
      <c r="D64" s="42"/>
      <c r="E64" s="52"/>
      <c r="F64" s="42"/>
    </row>
    <row r="65" spans="1:6">
      <c r="A65" s="42"/>
      <c r="B65" s="42"/>
      <c r="C65" s="42"/>
      <c r="D65" s="42"/>
      <c r="E65" s="52"/>
      <c r="F65" s="42"/>
    </row>
    <row r="66" spans="1:6">
      <c r="A66" s="42"/>
      <c r="B66" s="42"/>
      <c r="C66" s="42"/>
      <c r="D66" s="42"/>
      <c r="E66" s="52"/>
      <c r="F66" s="42"/>
    </row>
    <row r="67" spans="1:6">
      <c r="A67" s="42"/>
      <c r="B67" s="42"/>
      <c r="C67" s="42"/>
      <c r="D67" s="42"/>
      <c r="E67" s="52"/>
      <c r="F67" s="42"/>
    </row>
    <row r="68" spans="1:6">
      <c r="A68" s="42"/>
      <c r="B68" s="42"/>
      <c r="C68" s="42"/>
      <c r="D68" s="42"/>
      <c r="E68" s="52"/>
      <c r="F68" s="42"/>
    </row>
    <row r="69" spans="1:6">
      <c r="A69" s="42"/>
      <c r="B69" s="42"/>
      <c r="C69" s="42"/>
      <c r="D69" s="42"/>
      <c r="E69" s="52"/>
      <c r="F69" s="42"/>
    </row>
  </sheetData>
  <mergeCells count="1">
    <mergeCell ref="B23:D23"/>
  </mergeCells>
  <phoneticPr fontId="44" type="noConversion"/>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E4:E21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0"/>
  <sheetViews>
    <sheetView tabSelected="1" zoomScale="90" zoomScaleNormal="90" workbookViewId="0">
      <pane xSplit="7" ySplit="4" topLeftCell="Y13" activePane="bottomRight" state="frozen"/>
      <selection pane="topRight" activeCell="H1" sqref="H1"/>
      <selection pane="bottomLeft" activeCell="A5" sqref="A5"/>
      <selection pane="bottomRight" activeCell="AA14" sqref="AA14"/>
    </sheetView>
  </sheetViews>
  <sheetFormatPr defaultColWidth="9.140625" defaultRowHeight="15"/>
  <cols>
    <col min="2" max="2" width="4.85546875" customWidth="1"/>
    <col min="3" max="3" width="38.7109375" customWidth="1"/>
    <col min="4" max="4" width="5" customWidth="1"/>
    <col min="5" max="5" width="29.5703125" bestFit="1" customWidth="1"/>
    <col min="6" max="6" width="6.28515625" customWidth="1"/>
    <col min="7" max="7" width="19.85546875" bestFit="1" customWidth="1"/>
    <col min="8" max="8" width="44.140625" customWidth="1"/>
    <col min="9" max="9" width="25.42578125" hidden="1" customWidth="1"/>
    <col min="10" max="12" width="9.140625" style="177"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customWidth="1"/>
    <col min="44" max="44" width="13.28515625" customWidth="1"/>
    <col min="45" max="45" width="24.85546875" customWidth="1"/>
  </cols>
  <sheetData>
    <row r="1" spans="1:45" s="62" customFormat="1" ht="14.25">
      <c r="A1" s="27" t="s">
        <v>63</v>
      </c>
      <c r="J1" s="90"/>
      <c r="K1" s="90"/>
      <c r="L1" s="90"/>
    </row>
    <row r="2" spans="1:45" s="62" customFormat="1" ht="14.25">
      <c r="A2" s="62" t="s">
        <v>64</v>
      </c>
      <c r="J2" s="90"/>
      <c r="K2" s="90"/>
      <c r="L2" s="90"/>
    </row>
    <row r="3" spans="1:45" s="62" customFormat="1" ht="23.25" customHeight="1">
      <c r="A3" s="63"/>
      <c r="B3" s="64"/>
      <c r="C3" s="64"/>
      <c r="D3" s="65"/>
      <c r="E3" s="66"/>
      <c r="F3" s="259" t="s">
        <v>65</v>
      </c>
      <c r="G3" s="259"/>
      <c r="H3" s="259"/>
      <c r="I3" s="259"/>
      <c r="J3" s="260" t="s">
        <v>66</v>
      </c>
      <c r="K3" s="261"/>
      <c r="L3" s="261"/>
      <c r="M3" s="261"/>
      <c r="N3" s="261"/>
      <c r="O3" s="261"/>
      <c r="P3" s="261"/>
      <c r="Q3" s="261"/>
      <c r="R3" s="261"/>
      <c r="S3" s="261"/>
      <c r="T3" s="261"/>
      <c r="U3" s="261"/>
      <c r="V3" s="261"/>
      <c r="W3" s="261"/>
      <c r="X3" s="261"/>
      <c r="Y3" s="262"/>
      <c r="Z3" s="256" t="s">
        <v>67</v>
      </c>
      <c r="AA3" s="257"/>
      <c r="AB3" s="258"/>
      <c r="AC3" s="253" t="s">
        <v>68</v>
      </c>
      <c r="AD3" s="254"/>
      <c r="AE3" s="254"/>
      <c r="AF3" s="254"/>
      <c r="AG3" s="254"/>
      <c r="AH3" s="254"/>
      <c r="AI3" s="254"/>
      <c r="AJ3" s="254"/>
      <c r="AK3" s="254"/>
      <c r="AL3" s="254"/>
      <c r="AM3" s="254"/>
      <c r="AN3" s="254"/>
      <c r="AO3" s="254"/>
      <c r="AP3" s="254"/>
      <c r="AQ3" s="255"/>
      <c r="AR3" s="67"/>
      <c r="AS3" s="67"/>
    </row>
    <row r="4" spans="1:45" s="62" customFormat="1" ht="59.1" customHeight="1">
      <c r="A4" s="68" t="s">
        <v>69</v>
      </c>
      <c r="B4" s="69" t="s">
        <v>70</v>
      </c>
      <c r="C4" s="70" t="s">
        <v>71</v>
      </c>
      <c r="D4" s="71" t="s">
        <v>72</v>
      </c>
      <c r="E4" s="72" t="s">
        <v>73</v>
      </c>
      <c r="F4" s="73" t="s">
        <v>74</v>
      </c>
      <c r="G4" s="74" t="s">
        <v>7</v>
      </c>
      <c r="H4" s="74" t="s">
        <v>75</v>
      </c>
      <c r="I4" s="75" t="s">
        <v>76</v>
      </c>
      <c r="J4" s="147" t="s">
        <v>77</v>
      </c>
      <c r="K4" s="147" t="s">
        <v>78</v>
      </c>
      <c r="L4" s="147" t="s">
        <v>79</v>
      </c>
      <c r="M4" s="144" t="s">
        <v>80</v>
      </c>
      <c r="N4" s="144" t="s">
        <v>81</v>
      </c>
      <c r="O4" s="144" t="s">
        <v>82</v>
      </c>
      <c r="P4" s="144" t="s">
        <v>83</v>
      </c>
      <c r="Q4" s="144" t="s">
        <v>84</v>
      </c>
      <c r="R4" s="144" t="s">
        <v>85</v>
      </c>
      <c r="S4" s="144" t="s">
        <v>86</v>
      </c>
      <c r="T4" s="144" t="s">
        <v>87</v>
      </c>
      <c r="U4" s="144" t="s">
        <v>88</v>
      </c>
      <c r="V4" s="148" t="s">
        <v>89</v>
      </c>
      <c r="W4" s="148" t="s">
        <v>90</v>
      </c>
      <c r="X4" s="149" t="s">
        <v>91</v>
      </c>
      <c r="Y4" s="150" t="s">
        <v>92</v>
      </c>
      <c r="Z4" s="143" t="s">
        <v>93</v>
      </c>
      <c r="AA4" s="143" t="s">
        <v>94</v>
      </c>
      <c r="AB4" s="143" t="s">
        <v>95</v>
      </c>
      <c r="AC4" s="151" t="s">
        <v>96</v>
      </c>
      <c r="AD4" s="151" t="s">
        <v>97</v>
      </c>
      <c r="AE4" s="151" t="s">
        <v>98</v>
      </c>
      <c r="AF4" s="152" t="s">
        <v>99</v>
      </c>
      <c r="AG4" s="152" t="s">
        <v>100</v>
      </c>
      <c r="AH4" s="152" t="s">
        <v>101</v>
      </c>
      <c r="AI4" s="152" t="s">
        <v>102</v>
      </c>
      <c r="AJ4" s="152" t="s">
        <v>103</v>
      </c>
      <c r="AK4" s="152" t="s">
        <v>104</v>
      </c>
      <c r="AL4" s="152" t="s">
        <v>105</v>
      </c>
      <c r="AM4" s="152" t="s">
        <v>106</v>
      </c>
      <c r="AN4" s="152" t="s">
        <v>107</v>
      </c>
      <c r="AO4" s="152" t="s">
        <v>108</v>
      </c>
      <c r="AP4" s="152" t="s">
        <v>109</v>
      </c>
      <c r="AQ4" s="165" t="s">
        <v>110</v>
      </c>
      <c r="AR4" s="67"/>
      <c r="AS4" s="67"/>
    </row>
    <row r="5" spans="1:45" s="42" customFormat="1" ht="99.75">
      <c r="A5" s="57">
        <v>1</v>
      </c>
      <c r="B5" s="48" t="s">
        <v>111</v>
      </c>
      <c r="C5" s="76" t="str">
        <f>IF(VLOOKUP(Table4[[#This Row],[T ID]],Table5[#All],5,FALSE)="No","Not in scope",VLOOKUP(Table4[[#This Row],[T ID]],Table5[#All],2,FALSE))</f>
        <v>Not in scope</v>
      </c>
      <c r="D5" s="48" t="s">
        <v>44</v>
      </c>
      <c r="E5" s="76" t="str">
        <f>IF(VLOOKUP(Table4[[#This Row],[V ID]],Vulnerabilities[#All],3,FALSE)="No","Not in scope",VLOOKUP(Table4[[#This Row],[V ID]],Vulnerabilities[#All],2,FALSE))</f>
        <v xml:space="preserve">3rd Party Component Dependency &amp; Vulnerabilities in Application  </v>
      </c>
      <c r="F5" s="79" t="s">
        <v>15</v>
      </c>
      <c r="G5" s="76" t="str">
        <f>VLOOKUP(Table4[[#This Row],[A ID]],Assets[#All],3,FALSE)</f>
        <v>Knee balancer supporting software components (binaries, frameworks, 3rd party components, etc..)</v>
      </c>
      <c r="H5" s="178" t="s">
        <v>252</v>
      </c>
      <c r="I5" s="48"/>
      <c r="J5" s="77" t="s">
        <v>114</v>
      </c>
      <c r="K5" s="77" t="s">
        <v>114</v>
      </c>
      <c r="L5" s="77" t="s">
        <v>112</v>
      </c>
      <c r="M5" s="142" t="s">
        <v>117</v>
      </c>
      <c r="N5" s="142" t="s">
        <v>112</v>
      </c>
      <c r="O5" s="142" t="s">
        <v>112</v>
      </c>
      <c r="P5" s="142" t="s">
        <v>114</v>
      </c>
      <c r="Q5" s="142" t="s">
        <v>115</v>
      </c>
      <c r="R5"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 s="146">
        <f>(1 - ((1 - VLOOKUP(Table4[[#This Row],[Confidentiality]],'Reference - CVSSv3.0'!$B$15:$C$17,2,FALSE)) * (1 - VLOOKUP(Table4[[#This Row],[Integrity]],'Reference - CVSSv3.0'!$B$15:$C$17,2,FALSE)) *  (1 - VLOOKUP(Table4[[#This Row],[Availability]],'Reference - CVSSv3.0'!$B$15:$C$17,2,FALSE))))</f>
        <v>0.21999999999999997</v>
      </c>
      <c r="T5" s="146">
        <f>IF(Table4[[#This Row],[Scope]]="Unchanged",6.42*Table4[[#This Row],[ISC Base]],IF(Table4[[#This Row],[Scope]]="Changed",7.52*(Table4[[#This Row],[ISC Base]] - 0.029) - 3.25 * POWER(Table4[[#This Row],[ISC Base]] - 0.02,15),NA()))</f>
        <v>1.4123999999999999</v>
      </c>
      <c r="U5" s="14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5" s="174" t="s">
        <v>112</v>
      </c>
      <c r="W5" s="146">
        <f>VLOOKUP(Table4[[#This Row],[Threat Event Initiation]],NIST_Scale_LOAI[],2,FALSE)</f>
        <v>0.2</v>
      </c>
      <c r="X5"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1.8</v>
      </c>
      <c r="Y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78" t="s">
        <v>336</v>
      </c>
      <c r="AA5" s="178"/>
      <c r="AB5" s="78"/>
      <c r="AC5" s="48"/>
      <c r="AD5" s="48"/>
      <c r="AE5" s="48"/>
      <c r="AF5" s="142"/>
      <c r="AG5" s="142"/>
      <c r="AH5" s="142"/>
      <c r="AI5" s="142"/>
      <c r="AJ5" s="142"/>
      <c r="AK5"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46" t="e">
        <f>(1 - ((1 - VLOOKUP(Table4[[#This Row],[ConfidentialityP]],'Reference - CVSSv3.0'!$B$15:$C$17,2,FALSE)) * (1 - VLOOKUP(Table4[[#This Row],[IntegrityP]],'Reference - CVSSv3.0'!$B$15:$C$17,2,FALSE)) *  (1 - VLOOKUP(Table4[[#This Row],[AvailabilityP]],'Reference - CVSSv3.0'!$B$15:$C$17,2,FALSE))))</f>
        <v>#N/A</v>
      </c>
      <c r="AM5" s="146" t="e">
        <f>IF(Table4[[#This Row],[ScopeP]]="Unchanged",6.42*Table4[[#This Row],[ISC BaseP]],IF(Table4[[#This Row],[ScopeP]]="Changed",7.52*(Table4[[#This Row],[ISC BaseP]] - 0.029) - 3.25 * POWER(Table4[[#This Row],[ISC BaseP]] - 0.02,15),NA()))</f>
        <v>#N/A</v>
      </c>
      <c r="AN5"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8"/>
    </row>
    <row r="6" spans="1:45" s="42" customFormat="1" ht="71.25">
      <c r="A6" s="57">
        <v>2</v>
      </c>
      <c r="B6" s="48" t="s">
        <v>111</v>
      </c>
      <c r="C6" s="76" t="str">
        <f>IF(VLOOKUP(Table4[[#This Row],[T ID]],Table5[#All],5,FALSE)="No","Not in scope",VLOOKUP(Table4[[#This Row],[T ID]],Table5[#All],2,FALSE))</f>
        <v>Not in scope</v>
      </c>
      <c r="D6" s="48" t="s">
        <v>53</v>
      </c>
      <c r="E6" s="76" t="str">
        <f>IF(VLOOKUP(Table4[[#This Row],[V ID]],Vulnerabilities[#All],3,FALSE)="No","Not in scope",VLOOKUP(Table4[[#This Row],[V ID]],Vulnerabilities[#All],2,FALSE))</f>
        <v>Not in scope</v>
      </c>
      <c r="F6" s="79" t="s">
        <v>10</v>
      </c>
      <c r="G6" s="76" t="str">
        <f>VLOOKUP(Table4[[#This Row],[A ID]],Assets[#All],3,FALSE)</f>
        <v>Mobile Device (iPad, iPhone V8-13)</v>
      </c>
      <c r="H6" s="178" t="s">
        <v>238</v>
      </c>
      <c r="I6" s="48"/>
      <c r="J6" s="77" t="s">
        <v>114</v>
      </c>
      <c r="K6" s="77" t="s">
        <v>114</v>
      </c>
      <c r="L6" s="77" t="s">
        <v>112</v>
      </c>
      <c r="M6" s="142" t="s">
        <v>117</v>
      </c>
      <c r="N6" s="142" t="s">
        <v>112</v>
      </c>
      <c r="O6" s="142" t="s">
        <v>112</v>
      </c>
      <c r="P6" s="142" t="s">
        <v>114</v>
      </c>
      <c r="Q6" s="142" t="s">
        <v>115</v>
      </c>
      <c r="R6"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 s="146">
        <f>(1 - ((1 - VLOOKUP(Table4[[#This Row],[Confidentiality]],'Reference - CVSSv3.0'!$B$15:$C$17,2,FALSE)) * (1 - VLOOKUP(Table4[[#This Row],[Integrity]],'Reference - CVSSv3.0'!$B$15:$C$17,2,FALSE)) *  (1 - VLOOKUP(Table4[[#This Row],[Availability]],'Reference - CVSSv3.0'!$B$15:$C$17,2,FALSE))))</f>
        <v>0.21999999999999997</v>
      </c>
      <c r="T6" s="146">
        <f>IF(Table4[[#This Row],[Scope]]="Unchanged",6.42*Table4[[#This Row],[ISC Base]],IF(Table4[[#This Row],[Scope]]="Changed",7.52*(Table4[[#This Row],[ISC Base]] - 0.029) - 3.25 * POWER(Table4[[#This Row],[ISC Base]] - 0.02,15),NA()))</f>
        <v>1.4123999999999999</v>
      </c>
      <c r="U6" s="14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6" s="174" t="s">
        <v>112</v>
      </c>
      <c r="W6" s="146">
        <f>VLOOKUP(Table4[[#This Row],[Threat Event Initiation]],NIST_Scale_LOAI[],2,FALSE)</f>
        <v>0.2</v>
      </c>
      <c r="X6"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1.8</v>
      </c>
      <c r="Y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78" t="s">
        <v>336</v>
      </c>
      <c r="AA6" s="178"/>
      <c r="AB6" s="78"/>
      <c r="AC6" s="48"/>
      <c r="AD6" s="48"/>
      <c r="AE6" s="48"/>
      <c r="AF6" s="142"/>
      <c r="AG6" s="142"/>
      <c r="AH6" s="142"/>
      <c r="AI6" s="142"/>
      <c r="AJ6" s="142"/>
      <c r="AK6"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46" t="e">
        <f>(1 - ((1 - VLOOKUP(Table4[[#This Row],[ConfidentialityP]],'Reference - CVSSv3.0'!$B$15:$C$17,2,FALSE)) * (1 - VLOOKUP(Table4[[#This Row],[IntegrityP]],'Reference - CVSSv3.0'!$B$15:$C$17,2,FALSE)) *  (1 - VLOOKUP(Table4[[#This Row],[AvailabilityP]],'Reference - CVSSv3.0'!$B$15:$C$17,2,FALSE))))</f>
        <v>#N/A</v>
      </c>
      <c r="AM6" s="146" t="e">
        <f>IF(Table4[[#This Row],[ScopeP]]="Unchanged",6.42*Table4[[#This Row],[ISC BaseP]],IF(Table4[[#This Row],[ScopeP]]="Changed",7.52*(Table4[[#This Row],[ISC BaseP]] - 0.029) - 3.25 * POWER(Table4[[#This Row],[ISC BaseP]] - 0.02,15),NA()))</f>
        <v>#N/A</v>
      </c>
      <c r="AN6"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8"/>
    </row>
    <row r="7" spans="1:45" s="42" customFormat="1" ht="57">
      <c r="A7" s="57">
        <v>3</v>
      </c>
      <c r="B7" s="48" t="s">
        <v>122</v>
      </c>
      <c r="C7" s="76" t="str">
        <f>IF(VLOOKUP(Table4[[#This Row],[T ID]],Table5[#All],5,FALSE)="No","Not in scope",VLOOKUP(Table4[[#This Row],[T ID]],Table5[#All],2,FALSE))</f>
        <v>Not in scope</v>
      </c>
      <c r="D7" s="48" t="s">
        <v>46</v>
      </c>
      <c r="E7" s="76" t="str">
        <f>IF(VLOOKUP(Table4[[#This Row],[V ID]],Vulnerabilities[#All],3,FALSE)="No","Not in scope",VLOOKUP(Table4[[#This Row],[V ID]],Vulnerabilities[#All],2,FALSE))</f>
        <v>No Static Analysis for developed code &amp; SCA for SOUP in Application</v>
      </c>
      <c r="F7" s="79" t="s">
        <v>12</v>
      </c>
      <c r="G7" s="76" t="str">
        <f>VLOOKUP(Table4[[#This Row],[A ID]],Assets[#All],3,FALSE)</f>
        <v>Knee balancer application</v>
      </c>
      <c r="H7" s="178" t="s">
        <v>253</v>
      </c>
      <c r="I7" s="48"/>
      <c r="J7" s="176" t="s">
        <v>112</v>
      </c>
      <c r="K7" s="176" t="s">
        <v>114</v>
      </c>
      <c r="L7" s="176" t="s">
        <v>112</v>
      </c>
      <c r="M7" s="142" t="s">
        <v>113</v>
      </c>
      <c r="N7" s="142" t="s">
        <v>119</v>
      </c>
      <c r="O7" s="142" t="s">
        <v>114</v>
      </c>
      <c r="P7" s="142" t="s">
        <v>114</v>
      </c>
      <c r="Q7" s="142" t="s">
        <v>115</v>
      </c>
      <c r="R7"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7" s="146">
        <f>(1 - ((1 - VLOOKUP(Table4[[#This Row],[Confidentiality]],'Reference - CVSSv3.0'!$B$15:$C$17,2,FALSE)) * (1 - VLOOKUP(Table4[[#This Row],[Integrity]],'Reference - CVSSv3.0'!$B$15:$C$17,2,FALSE)) *  (1 - VLOOKUP(Table4[[#This Row],[Availability]],'Reference - CVSSv3.0'!$B$15:$C$17,2,FALSE))))</f>
        <v>0.39159999999999995</v>
      </c>
      <c r="T7" s="146">
        <f>IF(Table4[[#This Row],[Scope]]="Unchanged",6.42*Table4[[#This Row],[ISC Base]],IF(Table4[[#This Row],[Scope]]="Changed",7.52*(Table4[[#This Row],[ISC Base]] - 0.029) - 3.25 * POWER(Table4[[#This Row],[ISC Base]] - 0.02,15),NA()))</f>
        <v>2.5140719999999996</v>
      </c>
      <c r="U7" s="146">
        <f>IF(Table4[[#This Row],[Impact Sub Score]]&lt;=0,0,IF(Table4[[#This Row],[Scope]]="Unchanged",ROUNDUP(MIN((Table4[[#This Row],[Impact Sub Score]]+Table4[[#This Row],[Exploitability Sub Score]]),10),1),IF(Table4[[#This Row],[Scope]]="Changed",ROUNDUP(MIN((1.08*(Table4[[#This Row],[Impact Sub Score]]+Table4[[#This Row],[Exploitability Sub Score]])),10),1),NA())))</f>
        <v>4.8</v>
      </c>
      <c r="V7" s="174" t="s">
        <v>125</v>
      </c>
      <c r="W7" s="146">
        <f>VLOOKUP(Table4[[#This Row],[Threat Event Initiation]],NIST_Scale_LOAI[],2,FALSE)</f>
        <v>0.5</v>
      </c>
      <c r="X7"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78" t="s">
        <v>336</v>
      </c>
      <c r="AA7" s="178"/>
      <c r="AB7" s="78"/>
      <c r="AC7" s="48"/>
      <c r="AD7" s="48"/>
      <c r="AE7" s="48"/>
      <c r="AF7" s="142"/>
      <c r="AG7" s="142"/>
      <c r="AH7" s="142"/>
      <c r="AI7" s="142"/>
      <c r="AJ7" s="142"/>
      <c r="AK7"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46" t="e">
        <f>(1 - ((1 - VLOOKUP(Table4[[#This Row],[ConfidentialityP]],'Reference - CVSSv3.0'!$B$15:$C$17,2,FALSE)) * (1 - VLOOKUP(Table4[[#This Row],[IntegrityP]],'Reference - CVSSv3.0'!$B$15:$C$17,2,FALSE)) *  (1 - VLOOKUP(Table4[[#This Row],[AvailabilityP]],'Reference - CVSSv3.0'!$B$15:$C$17,2,FALSE))))</f>
        <v>#N/A</v>
      </c>
      <c r="AM7" s="146" t="e">
        <f>IF(Table4[[#This Row],[ScopeP]]="Unchanged",6.42*Table4[[#This Row],[ISC BaseP]],IF(Table4[[#This Row],[ScopeP]]="Changed",7.52*(Table4[[#This Row],[ISC BaseP]] - 0.029) - 3.25 * POWER(Table4[[#This Row],[ISC BaseP]] - 0.02,15),NA()))</f>
        <v>#N/A</v>
      </c>
      <c r="AN7"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8"/>
    </row>
    <row r="8" spans="1:45" s="42" customFormat="1" ht="142.5">
      <c r="A8" s="57">
        <v>4</v>
      </c>
      <c r="B8" s="48" t="s">
        <v>141</v>
      </c>
      <c r="C8" s="76" t="str">
        <f>IF(VLOOKUP(Table4[[#This Row],[T ID]],Table5[#All],5,FALSE)="No","Not in scope",VLOOKUP(Table4[[#This Row],[T ID]],Table5[#All],2,FALSE))</f>
        <v>Unauthorized modifications to Knee Balancer Software</v>
      </c>
      <c r="D8" s="48" t="s">
        <v>39</v>
      </c>
      <c r="E8" s="76" t="str">
        <f>IF(VLOOKUP(Table4[[#This Row],[V ID]],Vulnerabilities[#All],3,FALSE)="No","Not in scope",VLOOKUP(Table4[[#This Row],[V ID]],Vulnerabilities[#All],2,FALSE))</f>
        <v>Unsafely compiled Application Binaries in Application</v>
      </c>
      <c r="F8" s="79" t="s">
        <v>15</v>
      </c>
      <c r="G8" s="76" t="str">
        <f>VLOOKUP(Table4[[#This Row],[A ID]],Assets[#All],3,FALSE)</f>
        <v>Knee balancer supporting software components (binaries, frameworks, 3rd party components, etc..)</v>
      </c>
      <c r="H8" s="178" t="s">
        <v>240</v>
      </c>
      <c r="I8" s="48"/>
      <c r="J8" s="176" t="s">
        <v>114</v>
      </c>
      <c r="K8" s="176" t="s">
        <v>119</v>
      </c>
      <c r="L8" s="176" t="s">
        <v>112</v>
      </c>
      <c r="M8" s="142" t="s">
        <v>117</v>
      </c>
      <c r="N8" s="142" t="s">
        <v>112</v>
      </c>
      <c r="O8" s="142" t="s">
        <v>112</v>
      </c>
      <c r="P8" s="142" t="s">
        <v>114</v>
      </c>
      <c r="Q8" s="142" t="s">
        <v>115</v>
      </c>
      <c r="R8"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 s="146">
        <f>(1 - ((1 - VLOOKUP(Table4[[#This Row],[Confidentiality]],'Reference - CVSSv3.0'!$B$15:$C$17,2,FALSE)) * (1 - VLOOKUP(Table4[[#This Row],[Integrity]],'Reference - CVSSv3.0'!$B$15:$C$17,2,FALSE)) *  (1 - VLOOKUP(Table4[[#This Row],[Availability]],'Reference - CVSSv3.0'!$B$15:$C$17,2,FALSE))))</f>
        <v>0.65680000000000005</v>
      </c>
      <c r="T8" s="146">
        <f>IF(Table4[[#This Row],[Scope]]="Unchanged",6.42*Table4[[#This Row],[ISC Base]],IF(Table4[[#This Row],[Scope]]="Changed",7.52*(Table4[[#This Row],[ISC Base]] - 0.029) - 3.25 * POWER(Table4[[#This Row],[ISC Base]] - 0.02,15),NA()))</f>
        <v>4.2166560000000004</v>
      </c>
      <c r="U8"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8" s="174" t="s">
        <v>125</v>
      </c>
      <c r="W8" s="146">
        <f>VLOOKUP(Table4[[#This Row],[Threat Event Initiation]],NIST_Scale_LOAI[],2,FALSE)</f>
        <v>0.5</v>
      </c>
      <c r="X8"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78" t="s">
        <v>347</v>
      </c>
      <c r="AA8" s="178" t="s">
        <v>367</v>
      </c>
      <c r="AB8" s="78"/>
      <c r="AC8" s="48"/>
      <c r="AD8" s="48"/>
      <c r="AE8" s="48"/>
      <c r="AF8" s="142"/>
      <c r="AG8" s="142"/>
      <c r="AH8" s="142"/>
      <c r="AI8" s="142"/>
      <c r="AJ8" s="142"/>
      <c r="AK8"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46" t="e">
        <f>(1 - ((1 - VLOOKUP(Table4[[#This Row],[ConfidentialityP]],'Reference - CVSSv3.0'!$B$15:$C$17,2,FALSE)) * (1 - VLOOKUP(Table4[[#This Row],[IntegrityP]],'Reference - CVSSv3.0'!$B$15:$C$17,2,FALSE)) *  (1 - VLOOKUP(Table4[[#This Row],[AvailabilityP]],'Reference - CVSSv3.0'!$B$15:$C$17,2,FALSE))))</f>
        <v>#N/A</v>
      </c>
      <c r="AM8" s="146" t="e">
        <f>IF(Table4[[#This Row],[ScopeP]]="Unchanged",6.42*Table4[[#This Row],[ISC BaseP]],IF(Table4[[#This Row],[ScopeP]]="Changed",7.52*(Table4[[#This Row],[ISC BaseP]] - 0.029) - 3.25 * POWER(Table4[[#This Row],[ISC BaseP]] - 0.02,15),NA()))</f>
        <v>#N/A</v>
      </c>
      <c r="AN8"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8"/>
    </row>
    <row r="9" spans="1:45" s="42" customFormat="1" ht="128.25">
      <c r="A9" s="57">
        <v>5</v>
      </c>
      <c r="B9" s="48" t="s">
        <v>141</v>
      </c>
      <c r="C9" s="76" t="str">
        <f>IF(VLOOKUP(Table4[[#This Row],[T ID]],Table5[#All],5,FALSE)="No","Not in scope",VLOOKUP(Table4[[#This Row],[T ID]],Table5[#All],2,FALSE))</f>
        <v>Unauthorized modifications to Knee Balancer Software</v>
      </c>
      <c r="D9" s="48" t="s">
        <v>44</v>
      </c>
      <c r="E9" s="76" t="str">
        <f>IF(VLOOKUP(Table4[[#This Row],[V ID]],Vulnerabilities[#All],3,FALSE)="No","Not in scope",VLOOKUP(Table4[[#This Row],[V ID]],Vulnerabilities[#All],2,FALSE))</f>
        <v xml:space="preserve">3rd Party Component Dependency &amp; Vulnerabilities in Application  </v>
      </c>
      <c r="F9" s="79" t="s">
        <v>15</v>
      </c>
      <c r="G9" s="76" t="str">
        <f>VLOOKUP(Table4[[#This Row],[A ID]],Assets[#All],3,FALSE)</f>
        <v>Knee balancer supporting software components (binaries, frameworks, 3rd party components, etc..)</v>
      </c>
      <c r="H9" s="178" t="s">
        <v>240</v>
      </c>
      <c r="I9" s="48"/>
      <c r="J9" s="176" t="s">
        <v>114</v>
      </c>
      <c r="K9" s="176" t="s">
        <v>119</v>
      </c>
      <c r="L9" s="176" t="s">
        <v>112</v>
      </c>
      <c r="M9" s="142" t="s">
        <v>117</v>
      </c>
      <c r="N9" s="142" t="s">
        <v>112</v>
      </c>
      <c r="O9" s="142" t="s">
        <v>112</v>
      </c>
      <c r="P9" s="142" t="s">
        <v>114</v>
      </c>
      <c r="Q9" s="142" t="s">
        <v>115</v>
      </c>
      <c r="R9"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 s="146">
        <f>(1 - ((1 - VLOOKUP(Table4[[#This Row],[Confidentiality]],'Reference - CVSSv3.0'!$B$15:$C$17,2,FALSE)) * (1 - VLOOKUP(Table4[[#This Row],[Integrity]],'Reference - CVSSv3.0'!$B$15:$C$17,2,FALSE)) *  (1 - VLOOKUP(Table4[[#This Row],[Availability]],'Reference - CVSSv3.0'!$B$15:$C$17,2,FALSE))))</f>
        <v>0.65680000000000005</v>
      </c>
      <c r="T9" s="146">
        <f>IF(Table4[[#This Row],[Scope]]="Unchanged",6.42*Table4[[#This Row],[ISC Base]],IF(Table4[[#This Row],[Scope]]="Changed",7.52*(Table4[[#This Row],[ISC Base]] - 0.029) - 3.25 * POWER(Table4[[#This Row],[ISC Base]] - 0.02,15),NA()))</f>
        <v>4.2166560000000004</v>
      </c>
      <c r="U9"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9" s="174" t="s">
        <v>125</v>
      </c>
      <c r="W9" s="146">
        <f>VLOOKUP(Table4[[#This Row],[Threat Event Initiation]],NIST_Scale_LOAI[],2,FALSE)</f>
        <v>0.5</v>
      </c>
      <c r="X9"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178" t="s">
        <v>350</v>
      </c>
      <c r="AA9" s="178" t="s">
        <v>368</v>
      </c>
      <c r="AB9" s="78"/>
      <c r="AC9" s="48"/>
      <c r="AD9" s="48"/>
      <c r="AE9" s="48"/>
      <c r="AF9" s="142"/>
      <c r="AG9" s="142"/>
      <c r="AH9" s="142"/>
      <c r="AI9" s="142"/>
      <c r="AJ9" s="142"/>
      <c r="AK9"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46" t="e">
        <f>(1 - ((1 - VLOOKUP(Table4[[#This Row],[ConfidentialityP]],'Reference - CVSSv3.0'!$B$15:$C$17,2,FALSE)) * (1 - VLOOKUP(Table4[[#This Row],[IntegrityP]],'Reference - CVSSv3.0'!$B$15:$C$17,2,FALSE)) *  (1 - VLOOKUP(Table4[[#This Row],[AvailabilityP]],'Reference - CVSSv3.0'!$B$15:$C$17,2,FALSE))))</f>
        <v>#N/A</v>
      </c>
      <c r="AM9" s="146" t="e">
        <f>IF(Table4[[#This Row],[ScopeP]]="Unchanged",6.42*Table4[[#This Row],[ISC BaseP]],IF(Table4[[#This Row],[ScopeP]]="Changed",7.52*(Table4[[#This Row],[ISC BaseP]] - 0.029) - 3.25 * POWER(Table4[[#This Row],[ISC BaseP]] - 0.02,15),NA()))</f>
        <v>#N/A</v>
      </c>
      <c r="AN9"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8"/>
    </row>
    <row r="10" spans="1:45" s="42" customFormat="1" ht="114" hidden="1">
      <c r="A10" s="57">
        <v>6</v>
      </c>
      <c r="B10" s="48" t="s">
        <v>141</v>
      </c>
      <c r="C10" s="76" t="str">
        <f>IF(VLOOKUP(Table4[[#This Row],[T ID]],Table5[#All],5,FALSE)="No","Not in scope",VLOOKUP(Table4[[#This Row],[T ID]],Table5[#All],2,FALSE))</f>
        <v>Unauthorized modifications to Knee Balancer Software</v>
      </c>
      <c r="D10" s="48" t="s">
        <v>45</v>
      </c>
      <c r="E10" s="76" t="str">
        <f>IF(VLOOKUP(Table4[[#This Row],[V ID]],Vulnerabilities[#All],3,FALSE)="No","Not in scope",VLOOKUP(Table4[[#This Row],[V ID]],Vulnerabilities[#All],2,FALSE))</f>
        <v>Unrestricted access to the stored application resources</v>
      </c>
      <c r="F10" s="79" t="s">
        <v>15</v>
      </c>
      <c r="G10" s="76" t="str">
        <f>VLOOKUP(Table4[[#This Row],[A ID]],Assets[#All],3,FALSE)</f>
        <v>Knee balancer supporting software components (binaries, frameworks, 3rd party components, etc..)</v>
      </c>
      <c r="H10" s="178" t="s">
        <v>240</v>
      </c>
      <c r="I10" s="48"/>
      <c r="J10" s="176" t="s">
        <v>114</v>
      </c>
      <c r="K10" s="176" t="s">
        <v>119</v>
      </c>
      <c r="L10" s="176" t="s">
        <v>112</v>
      </c>
      <c r="M10" s="142" t="s">
        <v>117</v>
      </c>
      <c r="N10" s="142" t="s">
        <v>112</v>
      </c>
      <c r="O10" s="142" t="s">
        <v>112</v>
      </c>
      <c r="P10" s="142" t="s">
        <v>114</v>
      </c>
      <c r="Q10" s="142" t="s">
        <v>115</v>
      </c>
      <c r="R10"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0" s="146">
        <f>(1 - ((1 - VLOOKUP(Table4[[#This Row],[Confidentiality]],'Reference - CVSSv3.0'!$B$15:$C$17,2,FALSE)) * (1 - VLOOKUP(Table4[[#This Row],[Integrity]],'Reference - CVSSv3.0'!$B$15:$C$17,2,FALSE)) *  (1 - VLOOKUP(Table4[[#This Row],[Availability]],'Reference - CVSSv3.0'!$B$15:$C$17,2,FALSE))))</f>
        <v>0.65680000000000005</v>
      </c>
      <c r="T10" s="146">
        <f>IF(Table4[[#This Row],[Scope]]="Unchanged",6.42*Table4[[#This Row],[ISC Base]],IF(Table4[[#This Row],[Scope]]="Changed",7.52*(Table4[[#This Row],[ISC Base]] - 0.029) - 3.25 * POWER(Table4[[#This Row],[ISC Base]] - 0.02,15),NA()))</f>
        <v>4.2166560000000004</v>
      </c>
      <c r="U10"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10" s="174" t="s">
        <v>125</v>
      </c>
      <c r="W10" s="146">
        <f>VLOOKUP(Table4[[#This Row],[Threat Event Initiation]],NIST_Scale_LOAI[],2,FALSE)</f>
        <v>0.5</v>
      </c>
      <c r="X10"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178" t="s">
        <v>346</v>
      </c>
      <c r="AA10" s="178"/>
      <c r="AB10" s="78"/>
      <c r="AC10" s="48"/>
      <c r="AD10" s="48"/>
      <c r="AE10" s="48"/>
      <c r="AF10" s="142"/>
      <c r="AG10" s="142"/>
      <c r="AH10" s="142"/>
      <c r="AI10" s="142"/>
      <c r="AJ10" s="142"/>
      <c r="AK10"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46" t="e">
        <f>(1 - ((1 - VLOOKUP(Table4[[#This Row],[ConfidentialityP]],'Reference - CVSSv3.0'!$B$15:$C$17,2,FALSE)) * (1 - VLOOKUP(Table4[[#This Row],[IntegrityP]],'Reference - CVSSv3.0'!$B$15:$C$17,2,FALSE)) *  (1 - VLOOKUP(Table4[[#This Row],[AvailabilityP]],'Reference - CVSSv3.0'!$B$15:$C$17,2,FALSE))))</f>
        <v>#N/A</v>
      </c>
      <c r="AM10" s="146" t="e">
        <f>IF(Table4[[#This Row],[ScopeP]]="Unchanged",6.42*Table4[[#This Row],[ISC BaseP]],IF(Table4[[#This Row],[ScopeP]]="Changed",7.52*(Table4[[#This Row],[ISC BaseP]] - 0.029) - 3.25 * POWER(Table4[[#This Row],[ISC BaseP]] - 0.02,15),NA()))</f>
        <v>#N/A</v>
      </c>
      <c r="AN10"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8"/>
    </row>
    <row r="11" spans="1:45" s="42" customFormat="1" ht="99.75">
      <c r="A11" s="57">
        <v>7</v>
      </c>
      <c r="B11" s="48" t="s">
        <v>141</v>
      </c>
      <c r="C11" s="76" t="str">
        <f>IF(VLOOKUP(Table4[[#This Row],[T ID]],Table5[#All],5,FALSE)="No","Not in scope",VLOOKUP(Table4[[#This Row],[T ID]],Table5[#All],2,FALSE))</f>
        <v>Unauthorized modifications to Knee Balancer Software</v>
      </c>
      <c r="D11" s="48" t="s">
        <v>46</v>
      </c>
      <c r="E11" s="76" t="str">
        <f>IF(VLOOKUP(Table4[[#This Row],[V ID]],Vulnerabilities[#All],3,FALSE)="No","Not in scope",VLOOKUP(Table4[[#This Row],[V ID]],Vulnerabilities[#All],2,FALSE))</f>
        <v>No Static Analysis for developed code &amp; SCA for SOUP in Application</v>
      </c>
      <c r="F11" s="79" t="s">
        <v>15</v>
      </c>
      <c r="G11" s="76" t="str">
        <f>VLOOKUP(Table4[[#This Row],[A ID]],Assets[#All],3,FALSE)</f>
        <v>Knee balancer supporting software components (binaries, frameworks, 3rd party components, etc..)</v>
      </c>
      <c r="H11" s="178" t="s">
        <v>240</v>
      </c>
      <c r="I11" s="48"/>
      <c r="J11" s="176" t="s">
        <v>114</v>
      </c>
      <c r="K11" s="176" t="s">
        <v>119</v>
      </c>
      <c r="L11" s="176" t="s">
        <v>112</v>
      </c>
      <c r="M11" s="142" t="s">
        <v>117</v>
      </c>
      <c r="N11" s="142" t="s">
        <v>112</v>
      </c>
      <c r="O11" s="142" t="s">
        <v>112</v>
      </c>
      <c r="P11" s="142" t="s">
        <v>114</v>
      </c>
      <c r="Q11" s="142" t="s">
        <v>115</v>
      </c>
      <c r="R11"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146">
        <f>(1 - ((1 - VLOOKUP(Table4[[#This Row],[Confidentiality]],'Reference - CVSSv3.0'!$B$15:$C$17,2,FALSE)) * (1 - VLOOKUP(Table4[[#This Row],[Integrity]],'Reference - CVSSv3.0'!$B$15:$C$17,2,FALSE)) *  (1 - VLOOKUP(Table4[[#This Row],[Availability]],'Reference - CVSSv3.0'!$B$15:$C$17,2,FALSE))))</f>
        <v>0.65680000000000005</v>
      </c>
      <c r="T11" s="146">
        <f>IF(Table4[[#This Row],[Scope]]="Unchanged",6.42*Table4[[#This Row],[ISC Base]],IF(Table4[[#This Row],[Scope]]="Changed",7.52*(Table4[[#This Row],[ISC Base]] - 0.029) - 3.25 * POWER(Table4[[#This Row],[ISC Base]] - 0.02,15),NA()))</f>
        <v>4.2166560000000004</v>
      </c>
      <c r="U11"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11" s="174" t="s">
        <v>125</v>
      </c>
      <c r="W11" s="146">
        <f>VLOOKUP(Table4[[#This Row],[Threat Event Initiation]],NIST_Scale_LOAI[],2,FALSE)</f>
        <v>0.5</v>
      </c>
      <c r="X11"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178" t="s">
        <v>348</v>
      </c>
      <c r="AA11" s="178" t="s">
        <v>362</v>
      </c>
      <c r="AB11" s="78"/>
      <c r="AC11" s="48"/>
      <c r="AD11" s="48"/>
      <c r="AE11" s="48"/>
      <c r="AF11" s="142"/>
      <c r="AG11" s="142"/>
      <c r="AH11" s="142"/>
      <c r="AI11" s="142"/>
      <c r="AJ11" s="142"/>
      <c r="AK11"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46" t="e">
        <f>(1 - ((1 - VLOOKUP(Table4[[#This Row],[ConfidentialityP]],'Reference - CVSSv3.0'!$B$15:$C$17,2,FALSE)) * (1 - VLOOKUP(Table4[[#This Row],[IntegrityP]],'Reference - CVSSv3.0'!$B$15:$C$17,2,FALSE)) *  (1 - VLOOKUP(Table4[[#This Row],[AvailabilityP]],'Reference - CVSSv3.0'!$B$15:$C$17,2,FALSE))))</f>
        <v>#N/A</v>
      </c>
      <c r="AM11" s="146" t="e">
        <f>IF(Table4[[#This Row],[ScopeP]]="Unchanged",6.42*Table4[[#This Row],[ISC BaseP]],IF(Table4[[#This Row],[ScopeP]]="Changed",7.52*(Table4[[#This Row],[ISC BaseP]] - 0.029) - 3.25 * POWER(Table4[[#This Row],[ISC BaseP]] - 0.02,15),NA()))</f>
        <v>#N/A</v>
      </c>
      <c r="AN11"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8"/>
    </row>
    <row r="12" spans="1:45" s="42" customFormat="1" ht="71.25">
      <c r="A12" s="57">
        <v>8</v>
      </c>
      <c r="B12" s="48" t="s">
        <v>123</v>
      </c>
      <c r="C12" s="76" t="str">
        <f>IF(VLOOKUP(Table4[[#This Row],[T ID]],Table5[#All],5,FALSE)="No","Not in scope",VLOOKUP(Table4[[#This Row],[T ID]],Table5[#All],2,FALSE))</f>
        <v>Unauthorized access to Knee Balancer App</v>
      </c>
      <c r="D12" s="48" t="s">
        <v>35</v>
      </c>
      <c r="E12" s="76" t="str">
        <f>IF(VLOOKUP(Table4[[#This Row],[V ID]],Vulnerabilities[#All],3,FALSE)="No","Not in scope",VLOOKUP(Table4[[#This Row],[V ID]],Vulnerabilities[#All],2,FALSE))</f>
        <v>Not in scope</v>
      </c>
      <c r="F12" s="79" t="s">
        <v>11</v>
      </c>
      <c r="G12" s="76" t="str">
        <f>VLOOKUP(Table4[[#This Row],[A ID]],Assets[#All],3,FALSE)</f>
        <v>User identity</v>
      </c>
      <c r="H12" s="178" t="s">
        <v>241</v>
      </c>
      <c r="I12" s="48"/>
      <c r="J12" s="176" t="s">
        <v>112</v>
      </c>
      <c r="K12" s="176" t="s">
        <v>114</v>
      </c>
      <c r="L12" s="176" t="s">
        <v>112</v>
      </c>
      <c r="M12" s="142" t="s">
        <v>117</v>
      </c>
      <c r="N12" s="142" t="s">
        <v>112</v>
      </c>
      <c r="O12" s="142" t="s">
        <v>112</v>
      </c>
      <c r="P12" s="142" t="s">
        <v>114</v>
      </c>
      <c r="Q12" s="142" t="s">
        <v>115</v>
      </c>
      <c r="R12"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146">
        <f>(1 - ((1 - VLOOKUP(Table4[[#This Row],[Confidentiality]],'Reference - CVSSv3.0'!$B$15:$C$17,2,FALSE)) * (1 - VLOOKUP(Table4[[#This Row],[Integrity]],'Reference - CVSSv3.0'!$B$15:$C$17,2,FALSE)) *  (1 - VLOOKUP(Table4[[#This Row],[Availability]],'Reference - CVSSv3.0'!$B$15:$C$17,2,FALSE))))</f>
        <v>0.39159999999999995</v>
      </c>
      <c r="T12" s="146">
        <f>IF(Table4[[#This Row],[Scope]]="Unchanged",6.42*Table4[[#This Row],[ISC Base]],IF(Table4[[#This Row],[Scope]]="Changed",7.52*(Table4[[#This Row],[ISC Base]] - 0.029) - 3.25 * POWER(Table4[[#This Row],[ISC Base]] - 0.02,15),NA()))</f>
        <v>2.5140719999999996</v>
      </c>
      <c r="U12" s="14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2" s="174" t="s">
        <v>125</v>
      </c>
      <c r="W12" s="146">
        <f>VLOOKUP(Table4[[#This Row],[Threat Event Initiation]],NIST_Scale_LOAI[],2,FALSE)</f>
        <v>0.5</v>
      </c>
      <c r="X12"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78" t="s">
        <v>336</v>
      </c>
      <c r="AA12" s="178"/>
      <c r="AB12" s="78"/>
      <c r="AC12" s="48"/>
      <c r="AD12" s="48"/>
      <c r="AE12" s="48"/>
      <c r="AF12" s="142"/>
      <c r="AG12" s="142"/>
      <c r="AH12" s="142"/>
      <c r="AI12" s="142"/>
      <c r="AJ12" s="142"/>
      <c r="AK12"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46" t="e">
        <f>(1 - ((1 - VLOOKUP(Table4[[#This Row],[ConfidentialityP]],'Reference - CVSSv3.0'!$B$15:$C$17,2,FALSE)) * (1 - VLOOKUP(Table4[[#This Row],[IntegrityP]],'Reference - CVSSv3.0'!$B$15:$C$17,2,FALSE)) *  (1 - VLOOKUP(Table4[[#This Row],[AvailabilityP]],'Reference - CVSSv3.0'!$B$15:$C$17,2,FALSE))))</f>
        <v>#N/A</v>
      </c>
      <c r="AM12" s="146" t="e">
        <f>IF(Table4[[#This Row],[ScopeP]]="Unchanged",6.42*Table4[[#This Row],[ISC BaseP]],IF(Table4[[#This Row],[ScopeP]]="Changed",7.52*(Table4[[#This Row],[ISC BaseP]] - 0.029) - 3.25 * POWER(Table4[[#This Row],[ISC BaseP]] - 0.02,15),NA()))</f>
        <v>#N/A</v>
      </c>
      <c r="AN12"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8"/>
    </row>
    <row r="13" spans="1:45" s="42" customFormat="1" ht="71.25">
      <c r="A13" s="57">
        <v>9</v>
      </c>
      <c r="B13" s="48" t="s">
        <v>123</v>
      </c>
      <c r="C13" s="76" t="str">
        <f>IF(VLOOKUP(Table4[[#This Row],[T ID]],Table5[#All],5,FALSE)="No","Not in scope",VLOOKUP(Table4[[#This Row],[T ID]],Table5[#All],2,FALSE))</f>
        <v>Unauthorized access to Knee Balancer App</v>
      </c>
      <c r="D13" s="48" t="s">
        <v>32</v>
      </c>
      <c r="E13" s="76" t="str">
        <f>IF(VLOOKUP(Table4[[#This Row],[V ID]],Vulnerabilities[#All],3,FALSE)="No","Not in scope",VLOOKUP(Table4[[#This Row],[V ID]],Vulnerabilities[#All],2,FALSE))</f>
        <v>Not in scope</v>
      </c>
      <c r="F13" s="79" t="s">
        <v>12</v>
      </c>
      <c r="G13" s="76" t="str">
        <f>VLOOKUP(Table4[[#This Row],[A ID]],Assets[#All],3,FALSE)</f>
        <v>Knee balancer application</v>
      </c>
      <c r="H13" s="178" t="s">
        <v>241</v>
      </c>
      <c r="I13" s="48"/>
      <c r="J13" s="176" t="s">
        <v>112</v>
      </c>
      <c r="K13" s="176" t="s">
        <v>114</v>
      </c>
      <c r="L13" s="176" t="s">
        <v>112</v>
      </c>
      <c r="M13" s="142" t="s">
        <v>117</v>
      </c>
      <c r="N13" s="142" t="s">
        <v>112</v>
      </c>
      <c r="O13" s="142" t="s">
        <v>112</v>
      </c>
      <c r="P13" s="142" t="s">
        <v>114</v>
      </c>
      <c r="Q13" s="142" t="s">
        <v>115</v>
      </c>
      <c r="R13"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146">
        <f>(1 - ((1 - VLOOKUP(Table4[[#This Row],[Confidentiality]],'Reference - CVSSv3.0'!$B$15:$C$17,2,FALSE)) * (1 - VLOOKUP(Table4[[#This Row],[Integrity]],'Reference - CVSSv3.0'!$B$15:$C$17,2,FALSE)) *  (1 - VLOOKUP(Table4[[#This Row],[Availability]],'Reference - CVSSv3.0'!$B$15:$C$17,2,FALSE))))</f>
        <v>0.39159999999999995</v>
      </c>
      <c r="T13" s="146">
        <f>IF(Table4[[#This Row],[Scope]]="Unchanged",6.42*Table4[[#This Row],[ISC Base]],IF(Table4[[#This Row],[Scope]]="Changed",7.52*(Table4[[#This Row],[ISC Base]] - 0.029) - 3.25 * POWER(Table4[[#This Row],[ISC Base]] - 0.02,15),NA()))</f>
        <v>2.5140719999999996</v>
      </c>
      <c r="U13" s="14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3" s="174" t="s">
        <v>125</v>
      </c>
      <c r="W13" s="146">
        <f>VLOOKUP(Table4[[#This Row],[Threat Event Initiation]],NIST_Scale_LOAI[],2,FALSE)</f>
        <v>0.5</v>
      </c>
      <c r="X13"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78" t="s">
        <v>336</v>
      </c>
      <c r="AA13" s="179"/>
      <c r="AB13" s="78"/>
      <c r="AC13" s="48"/>
      <c r="AD13" s="48"/>
      <c r="AE13" s="48"/>
      <c r="AF13" s="142"/>
      <c r="AG13" s="142"/>
      <c r="AH13" s="142"/>
      <c r="AI13" s="142"/>
      <c r="AJ13" s="142"/>
      <c r="AK13"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46" t="e">
        <f>(1 - ((1 - VLOOKUP(Table4[[#This Row],[ConfidentialityP]],'Reference - CVSSv3.0'!$B$15:$C$17,2,FALSE)) * (1 - VLOOKUP(Table4[[#This Row],[IntegrityP]],'Reference - CVSSv3.0'!$B$15:$C$17,2,FALSE)) *  (1 - VLOOKUP(Table4[[#This Row],[AvailabilityP]],'Reference - CVSSv3.0'!$B$15:$C$17,2,FALSE))))</f>
        <v>#N/A</v>
      </c>
      <c r="AM13" s="146" t="e">
        <f>IF(Table4[[#This Row],[ScopeP]]="Unchanged",6.42*Table4[[#This Row],[ISC BaseP]],IF(Table4[[#This Row],[ScopeP]]="Changed",7.52*(Table4[[#This Row],[ISC BaseP]] - 0.029) - 3.25 * POWER(Table4[[#This Row],[ISC BaseP]] - 0.02,15),NA()))</f>
        <v>#N/A</v>
      </c>
      <c r="AN13"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8"/>
    </row>
    <row r="14" spans="1:45" ht="128.25">
      <c r="A14" s="192">
        <v>10</v>
      </c>
      <c r="B14" s="51" t="s">
        <v>126</v>
      </c>
      <c r="C14" s="194" t="str">
        <f>IF(VLOOKUP(Table4[[#This Row],[T ID]],Table5[#All],5,FALSE)="No","Not in scope",VLOOKUP(Table4[[#This Row],[T ID]],Table5[#All],2,FALSE))</f>
        <v>Sensitive information exposure through audit log</v>
      </c>
      <c r="D14" s="193" t="s">
        <v>52</v>
      </c>
      <c r="E14" s="194" t="str">
        <f>IF(VLOOKUP(Table4[[#This Row],[V ID]],Vulnerabilities[#All],3,FALSE)="No","Not in scope",VLOOKUP(Table4[[#This Row],[V ID]],Vulnerabilities[#All],2,FALSE))</f>
        <v>Absence of application (status/behavior) logs and audit logs</v>
      </c>
      <c r="F14" s="195" t="s">
        <v>12</v>
      </c>
      <c r="G14" s="194" t="str">
        <f>VLOOKUP(Table4[[#This Row],[A ID]],Assets[#All],3,FALSE)</f>
        <v>Knee balancer application</v>
      </c>
      <c r="H14" s="206" t="s">
        <v>257</v>
      </c>
      <c r="I14" s="193"/>
      <c r="J14" s="196" t="s">
        <v>119</v>
      </c>
      <c r="K14" s="196" t="s">
        <v>114</v>
      </c>
      <c r="L14" s="196" t="s">
        <v>114</v>
      </c>
      <c r="M14" s="197" t="s">
        <v>117</v>
      </c>
      <c r="N14" s="197" t="s">
        <v>112</v>
      </c>
      <c r="O14" s="197" t="s">
        <v>112</v>
      </c>
      <c r="P14" s="197" t="s">
        <v>114</v>
      </c>
      <c r="Q14" s="197" t="s">
        <v>115</v>
      </c>
      <c r="R1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199">
        <f>(1 - ((1 - VLOOKUP(Table4[[#This Row],[Confidentiality]],'Reference - CVSSv3.0'!$B$15:$C$17,2,FALSE)) * (1 - VLOOKUP(Table4[[#This Row],[Integrity]],'Reference - CVSSv3.0'!$B$15:$C$17,2,FALSE)) *  (1 - VLOOKUP(Table4[[#This Row],[Availability]],'Reference - CVSSv3.0'!$B$15:$C$17,2,FALSE))))</f>
        <v>0.56000000000000005</v>
      </c>
      <c r="T14" s="199">
        <f>IF(Table4[[#This Row],[Scope]]="Unchanged",6.42*Table4[[#This Row],[ISC Base]],IF(Table4[[#This Row],[Scope]]="Changed",7.52*(Table4[[#This Row],[ISC Base]] - 0.029) - 3.25 * POWER(Table4[[#This Row],[ISC Base]] - 0.02,15),NA()))</f>
        <v>3.5952000000000002</v>
      </c>
      <c r="U14" s="199">
        <f>IF(Table4[[#This Row],[Impact Sub Score]]&lt;=0,0,IF(Table4[[#This Row],[Scope]]="Unchanged",ROUNDUP(MIN((Table4[[#This Row],[Impact Sub Score]]+Table4[[#This Row],[Exploitability Sub Score]]),10),1),IF(Table4[[#This Row],[Scope]]="Changed",ROUNDUP(MIN((1.08*(Table4[[#This Row],[Impact Sub Score]]+Table4[[#This Row],[Exploitability Sub Score]])),10),1),NA())))</f>
        <v>5.5</v>
      </c>
      <c r="V14" s="200" t="s">
        <v>112</v>
      </c>
      <c r="W14" s="199">
        <f>VLOOKUP(Table4[[#This Row],[Threat Event Initiation]],NIST_Scale_LOAI[],2,FALSE)</f>
        <v>0.2</v>
      </c>
      <c r="X14" s="19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4" s="20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41" t="s">
        <v>359</v>
      </c>
      <c r="AA14" s="178" t="s">
        <v>369</v>
      </c>
      <c r="AB14" s="202"/>
      <c r="AC14" s="193"/>
      <c r="AD14" s="193"/>
      <c r="AE14" s="193"/>
      <c r="AF14" s="197"/>
      <c r="AG14" s="197"/>
      <c r="AH14" s="197"/>
      <c r="AI14" s="197"/>
      <c r="AJ14" s="203"/>
      <c r="AK14" s="19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99" t="e">
        <f>(1 - ((1 - VLOOKUP(Table4[[#This Row],[ConfidentialityP]],'Reference - CVSSv3.0'!$B$15:$C$17,2,FALSE)) * (1 - VLOOKUP(Table4[[#This Row],[IntegrityP]],'Reference - CVSSv3.0'!$B$15:$C$17,2,FALSE)) *  (1 - VLOOKUP(Table4[[#This Row],[AvailabilityP]],'Reference - CVSSv3.0'!$B$15:$C$17,2,FALSE))))</f>
        <v>#N/A</v>
      </c>
      <c r="AM14" s="199" t="e">
        <f>IF(Table4[[#This Row],[ScopeP]]="Unchanged",6.42*Table4[[#This Row],[ISC BaseP]],IF(Table4[[#This Row],[ScopeP]]="Changed",7.52*(Table4[[#This Row],[ISC BaseP]] - 0.029) - 3.25 * POWER(Table4[[#This Row],[ISC BaseP]] - 0.02,15),NA()))</f>
        <v>#N/A</v>
      </c>
      <c r="AN14" s="19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93"/>
    </row>
    <row r="15" spans="1:45" ht="142.5">
      <c r="A15" s="192">
        <v>11</v>
      </c>
      <c r="B15" s="51" t="s">
        <v>127</v>
      </c>
      <c r="C15" s="194" t="str">
        <f>IF(VLOOKUP(Table4[[#This Row],[T ID]],Table5[#All],5,FALSE)="No","Not in scope",VLOOKUP(Table4[[#This Row],[T ID]],Table5[#All],2,FALSE))</f>
        <v>Improper access/modification of audit log</v>
      </c>
      <c r="D15" s="193" t="s">
        <v>219</v>
      </c>
      <c r="E15" s="194" t="str">
        <f>IF(VLOOKUP(Table4[[#This Row],[V ID]],Vulnerabilities[#All],3,FALSE)="No","Not in scope",VLOOKUP(Table4[[#This Row],[V ID]],Vulnerabilities[#All],2,FALSE))</f>
        <v>Log Files: Audit Log Manipulation, Log Injection-Tampering-Forging</v>
      </c>
      <c r="F15" s="195" t="s">
        <v>12</v>
      </c>
      <c r="G15" s="194" t="str">
        <f>VLOOKUP(Table4[[#This Row],[A ID]],Assets[#All],3,FALSE)</f>
        <v>Knee balancer application</v>
      </c>
      <c r="H15" s="41" t="s">
        <v>255</v>
      </c>
      <c r="I15" s="193"/>
      <c r="J15" s="196" t="s">
        <v>114</v>
      </c>
      <c r="K15" s="196" t="s">
        <v>119</v>
      </c>
      <c r="L15" s="196" t="s">
        <v>114</v>
      </c>
      <c r="M15" s="197" t="s">
        <v>117</v>
      </c>
      <c r="N15" s="197" t="s">
        <v>112</v>
      </c>
      <c r="O15" s="197" t="s">
        <v>112</v>
      </c>
      <c r="P15" s="197" t="s">
        <v>114</v>
      </c>
      <c r="Q15" s="197" t="s">
        <v>115</v>
      </c>
      <c r="R1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99">
        <f>(1 - ((1 - VLOOKUP(Table4[[#This Row],[Confidentiality]],'Reference - CVSSv3.0'!$B$15:$C$17,2,FALSE)) * (1 - VLOOKUP(Table4[[#This Row],[Integrity]],'Reference - CVSSv3.0'!$B$15:$C$17,2,FALSE)) *  (1 - VLOOKUP(Table4[[#This Row],[Availability]],'Reference - CVSSv3.0'!$B$15:$C$17,2,FALSE))))</f>
        <v>0.56000000000000005</v>
      </c>
      <c r="T15" s="199">
        <f>IF(Table4[[#This Row],[Scope]]="Unchanged",6.42*Table4[[#This Row],[ISC Base]],IF(Table4[[#This Row],[Scope]]="Changed",7.52*(Table4[[#This Row],[ISC Base]] - 0.029) - 3.25 * POWER(Table4[[#This Row],[ISC Base]] - 0.02,15),NA()))</f>
        <v>3.5952000000000002</v>
      </c>
      <c r="U15" s="199">
        <f>IF(Table4[[#This Row],[Impact Sub Score]]&lt;=0,0,IF(Table4[[#This Row],[Scope]]="Unchanged",ROUNDUP(MIN((Table4[[#This Row],[Impact Sub Score]]+Table4[[#This Row],[Exploitability Sub Score]]),10),1),IF(Table4[[#This Row],[Scope]]="Changed",ROUNDUP(MIN((1.08*(Table4[[#This Row],[Impact Sub Score]]+Table4[[#This Row],[Exploitability Sub Score]])),10),1),NA())))</f>
        <v>5.5</v>
      </c>
      <c r="V15" s="200" t="s">
        <v>112</v>
      </c>
      <c r="W15" s="199">
        <f>VLOOKUP(Table4[[#This Row],[Threat Event Initiation]],NIST_Scale_LOAI[],2,FALSE)</f>
        <v>0.2</v>
      </c>
      <c r="X15" s="19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5" s="20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41" t="s">
        <v>351</v>
      </c>
      <c r="AA15" s="178" t="s">
        <v>366</v>
      </c>
      <c r="AB15" s="202"/>
      <c r="AC15" s="193"/>
      <c r="AD15" s="193"/>
      <c r="AE15" s="193"/>
      <c r="AF15" s="197"/>
      <c r="AG15" s="197"/>
      <c r="AH15" s="197"/>
      <c r="AI15" s="197"/>
      <c r="AJ15" s="203"/>
      <c r="AK15" s="19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99" t="e">
        <f>(1 - ((1 - VLOOKUP(Table4[[#This Row],[ConfidentialityP]],'Reference - CVSSv3.0'!$B$15:$C$17,2,FALSE)) * (1 - VLOOKUP(Table4[[#This Row],[IntegrityP]],'Reference - CVSSv3.0'!$B$15:$C$17,2,FALSE)) *  (1 - VLOOKUP(Table4[[#This Row],[AvailabilityP]],'Reference - CVSSv3.0'!$B$15:$C$17,2,FALSE))))</f>
        <v>#N/A</v>
      </c>
      <c r="AM15" s="199" t="e">
        <f>IF(Table4[[#This Row],[ScopeP]]="Unchanged",6.42*Table4[[#This Row],[ISC BaseP]],IF(Table4[[#This Row],[ScopeP]]="Changed",7.52*(Table4[[#This Row],[ISC BaseP]] - 0.029) - 3.25 * POWER(Table4[[#This Row],[ISC BaseP]] - 0.02,15),NA()))</f>
        <v>#N/A</v>
      </c>
      <c r="AN15" s="19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93"/>
    </row>
    <row r="16" spans="1:45" ht="128.25">
      <c r="A16" s="218">
        <v>12</v>
      </c>
      <c r="B16" s="51" t="s">
        <v>281</v>
      </c>
      <c r="C16" s="219" t="str">
        <f>IF(VLOOKUP(Table4[[#This Row],[T ID]],Table5[#All],5,FALSE)="No","Not in scope",VLOOKUP(Table4[[#This Row],[T ID]],Table5[#All],2,FALSE))</f>
        <v>Corrupting the binaries/injecting malicious source code in Application</v>
      </c>
      <c r="D16" s="213" t="s">
        <v>44</v>
      </c>
      <c r="E16" s="219" t="str">
        <f>IF(VLOOKUP(Table4[[#This Row],[V ID]],Vulnerabilities[#All],3,FALSE)="No","Not in scope",VLOOKUP(Table4[[#This Row],[V ID]],Vulnerabilities[#All],2,FALSE))</f>
        <v xml:space="preserve">3rd Party Component Dependency &amp; Vulnerabilities in Application  </v>
      </c>
      <c r="F16" s="243" t="s">
        <v>12</v>
      </c>
      <c r="G16" s="219" t="str">
        <f>VLOOKUP(Table4[[#This Row],[A ID]],Assets[#All],3,FALSE)</f>
        <v>Knee balancer application</v>
      </c>
      <c r="H16" s="178" t="s">
        <v>318</v>
      </c>
      <c r="I16" s="213"/>
      <c r="J16" s="221" t="s">
        <v>114</v>
      </c>
      <c r="K16" s="221" t="s">
        <v>114</v>
      </c>
      <c r="L16" s="221" t="s">
        <v>119</v>
      </c>
      <c r="M16" s="222" t="s">
        <v>117</v>
      </c>
      <c r="N16" s="222" t="s">
        <v>112</v>
      </c>
      <c r="O16" s="222" t="s">
        <v>112</v>
      </c>
      <c r="P16" s="222" t="s">
        <v>114</v>
      </c>
      <c r="Q16" s="222" t="s">
        <v>115</v>
      </c>
      <c r="R16"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224">
        <f>(1 - ((1 - VLOOKUP(Table4[[#This Row],[Confidentiality]],'Reference - CVSSv3.0'!$B$15:$C$17,2,FALSE)) * (1 - VLOOKUP(Table4[[#This Row],[Integrity]],'Reference - CVSSv3.0'!$B$15:$C$17,2,FALSE)) *  (1 - VLOOKUP(Table4[[#This Row],[Availability]],'Reference - CVSSv3.0'!$B$15:$C$17,2,FALSE))))</f>
        <v>0.56000000000000005</v>
      </c>
      <c r="T16" s="224">
        <f>IF(Table4[[#This Row],[Scope]]="Unchanged",6.42*Table4[[#This Row],[ISC Base]],IF(Table4[[#This Row],[Scope]]="Changed",7.52*(Table4[[#This Row],[ISC Base]] - 0.029) - 3.25 * POWER(Table4[[#This Row],[ISC Base]] - 0.02,15),NA()))</f>
        <v>3.5952000000000002</v>
      </c>
      <c r="U16"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16" s="225" t="s">
        <v>112</v>
      </c>
      <c r="W16" s="224">
        <f>VLOOKUP(Table4[[#This Row],[Threat Event Initiation]],NIST_Scale_LOAI[],2,FALSE)</f>
        <v>0.2</v>
      </c>
      <c r="X16"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6"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6" s="178" t="s">
        <v>350</v>
      </c>
      <c r="AA16" s="178" t="s">
        <v>370</v>
      </c>
      <c r="AB16" s="178"/>
      <c r="AC16" s="213"/>
      <c r="AD16" s="213"/>
      <c r="AE16" s="213"/>
      <c r="AF16" s="222"/>
      <c r="AG16" s="222"/>
      <c r="AH16" s="222"/>
      <c r="AI16" s="222"/>
      <c r="AJ16" s="228"/>
      <c r="AK16"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24" t="e">
        <f>(1 - ((1 - VLOOKUP(Table4[[#This Row],[ConfidentialityP]],'Reference - CVSSv3.0'!$B$15:$C$17,2,FALSE)) * (1 - VLOOKUP(Table4[[#This Row],[IntegrityP]],'Reference - CVSSv3.0'!$B$15:$C$17,2,FALSE)) *  (1 - VLOOKUP(Table4[[#This Row],[AvailabilityP]],'Reference - CVSSv3.0'!$B$15:$C$17,2,FALSE))))</f>
        <v>#N/A</v>
      </c>
      <c r="AM16" s="224" t="e">
        <f>IF(Table4[[#This Row],[ScopeP]]="Unchanged",6.42*Table4[[#This Row],[ISC BaseP]],IF(Table4[[#This Row],[ScopeP]]="Changed",7.52*(Table4[[#This Row],[ISC BaseP]] - 0.029) - 3.25 * POWER(Table4[[#This Row],[ISC BaseP]] - 0.02,15),NA()))</f>
        <v>#N/A</v>
      </c>
      <c r="AN16"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3"/>
    </row>
    <row r="17" spans="1:43" ht="99.75">
      <c r="A17" s="218">
        <v>13</v>
      </c>
      <c r="B17" s="51" t="s">
        <v>298</v>
      </c>
      <c r="C17" s="219" t="str">
        <f>IF(VLOOKUP(Table4[[#This Row],[T ID]],Table5[#All],5,FALSE)="No","Not in scope",VLOOKUP(Table4[[#This Row],[T ID]],Table5[#All],2,FALSE))</f>
        <v xml:space="preserve">Improper access/modification of Stryker IP  data </v>
      </c>
      <c r="D17" s="213" t="s">
        <v>37</v>
      </c>
      <c r="E17" s="219" t="str">
        <f>IF(VLOOKUP(Table4[[#This Row],[V ID]],Vulnerabilities[#All],3,FALSE)="No","Not in scope",VLOOKUP(Table4[[#This Row],[V ID]],Vulnerabilities[#All],2,FALSE))</f>
        <v>Improper Storage of Stryker IP data</v>
      </c>
      <c r="F17" s="220" t="s">
        <v>295</v>
      </c>
      <c r="G17" s="219" t="str">
        <f>VLOOKUP(Table4[[#This Row],[A ID]],Assets[#All],3,FALSE)</f>
        <v>Stryker IP data</v>
      </c>
      <c r="H17" s="61" t="s">
        <v>317</v>
      </c>
      <c r="I17" s="213"/>
      <c r="J17" s="221" t="s">
        <v>114</v>
      </c>
      <c r="K17" s="221" t="s">
        <v>119</v>
      </c>
      <c r="L17" s="221" t="s">
        <v>112</v>
      </c>
      <c r="M17" s="222" t="s">
        <v>117</v>
      </c>
      <c r="N17" s="222" t="s">
        <v>112</v>
      </c>
      <c r="O17" s="222" t="s">
        <v>112</v>
      </c>
      <c r="P17" s="222" t="s">
        <v>114</v>
      </c>
      <c r="Q17" s="222" t="s">
        <v>115</v>
      </c>
      <c r="R17"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7" s="224">
        <f>(1 - ((1 - VLOOKUP(Table4[[#This Row],[Confidentiality]],'Reference - CVSSv3.0'!$B$15:$C$17,2,FALSE)) * (1 - VLOOKUP(Table4[[#This Row],[Integrity]],'Reference - CVSSv3.0'!$B$15:$C$17,2,FALSE)) *  (1 - VLOOKUP(Table4[[#This Row],[Availability]],'Reference - CVSSv3.0'!$B$15:$C$17,2,FALSE))))</f>
        <v>0.65680000000000005</v>
      </c>
      <c r="T17" s="224">
        <f>IF(Table4[[#This Row],[Scope]]="Unchanged",6.42*Table4[[#This Row],[ISC Base]],IF(Table4[[#This Row],[Scope]]="Changed",7.52*(Table4[[#This Row],[ISC Base]] - 0.029) - 3.25 * POWER(Table4[[#This Row],[ISC Base]] - 0.02,15),NA()))</f>
        <v>4.2166560000000004</v>
      </c>
      <c r="U17" s="224">
        <f>IF(Table4[[#This Row],[Impact Sub Score]]&lt;=0,0,IF(Table4[[#This Row],[Scope]]="Unchanged",ROUNDUP(MIN((Table4[[#This Row],[Impact Sub Score]]+Table4[[#This Row],[Exploitability Sub Score]]),10),1),IF(Table4[[#This Row],[Scope]]="Changed",ROUNDUP(MIN((1.08*(Table4[[#This Row],[Impact Sub Score]]+Table4[[#This Row],[Exploitability Sub Score]])),10),1),NA())))</f>
        <v>6.1</v>
      </c>
      <c r="V17" s="225" t="s">
        <v>112</v>
      </c>
      <c r="W17" s="224">
        <f>VLOOKUP(Table4[[#This Row],[Threat Event Initiation]],NIST_Scale_LOAI[],2,FALSE)</f>
        <v>0.2</v>
      </c>
      <c r="X17"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7"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178" t="s">
        <v>349</v>
      </c>
      <c r="AA17" s="178" t="s">
        <v>365</v>
      </c>
      <c r="AB17" s="227"/>
      <c r="AC17" s="213"/>
      <c r="AD17" s="213"/>
      <c r="AE17" s="213"/>
      <c r="AF17" s="222"/>
      <c r="AG17" s="222"/>
      <c r="AH17" s="222"/>
      <c r="AI17" s="222"/>
      <c r="AJ17" s="228"/>
      <c r="AK17"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24" t="e">
        <f>(1 - ((1 - VLOOKUP(Table4[[#This Row],[ConfidentialityP]],'Reference - CVSSv3.0'!$B$15:$C$17,2,FALSE)) * (1 - VLOOKUP(Table4[[#This Row],[IntegrityP]],'Reference - CVSSv3.0'!$B$15:$C$17,2,FALSE)) *  (1 - VLOOKUP(Table4[[#This Row],[AvailabilityP]],'Reference - CVSSv3.0'!$B$15:$C$17,2,FALSE))))</f>
        <v>#N/A</v>
      </c>
      <c r="AM17" s="224" t="e">
        <f>IF(Table4[[#This Row],[ScopeP]]="Unchanged",6.42*Table4[[#This Row],[ISC BaseP]],IF(Table4[[#This Row],[ScopeP]]="Changed",7.52*(Table4[[#This Row],[ISC BaseP]] - 0.029) - 3.25 * POWER(Table4[[#This Row],[ISC BaseP]] - 0.02,15),NA()))</f>
        <v>#N/A</v>
      </c>
      <c r="AN17"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13"/>
    </row>
    <row r="18" spans="1:43" ht="128.25">
      <c r="A18" s="230">
        <v>14</v>
      </c>
      <c r="B18" s="231" t="s">
        <v>299</v>
      </c>
      <c r="C18" s="232" t="str">
        <f>IF(VLOOKUP(Table4[[#This Row],[T ID]],Table5[#All],5,FALSE)="No","Not in scope",VLOOKUP(Table4[[#This Row],[T ID]],Table5[#All],2,FALSE))</f>
        <v>Improper validation/assessment of 3rd party components (libs, fw, etc..)</v>
      </c>
      <c r="D18" s="231" t="s">
        <v>44</v>
      </c>
      <c r="E18" s="232" t="str">
        <f>IF(VLOOKUP(Table4[[#This Row],[V ID]],Vulnerabilities[#All],3,FALSE)="No","Not in scope",VLOOKUP(Table4[[#This Row],[V ID]],Vulnerabilities[#All],2,FALSE))</f>
        <v xml:space="preserve">3rd Party Component Dependency &amp; Vulnerabilities in Application  </v>
      </c>
      <c r="F18" s="243" t="s">
        <v>12</v>
      </c>
      <c r="G18" s="232" t="str">
        <f>VLOOKUP(Table4[[#This Row],[A ID]],Assets[#All],3,FALSE)</f>
        <v>Knee balancer application</v>
      </c>
      <c r="H18" s="178" t="s">
        <v>319</v>
      </c>
      <c r="I18" s="231"/>
      <c r="J18" s="234" t="s">
        <v>114</v>
      </c>
      <c r="K18" s="234" t="s">
        <v>114</v>
      </c>
      <c r="L18" s="234" t="s">
        <v>119</v>
      </c>
      <c r="M18" s="235" t="s">
        <v>117</v>
      </c>
      <c r="N18" s="235" t="s">
        <v>112</v>
      </c>
      <c r="O18" s="235" t="s">
        <v>112</v>
      </c>
      <c r="P18" s="235" t="s">
        <v>114</v>
      </c>
      <c r="Q18" s="235" t="s">
        <v>115</v>
      </c>
      <c r="R18"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8" s="237">
        <f>(1 - ((1 - VLOOKUP(Table4[[#This Row],[Confidentiality]],'Reference - CVSSv3.0'!$B$15:$C$17,2,FALSE)) * (1 - VLOOKUP(Table4[[#This Row],[Integrity]],'Reference - CVSSv3.0'!$B$15:$C$17,2,FALSE)) *  (1 - VLOOKUP(Table4[[#This Row],[Availability]],'Reference - CVSSv3.0'!$B$15:$C$17,2,FALSE))))</f>
        <v>0.56000000000000005</v>
      </c>
      <c r="T18" s="237">
        <f>IF(Table4[[#This Row],[Scope]]="Unchanged",6.42*Table4[[#This Row],[ISC Base]],IF(Table4[[#This Row],[Scope]]="Changed",7.52*(Table4[[#This Row],[ISC Base]] - 0.029) - 3.25 * POWER(Table4[[#This Row],[ISC Base]] - 0.02,15),NA()))</f>
        <v>3.5952000000000002</v>
      </c>
      <c r="U18" s="237">
        <f>IF(Table4[[#This Row],[Impact Sub Score]]&lt;=0,0,IF(Table4[[#This Row],[Scope]]="Unchanged",ROUNDUP(MIN((Table4[[#This Row],[Impact Sub Score]]+Table4[[#This Row],[Exploitability Sub Score]]),10),1),IF(Table4[[#This Row],[Scope]]="Changed",ROUNDUP(MIN((1.08*(Table4[[#This Row],[Impact Sub Score]]+Table4[[#This Row],[Exploitability Sub Score]])),10),1),NA())))</f>
        <v>5.5</v>
      </c>
      <c r="V18" s="238" t="s">
        <v>112</v>
      </c>
      <c r="W18" s="237">
        <f>VLOOKUP(Table4[[#This Row],[Threat Event Initiation]],NIST_Scale_LOAI[],2,FALSE)</f>
        <v>0.2</v>
      </c>
      <c r="X18"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8"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178" t="s">
        <v>350</v>
      </c>
      <c r="AA18" s="178" t="s">
        <v>370</v>
      </c>
      <c r="AB18" s="240"/>
      <c r="AC18" s="231"/>
      <c r="AD18" s="231"/>
      <c r="AE18" s="231"/>
      <c r="AF18" s="235"/>
      <c r="AG18" s="235"/>
      <c r="AH18" s="235"/>
      <c r="AI18" s="235"/>
      <c r="AJ18" s="241"/>
      <c r="AK18"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37" t="e">
        <f>(1 - ((1 - VLOOKUP(Table4[[#This Row],[ConfidentialityP]],'Reference - CVSSv3.0'!$B$15:$C$17,2,FALSE)) * (1 - VLOOKUP(Table4[[#This Row],[IntegrityP]],'Reference - CVSSv3.0'!$B$15:$C$17,2,FALSE)) *  (1 - VLOOKUP(Table4[[#This Row],[AvailabilityP]],'Reference - CVSSv3.0'!$B$15:$C$17,2,FALSE))))</f>
        <v>#N/A</v>
      </c>
      <c r="AM18" s="237" t="e">
        <f>IF(Table4[[#This Row],[ScopeP]]="Unchanged",6.42*Table4[[#This Row],[ISC BaseP]],IF(Table4[[#This Row],[ScopeP]]="Changed",7.52*(Table4[[#This Row],[ISC BaseP]] - 0.029) - 3.25 * POWER(Table4[[#This Row],[ISC BaseP]] - 0.02,15),NA()))</f>
        <v>#N/A</v>
      </c>
      <c r="AN18"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31"/>
    </row>
    <row r="19" spans="1:43" ht="114">
      <c r="A19" s="230">
        <v>15</v>
      </c>
      <c r="B19" s="231" t="s">
        <v>303</v>
      </c>
      <c r="C19" s="232" t="str">
        <f>IF(VLOOKUP(Table4[[#This Row],[T ID]],Table5[#All],5,FALSE)="No","Not in scope",VLOOKUP(Table4[[#This Row],[T ID]],Table5[#All],2,FALSE))</f>
        <v>Application running on the abnormal device (jailbroken)</v>
      </c>
      <c r="D19" s="231" t="s">
        <v>279</v>
      </c>
      <c r="E19" s="232" t="str">
        <f>IF(VLOOKUP(Table4[[#This Row],[V ID]],Vulnerabilities[#All],3,FALSE)="No","Not in scope",VLOOKUP(Table4[[#This Row],[V ID]],Vulnerabilities[#All],2,FALSE))</f>
        <v>Device deviated from the normal functionality (jailbroken)</v>
      </c>
      <c r="F19" s="233" t="s">
        <v>12</v>
      </c>
      <c r="G19" s="232" t="str">
        <f>VLOOKUP(Table4[[#This Row],[A ID]],Assets[#All],3,FALSE)</f>
        <v>Knee balancer application</v>
      </c>
      <c r="H19" s="244" t="s">
        <v>320</v>
      </c>
      <c r="I19" s="231"/>
      <c r="J19" s="234" t="s">
        <v>114</v>
      </c>
      <c r="K19" s="234" t="s">
        <v>114</v>
      </c>
      <c r="L19" s="234" t="s">
        <v>119</v>
      </c>
      <c r="M19" s="235" t="s">
        <v>117</v>
      </c>
      <c r="N19" s="235" t="s">
        <v>112</v>
      </c>
      <c r="O19" s="235" t="s">
        <v>114</v>
      </c>
      <c r="P19" s="235" t="s">
        <v>114</v>
      </c>
      <c r="Q19" s="235" t="s">
        <v>115</v>
      </c>
      <c r="R19"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19" s="237">
        <f>(1 - ((1 - VLOOKUP(Table4[[#This Row],[Confidentiality]],'Reference - CVSSv3.0'!$B$15:$C$17,2,FALSE)) * (1 - VLOOKUP(Table4[[#This Row],[Integrity]],'Reference - CVSSv3.0'!$B$15:$C$17,2,FALSE)) *  (1 - VLOOKUP(Table4[[#This Row],[Availability]],'Reference - CVSSv3.0'!$B$15:$C$17,2,FALSE))))</f>
        <v>0.56000000000000005</v>
      </c>
      <c r="T19" s="237">
        <f>IF(Table4[[#This Row],[Scope]]="Unchanged",6.42*Table4[[#This Row],[ISC Base]],IF(Table4[[#This Row],[Scope]]="Changed",7.52*(Table4[[#This Row],[ISC Base]] - 0.029) - 3.25 * POWER(Table4[[#This Row],[ISC Base]] - 0.02,15),NA()))</f>
        <v>3.5952000000000002</v>
      </c>
      <c r="U19" s="237">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9" s="238" t="s">
        <v>112</v>
      </c>
      <c r="W19" s="237">
        <f>VLOOKUP(Table4[[#This Row],[Threat Event Initiation]],NIST_Scale_LOAI[],2,FALSE)</f>
        <v>0.2</v>
      </c>
      <c r="X19"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19"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44" t="s">
        <v>352</v>
      </c>
      <c r="AA19" s="244" t="s">
        <v>361</v>
      </c>
      <c r="AB19" s="240"/>
      <c r="AC19" s="231"/>
      <c r="AD19" s="231"/>
      <c r="AE19" s="231"/>
      <c r="AF19" s="235"/>
      <c r="AG19" s="235"/>
      <c r="AH19" s="235"/>
      <c r="AI19" s="235"/>
      <c r="AJ19" s="241"/>
      <c r="AK19"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37" t="e">
        <f>(1 - ((1 - VLOOKUP(Table4[[#This Row],[ConfidentialityP]],'Reference - CVSSv3.0'!$B$15:$C$17,2,FALSE)) * (1 - VLOOKUP(Table4[[#This Row],[IntegrityP]],'Reference - CVSSv3.0'!$B$15:$C$17,2,FALSE)) *  (1 - VLOOKUP(Table4[[#This Row],[AvailabilityP]],'Reference - CVSSv3.0'!$B$15:$C$17,2,FALSE))))</f>
        <v>#N/A</v>
      </c>
      <c r="AM19" s="237" t="e">
        <f>IF(Table4[[#This Row],[ScopeP]]="Unchanged",6.42*Table4[[#This Row],[ISC BaseP]],IF(Table4[[#This Row],[ScopeP]]="Changed",7.52*(Table4[[#This Row],[ISC BaseP]] - 0.029) - 3.25 * POWER(Table4[[#This Row],[ISC BaseP]] - 0.02,15),NA()))</f>
        <v>#N/A</v>
      </c>
      <c r="AN19"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31"/>
    </row>
    <row r="20" spans="1:43" ht="156.75">
      <c r="A20" s="218">
        <v>16</v>
      </c>
      <c r="B20" s="231" t="s">
        <v>306</v>
      </c>
      <c r="C20" s="219" t="str">
        <f>IF(VLOOKUP(Table4[[#This Row],[T ID]],Table5[#All],5,FALSE)="No","Not in scope",VLOOKUP(Table4[[#This Row],[T ID]],Table5[#All],2,FALSE))</f>
        <v>Missing data with factory reset</v>
      </c>
      <c r="D20" s="231" t="s">
        <v>304</v>
      </c>
      <c r="E20" s="219" t="str">
        <f>IF(VLOOKUP(Table4[[#This Row],[V ID]],Vulnerabilities[#All],3,FALSE)="No","Not in scope",VLOOKUP(Table4[[#This Row],[V ID]],Vulnerabilities[#All],2,FALSE))</f>
        <v>Irregular upload of case data to cloud storage</v>
      </c>
      <c r="F20" s="220" t="s">
        <v>10</v>
      </c>
      <c r="G20" s="219" t="str">
        <f>VLOOKUP(Table4[[#This Row],[A ID]],Assets[#All],3,FALSE)</f>
        <v>Mobile Device (iPad, iPhone V8-13)</v>
      </c>
      <c r="H20" s="244" t="s">
        <v>316</v>
      </c>
      <c r="I20" s="213"/>
      <c r="J20" s="221" t="s">
        <v>114</v>
      </c>
      <c r="K20" s="221" t="s">
        <v>114</v>
      </c>
      <c r="L20" s="221" t="s">
        <v>119</v>
      </c>
      <c r="M20" s="222" t="s">
        <v>117</v>
      </c>
      <c r="N20" s="222" t="s">
        <v>112</v>
      </c>
      <c r="O20" s="222" t="s">
        <v>112</v>
      </c>
      <c r="P20" s="222" t="s">
        <v>114</v>
      </c>
      <c r="Q20" s="222" t="s">
        <v>115</v>
      </c>
      <c r="R20"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0" s="224">
        <f>(1 - ((1 - VLOOKUP(Table4[[#This Row],[Confidentiality]],'Reference - CVSSv3.0'!$B$15:$C$17,2,FALSE)) * (1 - VLOOKUP(Table4[[#This Row],[Integrity]],'Reference - CVSSv3.0'!$B$15:$C$17,2,FALSE)) *  (1 - VLOOKUP(Table4[[#This Row],[Availability]],'Reference - CVSSv3.0'!$B$15:$C$17,2,FALSE))))</f>
        <v>0.56000000000000005</v>
      </c>
      <c r="T20" s="224">
        <f>IF(Table4[[#This Row],[Scope]]="Unchanged",6.42*Table4[[#This Row],[ISC Base]],IF(Table4[[#This Row],[Scope]]="Changed",7.52*(Table4[[#This Row],[ISC Base]] - 0.029) - 3.25 * POWER(Table4[[#This Row],[ISC Base]] - 0.02,15),NA()))</f>
        <v>3.5952000000000002</v>
      </c>
      <c r="U20"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20" s="225" t="s">
        <v>112</v>
      </c>
      <c r="W20" s="224">
        <f>VLOOKUP(Table4[[#This Row],[Threat Event Initiation]],NIST_Scale_LOAI[],2,FALSE)</f>
        <v>0.2</v>
      </c>
      <c r="X20"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0"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41" t="s">
        <v>356</v>
      </c>
      <c r="AA20" s="178" t="s">
        <v>372</v>
      </c>
      <c r="AB20" s="227"/>
      <c r="AC20" s="213"/>
      <c r="AD20" s="213"/>
      <c r="AE20" s="213"/>
      <c r="AF20" s="222"/>
      <c r="AG20" s="222"/>
      <c r="AH20" s="222"/>
      <c r="AI20" s="222"/>
      <c r="AJ20" s="228"/>
      <c r="AK20"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24" t="e">
        <f>(1 - ((1 - VLOOKUP(Table4[[#This Row],[ConfidentialityP]],'Reference - CVSSv3.0'!$B$15:$C$17,2,FALSE)) * (1 - VLOOKUP(Table4[[#This Row],[IntegrityP]],'Reference - CVSSv3.0'!$B$15:$C$17,2,FALSE)) *  (1 - VLOOKUP(Table4[[#This Row],[AvailabilityP]],'Reference - CVSSv3.0'!$B$15:$C$17,2,FALSE))))</f>
        <v>#N/A</v>
      </c>
      <c r="AM20" s="224" t="e">
        <f>IF(Table4[[#This Row],[ScopeP]]="Unchanged",6.42*Table4[[#This Row],[ISC BaseP]],IF(Table4[[#This Row],[ScopeP]]="Changed",7.52*(Table4[[#This Row],[ISC BaseP]] - 0.029) - 3.25 * POWER(Table4[[#This Row],[ISC BaseP]] - 0.02,15),NA()))</f>
        <v>#N/A</v>
      </c>
      <c r="AN20"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3"/>
    </row>
    <row r="21" spans="1:43" ht="213.75">
      <c r="A21" s="218">
        <v>17</v>
      </c>
      <c r="B21" s="231" t="s">
        <v>309</v>
      </c>
      <c r="C21" s="219" t="str">
        <f>IF(VLOOKUP(Table4[[#This Row],[T ID]],Table5[#All],5,FALSE)="No","Not in scope",VLOOKUP(Table4[[#This Row],[T ID]],Table5[#All],2,FALSE))</f>
        <v>Exposed SAS (token/URL/Key) to unauthorized parties</v>
      </c>
      <c r="D21" s="213" t="s">
        <v>224</v>
      </c>
      <c r="E21" s="219" t="str">
        <f>IF(VLOOKUP(Table4[[#This Row],[V ID]],Vulnerabilities[#All],3,FALSE)="No","Not in scope",VLOOKUP(Table4[[#This Row],[V ID]],Vulnerabilities[#All],2,FALSE))</f>
        <v>Compromised SAS URL's for blob storage</v>
      </c>
      <c r="F21" s="220" t="s">
        <v>22</v>
      </c>
      <c r="G21" s="219" t="str">
        <f>VLOOKUP(Table4[[#This Row],[A ID]],Assets[#All],3,FALSE)</f>
        <v>Cloud interface &amp; Storage</v>
      </c>
      <c r="H21" s="244" t="s">
        <v>315</v>
      </c>
      <c r="I21" s="213"/>
      <c r="J21" s="221" t="s">
        <v>119</v>
      </c>
      <c r="K21" s="221" t="s">
        <v>114</v>
      </c>
      <c r="L21" s="221" t="s">
        <v>114</v>
      </c>
      <c r="M21" s="222" t="s">
        <v>117</v>
      </c>
      <c r="N21" s="222" t="s">
        <v>112</v>
      </c>
      <c r="O21" s="222" t="s">
        <v>112</v>
      </c>
      <c r="P21" s="222" t="s">
        <v>114</v>
      </c>
      <c r="Q21" s="222" t="s">
        <v>115</v>
      </c>
      <c r="R21"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1" s="224">
        <f>(1 - ((1 - VLOOKUP(Table4[[#This Row],[Confidentiality]],'Reference - CVSSv3.0'!$B$15:$C$17,2,FALSE)) * (1 - VLOOKUP(Table4[[#This Row],[Integrity]],'Reference - CVSSv3.0'!$B$15:$C$17,2,FALSE)) *  (1 - VLOOKUP(Table4[[#This Row],[Availability]],'Reference - CVSSv3.0'!$B$15:$C$17,2,FALSE))))</f>
        <v>0.56000000000000005</v>
      </c>
      <c r="T21" s="224">
        <f>IF(Table4[[#This Row],[Scope]]="Unchanged",6.42*Table4[[#This Row],[ISC Base]],IF(Table4[[#This Row],[Scope]]="Changed",7.52*(Table4[[#This Row],[ISC Base]] - 0.029) - 3.25 * POWER(Table4[[#This Row],[ISC Base]] - 0.02,15),NA()))</f>
        <v>3.5952000000000002</v>
      </c>
      <c r="U21"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21" s="225" t="s">
        <v>112</v>
      </c>
      <c r="W21" s="224">
        <f>VLOOKUP(Table4[[#This Row],[Threat Event Initiation]],NIST_Scale_LOAI[],2,FALSE)</f>
        <v>0.2</v>
      </c>
      <c r="X21"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1"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14" t="s">
        <v>355</v>
      </c>
      <c r="AA21" s="41" t="s">
        <v>363</v>
      </c>
      <c r="AB21" s="227"/>
      <c r="AC21" s="213"/>
      <c r="AD21" s="213"/>
      <c r="AE21" s="213"/>
      <c r="AF21" s="222"/>
      <c r="AG21" s="222"/>
      <c r="AH21" s="222"/>
      <c r="AI21" s="222"/>
      <c r="AJ21" s="228"/>
      <c r="AK21"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24" t="e">
        <f>(1 - ((1 - VLOOKUP(Table4[[#This Row],[ConfidentialityP]],'Reference - CVSSv3.0'!$B$15:$C$17,2,FALSE)) * (1 - VLOOKUP(Table4[[#This Row],[IntegrityP]],'Reference - CVSSv3.0'!$B$15:$C$17,2,FALSE)) *  (1 - VLOOKUP(Table4[[#This Row],[AvailabilityP]],'Reference - CVSSv3.0'!$B$15:$C$17,2,FALSE))))</f>
        <v>#N/A</v>
      </c>
      <c r="AM21" s="224" t="e">
        <f>IF(Table4[[#This Row],[ScopeP]]="Unchanged",6.42*Table4[[#This Row],[ISC BaseP]],IF(Table4[[#This Row],[ScopeP]]="Changed",7.52*(Table4[[#This Row],[ISC BaseP]] - 0.029) - 3.25 * POWER(Table4[[#This Row],[ISC BaseP]] - 0.02,15),NA()))</f>
        <v>#N/A</v>
      </c>
      <c r="AN21"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3"/>
    </row>
    <row r="22" spans="1:43" ht="171">
      <c r="A22" s="218">
        <v>18</v>
      </c>
      <c r="B22" s="231" t="s">
        <v>309</v>
      </c>
      <c r="C22" s="219" t="str">
        <f>IF(VLOOKUP(Table4[[#This Row],[T ID]],Table5[#All],5,FALSE)="No","Not in scope",VLOOKUP(Table4[[#This Row],[T ID]],Table5[#All],2,FALSE))</f>
        <v>Exposed SAS (token/URL/Key) to unauthorized parties</v>
      </c>
      <c r="D22" s="213" t="s">
        <v>291</v>
      </c>
      <c r="E22" s="219" t="str">
        <f>IF(VLOOKUP(Table4[[#This Row],[V ID]],Vulnerabilities[#All],3,FALSE)="No","Not in scope",VLOOKUP(Table4[[#This Row],[V ID]],Vulnerabilities[#All],2,FALSE))</f>
        <v>Sharing the SAS URL in unsecured channel</v>
      </c>
      <c r="F22" s="220" t="s">
        <v>22</v>
      </c>
      <c r="G22" s="219" t="str">
        <f>VLOOKUP(Table4[[#This Row],[A ID]],Assets[#All],3,FALSE)</f>
        <v>Cloud interface &amp; Storage</v>
      </c>
      <c r="H22" s="244" t="s">
        <v>315</v>
      </c>
      <c r="I22" s="213"/>
      <c r="J22" s="221" t="s">
        <v>114</v>
      </c>
      <c r="K22" s="221" t="s">
        <v>114</v>
      </c>
      <c r="L22" s="221" t="s">
        <v>119</v>
      </c>
      <c r="M22" s="222" t="s">
        <v>117</v>
      </c>
      <c r="N22" s="222" t="s">
        <v>112</v>
      </c>
      <c r="O22" s="222" t="s">
        <v>112</v>
      </c>
      <c r="P22" s="222" t="s">
        <v>114</v>
      </c>
      <c r="Q22" s="222" t="s">
        <v>115</v>
      </c>
      <c r="R22"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2" s="224">
        <f>(1 - ((1 - VLOOKUP(Table4[[#This Row],[Confidentiality]],'Reference - CVSSv3.0'!$B$15:$C$17,2,FALSE)) * (1 - VLOOKUP(Table4[[#This Row],[Integrity]],'Reference - CVSSv3.0'!$B$15:$C$17,2,FALSE)) *  (1 - VLOOKUP(Table4[[#This Row],[Availability]],'Reference - CVSSv3.0'!$B$15:$C$17,2,FALSE))))</f>
        <v>0.56000000000000005</v>
      </c>
      <c r="T22" s="224">
        <f>IF(Table4[[#This Row],[Scope]]="Unchanged",6.42*Table4[[#This Row],[ISC Base]],IF(Table4[[#This Row],[Scope]]="Changed",7.52*(Table4[[#This Row],[ISC Base]] - 0.029) - 3.25 * POWER(Table4[[#This Row],[ISC Base]] - 0.02,15),NA()))</f>
        <v>3.5952000000000002</v>
      </c>
      <c r="U22"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22" s="225" t="s">
        <v>112</v>
      </c>
      <c r="W22" s="224">
        <f>VLOOKUP(Table4[[#This Row],[Threat Event Initiation]],NIST_Scale_LOAI[],2,FALSE)</f>
        <v>0.2</v>
      </c>
      <c r="X22"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2"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4" t="s">
        <v>358</v>
      </c>
      <c r="AA22" s="41" t="s">
        <v>373</v>
      </c>
      <c r="AB22" s="227"/>
      <c r="AC22" s="213"/>
      <c r="AD22" s="213"/>
      <c r="AE22" s="213"/>
      <c r="AF22" s="222"/>
      <c r="AG22" s="222"/>
      <c r="AH22" s="222"/>
      <c r="AI22" s="222"/>
      <c r="AJ22" s="228"/>
      <c r="AK22"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24" t="e">
        <f>(1 - ((1 - VLOOKUP(Table4[[#This Row],[ConfidentialityP]],'Reference - CVSSv3.0'!$B$15:$C$17,2,FALSE)) * (1 - VLOOKUP(Table4[[#This Row],[IntegrityP]],'Reference - CVSSv3.0'!$B$15:$C$17,2,FALSE)) *  (1 - VLOOKUP(Table4[[#This Row],[AvailabilityP]],'Reference - CVSSv3.0'!$B$15:$C$17,2,FALSE))))</f>
        <v>#N/A</v>
      </c>
      <c r="AM22" s="224" t="e">
        <f>IF(Table4[[#This Row],[ScopeP]]="Unchanged",6.42*Table4[[#This Row],[ISC BaseP]],IF(Table4[[#This Row],[ScopeP]]="Changed",7.52*(Table4[[#This Row],[ISC BaseP]] - 0.029) - 3.25 * POWER(Table4[[#This Row],[ISC BaseP]] - 0.02,15),NA()))</f>
        <v>#N/A</v>
      </c>
      <c r="AN22"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3"/>
    </row>
    <row r="23" spans="1:43" ht="71.25">
      <c r="A23" s="230">
        <v>19</v>
      </c>
      <c r="B23" s="231" t="s">
        <v>310</v>
      </c>
      <c r="C23" s="232" t="str">
        <f>IF(VLOOKUP(Table4[[#This Row],[T ID]],Table5[#All],5,FALSE)="No","Not in scope",VLOOKUP(Table4[[#This Row],[T ID]],Table5[#All],2,FALSE))</f>
        <v>Unavailability of uploading to Blob storage</v>
      </c>
      <c r="D23" s="231" t="s">
        <v>287</v>
      </c>
      <c r="E23" s="232" t="str">
        <f>IF(VLOOKUP(Table4[[#This Row],[V ID]],Vulnerabilities[#All],3,FALSE)="No","Not in scope",VLOOKUP(Table4[[#This Row],[V ID]],Vulnerabilities[#All],2,FALSE))</f>
        <v>Exhaustion of the confined storage limit</v>
      </c>
      <c r="F23" s="233" t="s">
        <v>22</v>
      </c>
      <c r="G23" s="232" t="str">
        <f>VLOOKUP(Table4[[#This Row],[A ID]],Assets[#All],3,FALSE)</f>
        <v>Cloud interface &amp; Storage</v>
      </c>
      <c r="H23" s="244" t="s">
        <v>314</v>
      </c>
      <c r="I23" s="231"/>
      <c r="J23" s="234" t="s">
        <v>114</v>
      </c>
      <c r="K23" s="234" t="s">
        <v>114</v>
      </c>
      <c r="L23" s="234" t="s">
        <v>119</v>
      </c>
      <c r="M23" s="235" t="s">
        <v>117</v>
      </c>
      <c r="N23" s="222" t="s">
        <v>112</v>
      </c>
      <c r="O23" s="222" t="s">
        <v>112</v>
      </c>
      <c r="P23" s="222" t="s">
        <v>114</v>
      </c>
      <c r="Q23" s="222" t="s">
        <v>115</v>
      </c>
      <c r="R23"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37">
        <f>(1 - ((1 - VLOOKUP(Table4[[#This Row],[Confidentiality]],'Reference - CVSSv3.0'!$B$15:$C$17,2,FALSE)) * (1 - VLOOKUP(Table4[[#This Row],[Integrity]],'Reference - CVSSv3.0'!$B$15:$C$17,2,FALSE)) *  (1 - VLOOKUP(Table4[[#This Row],[Availability]],'Reference - CVSSv3.0'!$B$15:$C$17,2,FALSE))))</f>
        <v>0.56000000000000005</v>
      </c>
      <c r="T23" s="237">
        <f>IF(Table4[[#This Row],[Scope]]="Unchanged",6.42*Table4[[#This Row],[ISC Base]],IF(Table4[[#This Row],[Scope]]="Changed",7.52*(Table4[[#This Row],[ISC Base]] - 0.029) - 3.25 * POWER(Table4[[#This Row],[ISC Base]] - 0.02,15),NA()))</f>
        <v>3.5952000000000002</v>
      </c>
      <c r="U23" s="237">
        <f>IF(Table4[[#This Row],[Impact Sub Score]]&lt;=0,0,IF(Table4[[#This Row],[Scope]]="Unchanged",ROUNDUP(MIN((Table4[[#This Row],[Impact Sub Score]]+Table4[[#This Row],[Exploitability Sub Score]]),10),1),IF(Table4[[#This Row],[Scope]]="Changed",ROUNDUP(MIN((1.08*(Table4[[#This Row],[Impact Sub Score]]+Table4[[#This Row],[Exploitability Sub Score]])),10),1),NA())))</f>
        <v>5.5</v>
      </c>
      <c r="V23" s="225" t="s">
        <v>112</v>
      </c>
      <c r="W23" s="237">
        <f>VLOOKUP(Table4[[#This Row],[Threat Event Initiation]],NIST_Scale_LOAI[],2,FALSE)</f>
        <v>0.2</v>
      </c>
      <c r="X23"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3"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44" t="s">
        <v>354</v>
      </c>
      <c r="AA23" s="41" t="s">
        <v>364</v>
      </c>
      <c r="AB23" s="240"/>
      <c r="AC23" s="231"/>
      <c r="AD23" s="231"/>
      <c r="AE23" s="231"/>
      <c r="AF23" s="235"/>
      <c r="AG23" s="235"/>
      <c r="AH23" s="235"/>
      <c r="AI23" s="235"/>
      <c r="AJ23" s="241"/>
      <c r="AK23"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37" t="e">
        <f>(1 - ((1 - VLOOKUP(Table4[[#This Row],[ConfidentialityP]],'Reference - CVSSv3.0'!$B$15:$C$17,2,FALSE)) * (1 - VLOOKUP(Table4[[#This Row],[IntegrityP]],'Reference - CVSSv3.0'!$B$15:$C$17,2,FALSE)) *  (1 - VLOOKUP(Table4[[#This Row],[AvailabilityP]],'Reference - CVSSv3.0'!$B$15:$C$17,2,FALSE))))</f>
        <v>#N/A</v>
      </c>
      <c r="AM23" s="237" t="e">
        <f>IF(Table4[[#This Row],[ScopeP]]="Unchanged",6.42*Table4[[#This Row],[ISC BaseP]],IF(Table4[[#This Row],[ScopeP]]="Changed",7.52*(Table4[[#This Row],[ISC BaseP]] - 0.029) - 3.25 * POWER(Table4[[#This Row],[ISC BaseP]] - 0.02,15),NA()))</f>
        <v>#N/A</v>
      </c>
      <c r="AN23"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31"/>
    </row>
    <row r="24" spans="1:43" ht="85.5">
      <c r="A24" s="230">
        <v>20</v>
      </c>
      <c r="B24" s="231" t="s">
        <v>342</v>
      </c>
      <c r="C24" s="232" t="str">
        <f>IF(VLOOKUP(Table4[[#This Row],[T ID]],Table5[#All],5,FALSE)="No","Not in scope",VLOOKUP(Table4[[#This Row],[T ID]],Table5[#All],2,FALSE))</f>
        <v>Reveal/exposure of sensitive information (Stryker IP data)</v>
      </c>
      <c r="D24" s="231" t="s">
        <v>340</v>
      </c>
      <c r="E24" s="232" t="str">
        <f>IF(VLOOKUP(Table4[[#This Row],[V ID]],Vulnerabilities[#All],3,FALSE)="No","Not in scope",VLOOKUP(Table4[[#This Row],[V ID]],Vulnerabilities[#All],2,FALSE))</f>
        <v>Open to download (All stryker users) without restriction</v>
      </c>
      <c r="F24" s="233" t="s">
        <v>337</v>
      </c>
      <c r="G24" s="232" t="str">
        <f>VLOOKUP(Table4[[#This Row],[A ID]],Assets[#All],3,FALSE)</f>
        <v>Stryker App store</v>
      </c>
      <c r="H24" s="244" t="s">
        <v>344</v>
      </c>
      <c r="I24" s="231"/>
      <c r="J24" s="234" t="s">
        <v>119</v>
      </c>
      <c r="K24" s="234" t="s">
        <v>114</v>
      </c>
      <c r="L24" s="234" t="s">
        <v>114</v>
      </c>
      <c r="M24" s="235" t="s">
        <v>117</v>
      </c>
      <c r="N24" s="235" t="s">
        <v>112</v>
      </c>
      <c r="O24" s="235" t="s">
        <v>112</v>
      </c>
      <c r="P24" s="235" t="s">
        <v>114</v>
      </c>
      <c r="Q24" s="235" t="s">
        <v>115</v>
      </c>
      <c r="R24"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4" s="237">
        <f>(1 - ((1 - VLOOKUP(Table4[[#This Row],[Confidentiality]],'Reference - CVSSv3.0'!$B$15:$C$17,2,FALSE)) * (1 - VLOOKUP(Table4[[#This Row],[Integrity]],'Reference - CVSSv3.0'!$B$15:$C$17,2,FALSE)) *  (1 - VLOOKUP(Table4[[#This Row],[Availability]],'Reference - CVSSv3.0'!$B$15:$C$17,2,FALSE))))</f>
        <v>0.56000000000000005</v>
      </c>
      <c r="T24" s="237">
        <f>IF(Table4[[#This Row],[Scope]]="Unchanged",6.42*Table4[[#This Row],[ISC Base]],IF(Table4[[#This Row],[Scope]]="Changed",7.52*(Table4[[#This Row],[ISC Base]] - 0.029) - 3.25 * POWER(Table4[[#This Row],[ISC Base]] - 0.02,15),NA()))</f>
        <v>3.5952000000000002</v>
      </c>
      <c r="U24" s="237">
        <f>IF(Table4[[#This Row],[Impact Sub Score]]&lt;=0,0,IF(Table4[[#This Row],[Scope]]="Unchanged",ROUNDUP(MIN((Table4[[#This Row],[Impact Sub Score]]+Table4[[#This Row],[Exploitability Sub Score]]),10),1),IF(Table4[[#This Row],[Scope]]="Changed",ROUNDUP(MIN((1.08*(Table4[[#This Row],[Impact Sub Score]]+Table4[[#This Row],[Exploitability Sub Score]])),10),1),NA())))</f>
        <v>5.5</v>
      </c>
      <c r="V24" s="238" t="s">
        <v>112</v>
      </c>
      <c r="W24" s="237">
        <f>VLOOKUP(Table4[[#This Row],[Threat Event Initiation]],NIST_Scale_LOAI[],2,FALSE)</f>
        <v>0.2</v>
      </c>
      <c r="X24"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4"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44" t="s">
        <v>360</v>
      </c>
      <c r="AA24" s="178" t="s">
        <v>371</v>
      </c>
      <c r="AB24" s="240"/>
      <c r="AC24" s="231"/>
      <c r="AD24" s="231"/>
      <c r="AE24" s="231"/>
      <c r="AF24" s="235"/>
      <c r="AG24" s="235"/>
      <c r="AH24" s="235"/>
      <c r="AI24" s="235"/>
      <c r="AJ24" s="241"/>
      <c r="AK24"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37" t="e">
        <f>(1 - ((1 - VLOOKUP(Table4[[#This Row],[ConfidentialityP]],'Reference - CVSSv3.0'!$B$15:$C$17,2,FALSE)) * (1 - VLOOKUP(Table4[[#This Row],[IntegrityP]],'Reference - CVSSv3.0'!$B$15:$C$17,2,FALSE)) *  (1 - VLOOKUP(Table4[[#This Row],[AvailabilityP]],'Reference - CVSSv3.0'!$B$15:$C$17,2,FALSE))))</f>
        <v>#N/A</v>
      </c>
      <c r="AM24" s="237" t="e">
        <f>IF(Table4[[#This Row],[ScopeP]]="Unchanged",6.42*Table4[[#This Row],[ISC BaseP]],IF(Table4[[#This Row],[ScopeP]]="Changed",7.52*(Table4[[#This Row],[ISC BaseP]] - 0.029) - 3.25 * POWER(Table4[[#This Row],[ISC BaseP]] - 0.02,15),NA()))</f>
        <v>#N/A</v>
      </c>
      <c r="AN24"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31"/>
    </row>
    <row r="28" spans="1:43">
      <c r="Z28" s="181"/>
    </row>
    <row r="29" spans="1:43">
      <c r="Z29" s="181"/>
    </row>
    <row r="30" spans="1:43">
      <c r="Z30" s="182"/>
    </row>
  </sheetData>
  <mergeCells count="4">
    <mergeCell ref="AC3:AQ3"/>
    <mergeCell ref="Z3:AB3"/>
    <mergeCell ref="F3:I3"/>
    <mergeCell ref="J3:Y3"/>
  </mergeCells>
  <phoneticPr fontId="44" type="noConversion"/>
  <conditionalFormatting sqref="Y5:Y24 AP5:AP24">
    <cfRule type="cellIs" dxfId="152" priority="26" operator="equal">
      <formula>"Critical"</formula>
    </cfRule>
    <cfRule type="cellIs" dxfId="151" priority="27" operator="equal">
      <formula>"HIGH"</formula>
    </cfRule>
    <cfRule type="cellIs" dxfId="150" priority="28" operator="equal">
      <formula>"Medium"</formula>
    </cfRule>
    <cfRule type="cellIs" dxfId="149" priority="29" operator="equal">
      <formula>"None"</formula>
    </cfRule>
    <cfRule type="cellIs" dxfId="148"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dataValidation allowBlank="1" showInputMessage="1" showErrorMessage="1" prompt="This metric measures the impact to integrity of a successfully exploited vulnerability. Integrity refers to the trustworthiness and veracity of information." sqref="K4 AD4"/>
    <dataValidation allowBlank="1" showInputMessage="1" showErrorMessage="1" prompt="This metric measures the impact to the confidentiality of the information resources managed by a software component due to a successfully exploited vulnerability. " sqref="J4 AC4"/>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dataValidation allowBlank="1" showInputMessage="1" showErrorMessage="1" prompt="This metric describes the conditions beyond the attacker's control that must exist in order to exploit the vulnerability. The metric is largest for the least complex attacks." sqref="N4 AG4"/>
    <dataValidation allowBlank="1" showInputMessage="1" showErrorMessage="1" prompt="This metric describes the level of privileges an attacker must possess before successfully exploiting the vulnerability. This metric is largest if no privileges are required." sqref="O4 AH4"/>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dataValidation allowBlank="1" showInputMessage="1" showErrorMessage="1" prompt="A scope change is the ability for a vulnerability in one software component to impact resources beyond its means, or privilege." sqref="Q4 AJ4"/>
    <dataValidation allowBlank="1" showInputMessage="1" showErrorMessage="1" prompt="Threat event initiation is assessed by taking into consideration the characteristics of the threat sources of concern including capability, intent, and targeting." sqref="V4"/>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14:formula1>
            <xm:f>'Reference - CVSSv3.0'!$B$21:$B$23</xm:f>
          </x14:formula1>
          <xm:sqref>Q5:Q24 AJ5:AJ24</xm:sqref>
        </x14:dataValidation>
        <x14:dataValidation type="list" allowBlank="1" showInputMessage="1" showErrorMessage="1">
          <x14:formula1>
            <xm:f>'Reference - CVSSv3.0'!$B$15:$B$18</xm:f>
          </x14:formula1>
          <xm:sqref>AC5:AE24 J5:L24</xm:sqref>
        </x14:dataValidation>
        <x14:dataValidation type="list" allowBlank="1" showInputMessage="1" showErrorMessage="1">
          <x14:formula1>
            <xm:f>'Reference - CVSSv3.0'!$B$6:$B$10</xm:f>
          </x14:formula1>
          <xm:sqref>M5:M24 AF5:AF24</xm:sqref>
        </x14:dataValidation>
        <x14:dataValidation type="list" allowBlank="1" showInputMessage="1" showErrorMessage="1">
          <x14:formula1>
            <xm:f>'Reference - CVSSv3.0'!$E$6:$E$8</xm:f>
          </x14:formula1>
          <xm:sqref>N5:N24 AG5:AG24</xm:sqref>
        </x14:dataValidation>
        <x14:dataValidation type="list" allowBlank="1" showInputMessage="1" showErrorMessage="1">
          <x14:formula1>
            <xm:f>'Reference - CVSSv3.0'!$H$6:$H$9</xm:f>
          </x14:formula1>
          <xm:sqref>O5:O24 AH5:AH24</xm:sqref>
        </x14:dataValidation>
        <x14:dataValidation type="list" allowBlank="1" showInputMessage="1" showErrorMessage="1">
          <x14:formula1>
            <xm:f>'Reference - CVSSv3.0'!$L$6:$L$8</xm:f>
          </x14:formula1>
          <xm:sqref>P5:P24 AI5:AI24</xm:sqref>
        </x14:dataValidation>
        <x14:dataValidation type="list" allowBlank="1" showInputMessage="1" showErrorMessage="1">
          <x14:formula1>
            <xm:f>'Reference - CVSSv3.0'!$Q$5:$Q$10</xm:f>
          </x14:formula1>
          <xm:sqref>V5:V24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zoomScale="70" zoomScaleNormal="70" workbookViewId="0">
      <selection activeCell="I9" sqref="I9"/>
    </sheetView>
  </sheetViews>
  <sheetFormatPr defaultColWidth="9.140625" defaultRowHeight="15"/>
  <cols>
    <col min="1" max="1" width="9.140625" style="23" customWidth="1"/>
    <col min="2" max="2" width="4.85546875" style="23" customWidth="1"/>
    <col min="3" max="3" width="25.5703125" style="24" customWidth="1"/>
    <col min="4" max="4" width="5" style="23" customWidth="1"/>
    <col min="5" max="5" width="22" style="23" customWidth="1"/>
    <col min="6" max="6" width="6.28515625" style="23" customWidth="1"/>
    <col min="7" max="7" width="28.7109375" style="23" customWidth="1"/>
    <col min="8" max="8" width="38" style="23" customWidth="1"/>
    <col min="9" max="9" width="25.42578125" style="23" customWidth="1"/>
    <col min="10" max="10" width="15" style="23" customWidth="1"/>
    <col min="11" max="11" width="35.7109375" style="23" customWidth="1"/>
    <col min="12" max="12" width="15" style="23" customWidth="1"/>
    <col min="13" max="13" width="36.85546875" style="23" customWidth="1"/>
    <col min="14" max="16384" width="9.140625" style="23"/>
  </cols>
  <sheetData>
    <row r="1" spans="1:14" s="42" customFormat="1">
      <c r="A1" s="27" t="s">
        <v>144</v>
      </c>
      <c r="B1" s="62"/>
      <c r="C1" s="62"/>
      <c r="D1" s="62"/>
      <c r="E1" s="62"/>
      <c r="F1" s="62"/>
      <c r="G1" s="62"/>
      <c r="H1" s="62"/>
      <c r="I1" s="62"/>
      <c r="J1" s="62"/>
      <c r="K1" s="62"/>
      <c r="L1" s="62"/>
      <c r="M1" s="62"/>
      <c r="N1"/>
    </row>
    <row r="2" spans="1:14" s="42" customFormat="1">
      <c r="A2" s="27"/>
      <c r="B2" s="62"/>
      <c r="C2" s="62"/>
      <c r="D2" s="62"/>
      <c r="E2" s="62"/>
      <c r="F2" s="62"/>
      <c r="G2" s="62"/>
      <c r="H2" s="62"/>
      <c r="I2" s="62"/>
      <c r="J2" s="62"/>
      <c r="K2" s="62"/>
      <c r="L2" s="62"/>
      <c r="M2" s="62"/>
      <c r="N2"/>
    </row>
    <row r="3" spans="1:14" s="42" customFormat="1">
      <c r="A3" s="62" t="s">
        <v>64</v>
      </c>
      <c r="B3" s="62"/>
      <c r="C3" s="62"/>
      <c r="D3" s="62"/>
      <c r="E3" s="62"/>
      <c r="F3" s="62"/>
      <c r="G3" s="62"/>
      <c r="H3" s="62"/>
      <c r="I3" s="62"/>
      <c r="J3" s="62"/>
      <c r="K3" s="62"/>
      <c r="L3" s="62"/>
      <c r="M3" s="62"/>
      <c r="N3"/>
    </row>
    <row r="4" spans="1:14" s="42" customFormat="1" ht="28.5">
      <c r="A4" s="153" t="s">
        <v>69</v>
      </c>
      <c r="B4" s="154" t="s">
        <v>70</v>
      </c>
      <c r="C4" s="155" t="s">
        <v>71</v>
      </c>
      <c r="D4" s="156" t="s">
        <v>72</v>
      </c>
      <c r="E4" s="157" t="s">
        <v>73</v>
      </c>
      <c r="F4" s="158" t="s">
        <v>74</v>
      </c>
      <c r="G4" s="159" t="s">
        <v>145</v>
      </c>
      <c r="H4" s="159" t="s">
        <v>75</v>
      </c>
      <c r="I4" s="160" t="s">
        <v>76</v>
      </c>
      <c r="J4" s="161" t="s">
        <v>146</v>
      </c>
      <c r="K4" s="162" t="s">
        <v>93</v>
      </c>
      <c r="L4" s="163" t="s">
        <v>147</v>
      </c>
      <c r="M4" s="164" t="s">
        <v>110</v>
      </c>
      <c r="N4"/>
    </row>
    <row r="5" spans="1:14" s="42" customFormat="1" ht="99.75">
      <c r="A5" s="58">
        <f>Table4[[#This Row],[
ID '#]]</f>
        <v>1</v>
      </c>
      <c r="B5" s="46" t="str">
        <f>IF(Table4[[#This Row],[A ID]]&gt;0,Table4[[#This Row],[T ID]],"")</f>
        <v>T01</v>
      </c>
      <c r="C5" s="178" t="str">
        <f>Table4[[#This Row],[Threat Event(s)]]</f>
        <v>Not in scope</v>
      </c>
      <c r="D5" s="46" t="str">
        <f>IF(Table4[[#This Row],[V ID]]&gt;0,Table4[[#This Row],[V ID]],"")</f>
        <v>V15</v>
      </c>
      <c r="E5" s="178" t="str">
        <f>Table4[[#This Row],[Vulnerabilities]]</f>
        <v xml:space="preserve">3rd Party Component Dependency &amp; Vulnerabilities in Application  </v>
      </c>
      <c r="F5" s="48" t="str">
        <f>IF(Table4[[#This Row],[A ID]]&gt;0,Table4[[#This Row],[A ID]],"")</f>
        <v>A05</v>
      </c>
      <c r="G5" s="178" t="str">
        <f>Table4[[#This Row],[Asset]]</f>
        <v>Knee balancer supporting software components (binaries, frameworks, 3rd party components, etc..)</v>
      </c>
      <c r="H5" s="178"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5" s="48" t="str">
        <f>IF(Table4[[#This Row],[Safety Impact 
(Risk ID'# or N/A)]]&gt;0,Table4[[#This Row],[Safety Impact 
(Risk ID'# or N/A)]],"")</f>
        <v/>
      </c>
      <c r="J5" s="77" t="str">
        <f>Table4[[#This Row],[Security 
Risk 
Level]]</f>
        <v>LOW</v>
      </c>
      <c r="K5" s="178" t="str">
        <f>IF(Table4[[#This Row],[Security Risk Control Measures]]&gt;0,Table4[[#This Row],[Security Risk Control Measures]],"")</f>
        <v>Not in scope</v>
      </c>
      <c r="L5" s="77" t="str">
        <f>Table4[[#This Row],[Security Risk LevelP]]</f>
        <v/>
      </c>
      <c r="M5" s="48" t="str">
        <f>IF(Table4[[#This Row],[Residual Security Risk Acceptability Justification]]&gt;0,Table4[[#This Row],[Residual Security Risk Acceptability Justification]],"")</f>
        <v/>
      </c>
      <c r="N5"/>
    </row>
    <row r="6" spans="1:14" s="42" customFormat="1" ht="71.25">
      <c r="A6" s="57">
        <f>Table4[[#This Row],[
ID '#]]</f>
        <v>2</v>
      </c>
      <c r="B6" s="46" t="str">
        <f>IF(Table4[[#This Row],[A ID]]&gt;0,Table4[[#This Row],[T ID]],"")</f>
        <v>T01</v>
      </c>
      <c r="C6" s="178" t="str">
        <f>Table4[[#This Row],[Threat Event(s)]]</f>
        <v>Not in scope</v>
      </c>
      <c r="D6" s="48" t="str">
        <f>IF(Table4[[#This Row],[V ID]]&gt;0,Table4[[#This Row],[V ID]],"")</f>
        <v>V31</v>
      </c>
      <c r="E6" s="178" t="str">
        <f>Table4[[#This Row],[Vulnerabilities]]</f>
        <v>Not in scope</v>
      </c>
      <c r="F6" s="48" t="str">
        <f>IF(Table4[[#This Row],[A ID]]&gt;0,Table4[[#This Row],[A ID]],"")</f>
        <v>A01</v>
      </c>
      <c r="G6" s="178" t="str">
        <f>Table4[[#This Row],[Asset]]</f>
        <v>Mobile Device (iPad, iPhone V8-13)</v>
      </c>
      <c r="H6" s="178" t="str">
        <f>IF(Table4[[#This Row],[Impact Description]]&gt;0,Table4[[#This Row],[Impact Description]],"")</f>
        <v>As Knee Balancer is running on a mobile device, it is important to secure the wireless interfaces on the host such as BT, Wifi. Without restrictions any device can be connected with the host</v>
      </c>
      <c r="I6" s="48" t="str">
        <f>IF(Table4[[#This Row],[Safety Impact 
(Risk ID'# or N/A)]]&gt;0,Table4[[#This Row],[Safety Impact 
(Risk ID'# or N/A)]],"")</f>
        <v/>
      </c>
      <c r="J6" s="77" t="str">
        <f>Table4[[#This Row],[Security 
Risk 
Level]]</f>
        <v>LOW</v>
      </c>
      <c r="K6" s="178" t="str">
        <f>IF(Table4[[#This Row],[Security Risk Control Measures]]&gt;0,Table4[[#This Row],[Security Risk Control Measures]],"")</f>
        <v>Not in scope</v>
      </c>
      <c r="L6" s="77" t="str">
        <f>Table4[[#This Row],[Security Risk LevelP]]</f>
        <v/>
      </c>
      <c r="M6" s="48" t="str">
        <f>IF(Table4[[#This Row],[Residual Security Risk Acceptability Justification]]&gt;0,Table4[[#This Row],[Residual Security Risk Acceptability Justification]],"")</f>
        <v/>
      </c>
      <c r="N6"/>
    </row>
    <row r="7" spans="1:14" s="42" customFormat="1" ht="71.25">
      <c r="A7" s="57">
        <f>Table4[[#This Row],[
ID '#]]</f>
        <v>3</v>
      </c>
      <c r="B7" s="46" t="str">
        <f>IF(Table4[[#This Row],[A ID]]&gt;0,Table4[[#This Row],[T ID]],"")</f>
        <v>T03</v>
      </c>
      <c r="C7" s="178" t="str">
        <f>Table4[[#This Row],[Threat Event(s)]]</f>
        <v>Not in scope</v>
      </c>
      <c r="D7" s="48" t="str">
        <f>IF(Table4[[#This Row],[V ID]]&gt;0,Table4[[#This Row],[V ID]],"")</f>
        <v>V17</v>
      </c>
      <c r="E7" s="178" t="str">
        <f>Table4[[#This Row],[Vulnerabilities]]</f>
        <v>No Static Analysis for developed code &amp; SCA for SOUP in Application</v>
      </c>
      <c r="F7" s="48" t="str">
        <f>IF(Table4[[#This Row],[A ID]]&gt;0,Table4[[#This Row],[A ID]],"")</f>
        <v>A03</v>
      </c>
      <c r="G7" s="178" t="str">
        <f>Table4[[#This Row],[Asset]]</f>
        <v>Knee balancer application</v>
      </c>
      <c r="H7" s="178" t="str">
        <f>IF(Table4[[#This Row],[Impact Description]]&gt;0,Table4[[#This Row],[Impact Description]],"")</f>
        <v>Open/Unrestricted Network interfaces are easy to exploit. Secure and hardened network elements protect the system from attacks. Code validation through static analysis required</v>
      </c>
      <c r="I7" s="48" t="str">
        <f>IF(Table4[[#This Row],[Safety Impact 
(Risk ID'# or N/A)]]&gt;0,Table4[[#This Row],[Safety Impact 
(Risk ID'# or N/A)]],"")</f>
        <v/>
      </c>
      <c r="J7" s="77" t="str">
        <f>Table4[[#This Row],[Security 
Risk 
Level]]</f>
        <v>LOW</v>
      </c>
      <c r="K7" s="48" t="str">
        <f>IF(Table4[[#This Row],[Security Risk Control Measures]]&gt;0,Table4[[#This Row],[Security Risk Control Measures]],"")</f>
        <v>Not in scope</v>
      </c>
      <c r="L7" s="77" t="str">
        <f>Table4[[#This Row],[Security Risk LevelP]]</f>
        <v/>
      </c>
      <c r="M7" s="48" t="str">
        <f>IF(Table4[[#This Row],[Residual Security Risk Acceptability Justification]]&gt;0,Table4[[#This Row],[Residual Security Risk Acceptability Justification]],"")</f>
        <v/>
      </c>
      <c r="N7"/>
    </row>
    <row r="8" spans="1:14" s="42" customFormat="1" ht="99.75">
      <c r="A8" s="57">
        <f>Table4[[#This Row],[
ID '#]]</f>
        <v>4</v>
      </c>
      <c r="B8" s="46" t="str">
        <f>IF(Table4[[#This Row],[A ID]]&gt;0,Table4[[#This Row],[T ID]],"")</f>
        <v>T04</v>
      </c>
      <c r="C8" s="178" t="str">
        <f>Table4[[#This Row],[Threat Event(s)]]</f>
        <v>Unauthorized modifications to Knee Balancer Software</v>
      </c>
      <c r="D8" s="48" t="str">
        <f>IF(Table4[[#This Row],[V ID]]&gt;0,Table4[[#This Row],[V ID]],"")</f>
        <v>V12</v>
      </c>
      <c r="E8" s="178" t="str">
        <f>Table4[[#This Row],[Vulnerabilities]]</f>
        <v>Unsafely compiled Application Binaries in Application</v>
      </c>
      <c r="F8" s="48" t="str">
        <f>IF(Table4[[#This Row],[A ID]]&gt;0,Table4[[#This Row],[A ID]],"")</f>
        <v>A05</v>
      </c>
      <c r="G8" s="178" t="str">
        <f>Table4[[#This Row],[Asset]]</f>
        <v>Knee balancer supporting software components (binaries, frameworks, 3rd party components, etc..)</v>
      </c>
      <c r="H8" s="178" t="str">
        <f>IF(Table4[[#This Row],[Impact Description]]&gt;0,Table4[[#This Row],[Impact Description]],"")</f>
        <v>If the software components are not protected properly/exposed for access inside the mobile host with unrestricted/unauthorized access, then the modification/tampering of the software can lead to the unavailability of the application</v>
      </c>
      <c r="I8" s="48" t="str">
        <f>IF(Table4[[#This Row],[Safety Impact 
(Risk ID'# or N/A)]]&gt;0,Table4[[#This Row],[Safety Impact 
(Risk ID'# or N/A)]],"")</f>
        <v/>
      </c>
      <c r="J8" s="77" t="str">
        <f>Table4[[#This Row],[Security 
Risk 
Level]]</f>
        <v>MEDIUM</v>
      </c>
      <c r="K8" s="48" t="str">
        <f>IF(Table4[[#This Row],[Security Risk Control Measures]]&gt;0,Table4[[#This Row],[Security Risk Control Measures]],"")</f>
        <v xml:space="preserve">1. In the build configuration, enable binary protection with safe compilation by ensuring stack protection, PIE support, Automatic Reference Counting (ARC) and setting byte-code minification.
2. Reference to the binary protection followed in the compilation process with design document.
</v>
      </c>
      <c r="L8" s="77" t="str">
        <f>Table4[[#This Row],[Security Risk LevelP]]</f>
        <v/>
      </c>
      <c r="M8" s="48" t="str">
        <f>IF(Table4[[#This Row],[Residual Security Risk Acceptability Justification]]&gt;0,Table4[[#This Row],[Residual Security Risk Acceptability Justification]],"")</f>
        <v/>
      </c>
      <c r="N8"/>
    </row>
    <row r="9" spans="1:14" s="42" customFormat="1" ht="99.75">
      <c r="A9" s="57">
        <f>Table4[[#This Row],[
ID '#]]</f>
        <v>5</v>
      </c>
      <c r="B9" s="46" t="str">
        <f>IF(Table4[[#This Row],[A ID]]&gt;0,Table4[[#This Row],[T ID]],"")</f>
        <v>T04</v>
      </c>
      <c r="C9" s="178" t="str">
        <f>Table4[[#This Row],[Threat Event(s)]]</f>
        <v>Unauthorized modifications to Knee Balancer Software</v>
      </c>
      <c r="D9" s="48" t="str">
        <f>IF(Table4[[#This Row],[V ID]]&gt;0,Table4[[#This Row],[V ID]],"")</f>
        <v>V15</v>
      </c>
      <c r="E9" s="178" t="str">
        <f>Table4[[#This Row],[Vulnerabilities]]</f>
        <v xml:space="preserve">3rd Party Component Dependency &amp; Vulnerabilities in Application  </v>
      </c>
      <c r="F9" s="48" t="str">
        <f>IF(Table4[[#This Row],[A ID]]&gt;0,Table4[[#This Row],[A ID]],"")</f>
        <v>A05</v>
      </c>
      <c r="G9" s="178" t="str">
        <f>Table4[[#This Row],[Asset]]</f>
        <v>Knee balancer supporting software components (binaries, frameworks, 3rd party components, etc..)</v>
      </c>
      <c r="H9" s="178" t="str">
        <f>IF(Table4[[#This Row],[Impact Description]]&gt;0,Table4[[#This Row],[Impact Description]],"")</f>
        <v>If the software components are not protected properly/exposed for access inside the mobile host with unrestricted/unauthorized access, then the modification/tampering of the software can lead to the unavailability of the application</v>
      </c>
      <c r="I9" s="48" t="str">
        <f>IF(Table4[[#This Row],[Safety Impact 
(Risk ID'# or N/A)]]&gt;0,Table4[[#This Row],[Safety Impact 
(Risk ID'# or N/A)]],"")</f>
        <v/>
      </c>
      <c r="J9" s="77" t="str">
        <f>Table4[[#This Row],[Security 
Risk 
Level]]</f>
        <v>MEDIUM</v>
      </c>
      <c r="K9" s="48" t="str">
        <f>IF(Table4[[#This Row],[Security Risk Control Measures]]&gt;0,Table4[[#This Row],[Security Risk Control Measures]],"")</f>
        <v xml:space="preserve">1. The 3rd party components (SOUP items) and dependencies should be identified and listed in the design document.
2. SCA tools (such as blackduck) should be used for evaluating the risk from 3rd party components with security testing.
</v>
      </c>
      <c r="L9" s="142" t="str">
        <f>Table4[[#This Row],[Security Risk LevelP]]</f>
        <v/>
      </c>
      <c r="M9" s="48" t="str">
        <f>IF(Table4[[#This Row],[Residual Security Risk Acceptability Justification]]&gt;0,Table4[[#This Row],[Residual Security Risk Acceptability Justification]],"")</f>
        <v/>
      </c>
      <c r="N9"/>
    </row>
    <row r="10" spans="1:14" s="42" customFormat="1">
      <c r="A10"/>
      <c r="B10"/>
      <c r="C10"/>
      <c r="D10"/>
      <c r="E10"/>
      <c r="F10"/>
      <c r="G10"/>
      <c r="H10"/>
      <c r="I10"/>
      <c r="J10"/>
      <c r="K10"/>
      <c r="L10"/>
      <c r="M10"/>
      <c r="N10"/>
    </row>
    <row r="11" spans="1:14" s="42" customFormat="1">
      <c r="A11" s="23"/>
      <c r="B11" s="23"/>
      <c r="C11" s="24"/>
      <c r="D11" s="23"/>
      <c r="E11" s="23"/>
      <c r="F11" s="23"/>
      <c r="G11" s="23"/>
    </row>
    <row r="12" spans="1:14" s="42" customFormat="1" ht="14.25">
      <c r="A12" s="26" t="s">
        <v>25</v>
      </c>
      <c r="C12" s="52"/>
    </row>
    <row r="13" spans="1:14" s="42" customFormat="1" ht="32.25" customHeight="1">
      <c r="B13" s="252" t="s">
        <v>26</v>
      </c>
      <c r="C13" s="252"/>
      <c r="D13" s="252"/>
      <c r="E13" s="252"/>
      <c r="F13" s="252"/>
      <c r="G13" s="252"/>
      <c r="H13" s="252"/>
    </row>
    <row r="14" spans="1:14" s="42" customFormat="1">
      <c r="A14" s="23"/>
      <c r="B14" s="23"/>
      <c r="C14" s="24"/>
      <c r="D14" s="23"/>
      <c r="E14" s="23"/>
      <c r="F14" s="23"/>
      <c r="G14" s="23"/>
    </row>
    <row r="15" spans="1:14" s="42" customFormat="1">
      <c r="A15" s="23"/>
      <c r="B15" s="23"/>
      <c r="C15" s="24"/>
      <c r="D15" s="23"/>
      <c r="E15" s="23"/>
      <c r="F15" s="23"/>
      <c r="G15" s="23"/>
    </row>
    <row r="16" spans="1:14" s="42" customFormat="1">
      <c r="A16" s="23"/>
      <c r="B16" s="23"/>
      <c r="C16" s="24"/>
      <c r="D16" s="23"/>
      <c r="E16" s="23"/>
      <c r="F16" s="23"/>
      <c r="G16" s="23"/>
    </row>
    <row r="17" spans="1:8" s="42" customFormat="1" ht="32.25" customHeight="1">
      <c r="A17" s="23"/>
      <c r="B17" s="23"/>
      <c r="C17" s="24"/>
      <c r="D17" s="23"/>
      <c r="E17" s="23"/>
      <c r="F17" s="23"/>
      <c r="G17" s="23"/>
      <c r="H17" s="180"/>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0"/>
  <sheetViews>
    <sheetView zoomScaleNormal="100" workbookViewId="0">
      <selection activeCell="D8" sqref="D8"/>
    </sheetView>
  </sheetViews>
  <sheetFormatPr defaultColWidth="9.140625" defaultRowHeight="1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62" customFormat="1" ht="27.75" customHeight="1">
      <c r="B1" s="80" t="s">
        <v>148</v>
      </c>
    </row>
    <row r="2" spans="2:18" s="62" customFormat="1" thickBot="1"/>
    <row r="3" spans="2:18" s="62" customFormat="1" ht="18.75" thickBot="1">
      <c r="B3" s="263" t="s">
        <v>149</v>
      </c>
      <c r="C3" s="264"/>
      <c r="D3" s="264"/>
      <c r="E3" s="264"/>
      <c r="F3" s="264"/>
      <c r="G3" s="264"/>
      <c r="H3" s="264"/>
      <c r="I3" s="264"/>
      <c r="J3" s="264"/>
      <c r="K3" s="264"/>
      <c r="L3" s="264"/>
      <c r="M3" s="264"/>
      <c r="N3" s="265"/>
      <c r="P3" s="263" t="s">
        <v>150</v>
      </c>
      <c r="Q3" s="264"/>
      <c r="R3" s="265"/>
    </row>
    <row r="4" spans="2:18" s="62" customFormat="1" ht="16.5" thickBot="1">
      <c r="B4" s="270" t="s">
        <v>80</v>
      </c>
      <c r="C4" s="271"/>
      <c r="D4" s="272"/>
      <c r="E4" s="270" t="s">
        <v>81</v>
      </c>
      <c r="F4" s="271"/>
      <c r="G4" s="272"/>
      <c r="H4" s="270" t="s">
        <v>151</v>
      </c>
      <c r="I4" s="271"/>
      <c r="J4" s="271"/>
      <c r="K4" s="272"/>
      <c r="L4" s="273" t="s">
        <v>83</v>
      </c>
      <c r="M4" s="274"/>
      <c r="N4" s="275"/>
      <c r="P4" s="81"/>
      <c r="Q4" s="82" t="s">
        <v>152</v>
      </c>
      <c r="R4" s="83" t="s">
        <v>153</v>
      </c>
    </row>
    <row r="5" spans="2:18" s="62" customFormat="1" ht="16.5" thickBot="1">
      <c r="B5" s="84" t="s">
        <v>154</v>
      </c>
      <c r="C5" s="84" t="s">
        <v>155</v>
      </c>
      <c r="D5" s="84" t="s">
        <v>156</v>
      </c>
      <c r="E5" s="84" t="s">
        <v>157</v>
      </c>
      <c r="F5" s="84" t="s">
        <v>155</v>
      </c>
      <c r="G5" s="84" t="s">
        <v>156</v>
      </c>
      <c r="H5" s="84" t="s">
        <v>154</v>
      </c>
      <c r="I5" s="277" t="s">
        <v>155</v>
      </c>
      <c r="J5" s="278"/>
      <c r="K5" s="84" t="s">
        <v>156</v>
      </c>
      <c r="L5" s="84" t="s">
        <v>154</v>
      </c>
      <c r="M5" s="84" t="s">
        <v>155</v>
      </c>
      <c r="N5" s="84" t="s">
        <v>156</v>
      </c>
      <c r="P5" s="85"/>
      <c r="Q5" s="86" t="s">
        <v>158</v>
      </c>
      <c r="R5" s="87">
        <v>0.04</v>
      </c>
    </row>
    <row r="6" spans="2:18" s="62" customFormat="1" ht="15.75">
      <c r="B6" s="88" t="s">
        <v>113</v>
      </c>
      <c r="C6" s="89">
        <v>0.85</v>
      </c>
      <c r="D6" s="90" t="s">
        <v>159</v>
      </c>
      <c r="E6" s="88" t="s">
        <v>112</v>
      </c>
      <c r="F6" s="89">
        <v>0.77</v>
      </c>
      <c r="G6" s="90" t="s">
        <v>160</v>
      </c>
      <c r="H6" s="88" t="s">
        <v>114</v>
      </c>
      <c r="I6" s="91">
        <v>0.85</v>
      </c>
      <c r="J6" s="92">
        <v>0.85</v>
      </c>
      <c r="K6" s="90" t="s">
        <v>159</v>
      </c>
      <c r="L6" s="88" t="s">
        <v>114</v>
      </c>
      <c r="M6" s="93">
        <v>0.85</v>
      </c>
      <c r="N6" s="94" t="s">
        <v>159</v>
      </c>
      <c r="P6" s="85"/>
      <c r="Q6" s="95" t="s">
        <v>112</v>
      </c>
      <c r="R6" s="96">
        <v>0.2</v>
      </c>
    </row>
    <row r="7" spans="2:18" s="62" customFormat="1" ht="15.75">
      <c r="B7" s="88" t="s">
        <v>161</v>
      </c>
      <c r="C7" s="97">
        <v>0.62</v>
      </c>
      <c r="D7" s="90" t="s">
        <v>162</v>
      </c>
      <c r="E7" s="88" t="s">
        <v>119</v>
      </c>
      <c r="F7" s="97">
        <v>0.44</v>
      </c>
      <c r="G7" s="90" t="s">
        <v>163</v>
      </c>
      <c r="H7" s="88" t="s">
        <v>112</v>
      </c>
      <c r="I7" s="98">
        <v>0.62</v>
      </c>
      <c r="J7" s="92">
        <v>0.68</v>
      </c>
      <c r="K7" s="90" t="s">
        <v>160</v>
      </c>
      <c r="L7" s="88" t="s">
        <v>120</v>
      </c>
      <c r="M7" s="99">
        <v>0.62</v>
      </c>
      <c r="N7" s="94" t="s">
        <v>164</v>
      </c>
      <c r="P7" s="85"/>
      <c r="Q7" s="100" t="s">
        <v>125</v>
      </c>
      <c r="R7" s="96">
        <v>0.5</v>
      </c>
    </row>
    <row r="8" spans="2:18" s="62" customFormat="1" ht="15.75">
      <c r="B8" s="88" t="s">
        <v>117</v>
      </c>
      <c r="C8" s="97">
        <v>0.55000000000000004</v>
      </c>
      <c r="D8" s="90" t="s">
        <v>160</v>
      </c>
      <c r="E8" s="88"/>
      <c r="F8" s="97"/>
      <c r="G8" s="90"/>
      <c r="H8" s="88" t="s">
        <v>119</v>
      </c>
      <c r="I8" s="98">
        <v>0.27</v>
      </c>
      <c r="J8" s="92">
        <v>0.5</v>
      </c>
      <c r="K8" s="90" t="s">
        <v>163</v>
      </c>
      <c r="L8" s="88"/>
      <c r="M8" s="92"/>
      <c r="N8" s="94"/>
      <c r="P8" s="85"/>
      <c r="Q8" s="101" t="s">
        <v>119</v>
      </c>
      <c r="R8" s="96">
        <v>0.8</v>
      </c>
    </row>
    <row r="9" spans="2:18" s="62" customFormat="1" ht="15.75">
      <c r="B9" s="88" t="s">
        <v>121</v>
      </c>
      <c r="C9" s="97">
        <v>0.2</v>
      </c>
      <c r="D9" s="94" t="s">
        <v>165</v>
      </c>
      <c r="E9" s="117"/>
      <c r="G9" s="166"/>
      <c r="H9" s="88"/>
      <c r="I9" s="98"/>
      <c r="J9" s="92"/>
      <c r="K9" s="94"/>
      <c r="L9" s="88"/>
      <c r="M9" s="92"/>
      <c r="N9" s="94"/>
      <c r="P9" s="85"/>
      <c r="Q9" s="111" t="s">
        <v>166</v>
      </c>
      <c r="R9" s="96">
        <v>1</v>
      </c>
    </row>
    <row r="10" spans="2:18" s="62" customFormat="1" ht="16.5" thickBot="1">
      <c r="B10" s="102"/>
      <c r="C10" s="103"/>
      <c r="D10" s="104"/>
      <c r="E10" s="105"/>
      <c r="F10" s="106"/>
      <c r="G10" s="107"/>
      <c r="H10" s="102"/>
      <c r="I10" s="108"/>
      <c r="J10" s="109"/>
      <c r="K10" s="104"/>
      <c r="L10" s="102"/>
      <c r="M10" s="109"/>
      <c r="N10" s="104"/>
      <c r="P10" s="110"/>
      <c r="R10" s="96"/>
    </row>
    <row r="11" spans="2:18" s="62" customFormat="1" thickBot="1"/>
    <row r="12" spans="2:18" s="62" customFormat="1" ht="18.75" thickBot="1">
      <c r="B12" s="263" t="s">
        <v>167</v>
      </c>
      <c r="C12" s="264"/>
      <c r="D12" s="264"/>
      <c r="E12" s="264"/>
      <c r="F12" s="264"/>
      <c r="G12" s="264"/>
      <c r="H12" s="264"/>
      <c r="I12" s="264"/>
      <c r="J12" s="264"/>
      <c r="K12" s="264"/>
      <c r="L12" s="264"/>
      <c r="M12" s="264"/>
      <c r="N12" s="265"/>
      <c r="P12" s="145" t="s">
        <v>168</v>
      </c>
      <c r="Q12" s="113" t="s">
        <v>33</v>
      </c>
    </row>
    <row r="13" spans="2:18" s="62" customFormat="1" ht="16.5" thickBot="1">
      <c r="B13" s="266" t="s">
        <v>169</v>
      </c>
      <c r="C13" s="267"/>
      <c r="D13" s="267"/>
      <c r="E13" s="267"/>
      <c r="F13" s="267"/>
      <c r="G13" s="268"/>
      <c r="H13" s="267"/>
      <c r="I13" s="267"/>
      <c r="J13" s="267"/>
      <c r="K13" s="267"/>
      <c r="L13" s="267"/>
      <c r="M13" s="267"/>
      <c r="N13" s="269"/>
      <c r="P13" s="88"/>
      <c r="Q13" s="92" t="s">
        <v>54</v>
      </c>
    </row>
    <row r="14" spans="2:18" s="62" customFormat="1" thickBot="1">
      <c r="B14" s="84" t="s">
        <v>154</v>
      </c>
      <c r="C14" s="84" t="s">
        <v>155</v>
      </c>
      <c r="D14" s="84" t="s">
        <v>156</v>
      </c>
      <c r="E14" s="112"/>
      <c r="F14" s="112"/>
      <c r="G14" s="112"/>
      <c r="H14" s="112"/>
      <c r="I14" s="112"/>
      <c r="J14" s="112"/>
      <c r="K14" s="112"/>
      <c r="L14" s="112"/>
      <c r="M14" s="112"/>
      <c r="N14" s="113"/>
      <c r="P14" s="102"/>
      <c r="Q14" s="109"/>
    </row>
    <row r="15" spans="2:18" s="62" customFormat="1" ht="17.25">
      <c r="B15" s="114" t="s">
        <v>114</v>
      </c>
      <c r="C15" s="89">
        <v>0</v>
      </c>
      <c r="D15" s="115" t="s">
        <v>159</v>
      </c>
      <c r="E15" s="116" t="s">
        <v>170</v>
      </c>
      <c r="N15" s="92"/>
    </row>
    <row r="16" spans="2:18" s="62" customFormat="1" ht="14.25">
      <c r="B16" s="117" t="s">
        <v>112</v>
      </c>
      <c r="C16" s="97">
        <v>0.22</v>
      </c>
      <c r="D16" s="118" t="s">
        <v>160</v>
      </c>
      <c r="N16" s="92"/>
    </row>
    <row r="17" spans="2:17" s="62" customFormat="1" ht="14.25">
      <c r="B17" s="117" t="s">
        <v>119</v>
      </c>
      <c r="C17" s="97">
        <v>0.56000000000000005</v>
      </c>
      <c r="D17" s="118" t="s">
        <v>163</v>
      </c>
      <c r="N17" s="92"/>
    </row>
    <row r="18" spans="2:17" s="62" customFormat="1" thickBot="1">
      <c r="B18" s="105"/>
      <c r="C18" s="103"/>
      <c r="D18" s="119"/>
      <c r="E18" s="106"/>
      <c r="F18" s="106"/>
      <c r="G18" s="106"/>
      <c r="H18" s="106"/>
      <c r="I18" s="106"/>
      <c r="J18" s="106"/>
      <c r="K18" s="106"/>
      <c r="L18" s="106"/>
      <c r="M18" s="106"/>
      <c r="N18" s="109"/>
    </row>
    <row r="19" spans="2:17" s="62" customFormat="1" thickBot="1"/>
    <row r="20" spans="2:17" s="62" customFormat="1" ht="18.75" thickBot="1">
      <c r="B20" s="263" t="s">
        <v>84</v>
      </c>
      <c r="C20" s="264"/>
      <c r="D20" s="264"/>
      <c r="E20" s="264"/>
      <c r="F20" s="264"/>
      <c r="G20" s="264"/>
      <c r="H20" s="264"/>
      <c r="I20" s="264"/>
      <c r="J20" s="264"/>
      <c r="K20" s="264"/>
      <c r="L20" s="264"/>
      <c r="M20" s="264"/>
      <c r="N20" s="265"/>
    </row>
    <row r="21" spans="2:17" s="62" customFormat="1" ht="42.6" customHeight="1" thickBot="1">
      <c r="B21" s="120" t="s">
        <v>115</v>
      </c>
      <c r="C21" s="279" t="s">
        <v>171</v>
      </c>
      <c r="D21" s="280"/>
      <c r="E21" s="280"/>
      <c r="F21" s="280"/>
      <c r="G21" s="280"/>
      <c r="H21" s="280"/>
      <c r="I21" s="280"/>
      <c r="J21" s="280"/>
      <c r="K21" s="280"/>
      <c r="L21" s="280"/>
      <c r="M21" s="281"/>
      <c r="N21" s="121" t="s">
        <v>172</v>
      </c>
    </row>
    <row r="22" spans="2:17" s="62" customFormat="1" ht="43.9" customHeight="1" thickBot="1">
      <c r="B22" s="122" t="s">
        <v>116</v>
      </c>
      <c r="C22" s="282" t="s">
        <v>173</v>
      </c>
      <c r="D22" s="280"/>
      <c r="E22" s="280"/>
      <c r="F22" s="280"/>
      <c r="G22" s="280"/>
      <c r="H22" s="280"/>
      <c r="I22" s="280"/>
      <c r="J22" s="280"/>
      <c r="K22" s="280"/>
      <c r="L22" s="280"/>
      <c r="M22" s="281"/>
      <c r="N22" s="123" t="s">
        <v>174</v>
      </c>
      <c r="O22" s="124"/>
      <c r="P22" s="124"/>
      <c r="Q22" s="124"/>
    </row>
    <row r="23" spans="2:17" s="62" customFormat="1" ht="16.5" thickBot="1">
      <c r="B23" s="122"/>
      <c r="C23" s="282"/>
      <c r="D23" s="280"/>
      <c r="E23" s="280"/>
      <c r="F23" s="280"/>
      <c r="G23" s="280"/>
      <c r="H23" s="280"/>
      <c r="I23" s="280"/>
      <c r="J23" s="280"/>
      <c r="K23" s="280"/>
      <c r="L23" s="280"/>
      <c r="M23" s="281"/>
      <c r="N23" s="123"/>
    </row>
    <row r="24" spans="2:17" s="62" customFormat="1" ht="14.25"/>
    <row r="25" spans="2:17" s="62" customFormat="1" ht="14.25">
      <c r="B25" s="62" t="s">
        <v>175</v>
      </c>
    </row>
    <row r="26" spans="2:17" s="62" customFormat="1" ht="262.5" customHeight="1">
      <c r="B26" s="42" t="s">
        <v>176</v>
      </c>
      <c r="C26" s="276" t="s">
        <v>177</v>
      </c>
      <c r="D26" s="276"/>
      <c r="E26" s="276"/>
      <c r="F26" s="276"/>
      <c r="G26" s="276"/>
      <c r="H26" s="276"/>
      <c r="I26" s="276"/>
      <c r="J26" s="276"/>
    </row>
    <row r="29" spans="2:17">
      <c r="B29" s="26" t="s">
        <v>25</v>
      </c>
    </row>
    <row r="30" spans="2:17" ht="48" customHeight="1">
      <c r="C30" s="252" t="s">
        <v>26</v>
      </c>
      <c r="D30" s="252"/>
      <c r="E30" s="252"/>
      <c r="F30" s="252"/>
      <c r="G30" s="252"/>
      <c r="H30" s="252"/>
      <c r="I30" s="252"/>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B7" sqref="B7"/>
    </sheetView>
  </sheetViews>
  <sheetFormatPr defaultColWidth="9.140625" defaultRowHeight="15"/>
  <cols>
    <col min="1" max="1" width="7.140625" style="23" customWidth="1"/>
    <col min="2" max="2" width="34.85546875" style="23" customWidth="1"/>
    <col min="3" max="3" width="15.85546875" style="24" customWidth="1"/>
    <col min="4" max="4" width="2.85546875" style="23" customWidth="1"/>
    <col min="5" max="5" width="9.140625" style="23"/>
    <col min="6" max="6" width="44.85546875" style="23" customWidth="1"/>
    <col min="7" max="7" width="15.85546875" style="23" customWidth="1"/>
    <col min="8" max="16384" width="9.140625" style="23"/>
  </cols>
  <sheetData>
    <row r="1" spans="1:8" s="42" customFormat="1" ht="14.25">
      <c r="A1" s="80" t="s">
        <v>178</v>
      </c>
      <c r="C1" s="52"/>
    </row>
    <row r="2" spans="1:8" s="42" customFormat="1" thickBot="1">
      <c r="C2" s="52"/>
    </row>
    <row r="3" spans="1:8" s="42" customFormat="1" thickBot="1">
      <c r="A3" s="283" t="s">
        <v>179</v>
      </c>
      <c r="B3" s="284"/>
      <c r="C3" s="284"/>
      <c r="E3" s="285" t="s">
        <v>180</v>
      </c>
      <c r="F3" s="286"/>
      <c r="G3" s="286"/>
    </row>
    <row r="4" spans="1:8" s="42" customFormat="1" ht="14.25">
      <c r="A4" s="125" t="s">
        <v>181</v>
      </c>
      <c r="B4" s="126" t="s">
        <v>132</v>
      </c>
      <c r="C4" s="127" t="s">
        <v>182</v>
      </c>
      <c r="E4" s="128" t="s">
        <v>181</v>
      </c>
      <c r="F4" s="129" t="s">
        <v>183</v>
      </c>
      <c r="G4" s="130" t="s">
        <v>182</v>
      </c>
    </row>
    <row r="5" spans="1:8" s="42" customFormat="1" ht="57">
      <c r="A5" s="131" t="s">
        <v>184</v>
      </c>
      <c r="B5" s="136" t="s">
        <v>185</v>
      </c>
      <c r="C5" s="132" t="s">
        <v>186</v>
      </c>
      <c r="E5" s="131" t="s">
        <v>187</v>
      </c>
      <c r="F5" s="133" t="s">
        <v>188</v>
      </c>
      <c r="G5" s="134" t="s">
        <v>186</v>
      </c>
    </row>
    <row r="6" spans="1:8" s="42" customFormat="1" ht="28.5">
      <c r="A6" s="38" t="s">
        <v>189</v>
      </c>
      <c r="B6" s="136" t="s">
        <v>190</v>
      </c>
      <c r="C6" s="132" t="s">
        <v>186</v>
      </c>
      <c r="E6" s="38" t="s">
        <v>191</v>
      </c>
      <c r="F6" s="133" t="s">
        <v>192</v>
      </c>
      <c r="G6" s="135" t="s">
        <v>186</v>
      </c>
    </row>
    <row r="7" spans="1:8" s="42" customFormat="1" ht="42.75">
      <c r="A7" s="38" t="s">
        <v>193</v>
      </c>
      <c r="B7" s="136" t="s">
        <v>194</v>
      </c>
      <c r="C7" s="132" t="s">
        <v>186</v>
      </c>
      <c r="E7" s="38" t="s">
        <v>195</v>
      </c>
      <c r="F7" s="133" t="s">
        <v>196</v>
      </c>
      <c r="G7" s="135" t="s">
        <v>186</v>
      </c>
    </row>
    <row r="8" spans="1:8" s="42" customFormat="1" ht="28.5">
      <c r="A8" s="38" t="s">
        <v>197</v>
      </c>
      <c r="B8" s="136" t="s">
        <v>198</v>
      </c>
      <c r="C8" s="132" t="s">
        <v>159</v>
      </c>
      <c r="E8" s="38" t="s">
        <v>199</v>
      </c>
      <c r="F8" s="133" t="s">
        <v>200</v>
      </c>
      <c r="G8" s="135" t="s">
        <v>186</v>
      </c>
    </row>
    <row r="9" spans="1:8" s="42" customFormat="1" ht="42.75">
      <c r="A9" s="38" t="s">
        <v>201</v>
      </c>
      <c r="B9" s="136" t="s">
        <v>202</v>
      </c>
      <c r="C9" s="132" t="s">
        <v>159</v>
      </c>
      <c r="E9" s="38" t="s">
        <v>203</v>
      </c>
      <c r="F9" s="133" t="s">
        <v>204</v>
      </c>
      <c r="G9" s="135" t="s">
        <v>186</v>
      </c>
    </row>
    <row r="10" spans="1:8" s="42" customFormat="1" ht="57">
      <c r="A10" s="137" t="s">
        <v>205</v>
      </c>
      <c r="B10" s="138" t="s">
        <v>206</v>
      </c>
      <c r="C10" s="139" t="s">
        <v>159</v>
      </c>
      <c r="E10" s="137" t="s">
        <v>207</v>
      </c>
      <c r="F10" s="140" t="s">
        <v>208</v>
      </c>
      <c r="G10" s="141" t="s">
        <v>159</v>
      </c>
    </row>
    <row r="11" spans="1:8" s="42" customFormat="1" ht="14.25">
      <c r="C11" s="52"/>
    </row>
    <row r="12" spans="1:8" s="42" customFormat="1" ht="14.25">
      <c r="C12" s="52"/>
    </row>
    <row r="13" spans="1:8" s="42" customFormat="1" ht="14.25">
      <c r="C13" s="52"/>
    </row>
    <row r="14" spans="1:8" s="42" customFormat="1" ht="14.25">
      <c r="A14" s="26" t="s">
        <v>25</v>
      </c>
      <c r="C14" s="52"/>
    </row>
    <row r="15" spans="1:8" s="42" customFormat="1" ht="32.25" customHeight="1">
      <c r="B15" s="252" t="s">
        <v>26</v>
      </c>
      <c r="C15" s="252"/>
      <c r="D15" s="252"/>
      <c r="E15" s="252"/>
      <c r="F15" s="252"/>
      <c r="G15" s="252"/>
      <c r="H15" s="252"/>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c r="A1" s="287" t="s">
        <v>209</v>
      </c>
      <c r="B1" s="287"/>
      <c r="C1" s="287"/>
      <c r="D1" s="287"/>
      <c r="E1" s="287"/>
      <c r="F1" s="287"/>
      <c r="G1" s="287"/>
      <c r="H1" s="287"/>
    </row>
    <row r="2" spans="1:8" ht="60">
      <c r="A2" s="11" t="s">
        <v>129</v>
      </c>
      <c r="B2" s="11" t="s">
        <v>130</v>
      </c>
      <c r="C2" s="11" t="s">
        <v>131</v>
      </c>
      <c r="D2" s="12" t="s">
        <v>132</v>
      </c>
      <c r="E2" s="20" t="s">
        <v>210</v>
      </c>
      <c r="F2" s="13" t="s">
        <v>211</v>
      </c>
      <c r="G2" s="13" t="s">
        <v>212</v>
      </c>
      <c r="H2" s="13" t="s">
        <v>213</v>
      </c>
    </row>
    <row r="3" spans="1:8" s="18" customFormat="1" ht="48">
      <c r="A3" s="14" t="s">
        <v>214</v>
      </c>
      <c r="B3" s="15" t="s">
        <v>139</v>
      </c>
      <c r="C3" s="15" t="s">
        <v>140</v>
      </c>
      <c r="D3" s="16" t="s">
        <v>184</v>
      </c>
      <c r="E3" s="21" t="s">
        <v>215</v>
      </c>
      <c r="F3" s="17" t="s">
        <v>158</v>
      </c>
      <c r="G3" s="17" t="s">
        <v>158</v>
      </c>
      <c r="H3" s="19" t="s">
        <v>158</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formula1>"Very High, High, Moderate, Low, Very Low"</formula1>
    </dataValidation>
    <dataValidation type="list" allowBlank="1" showInputMessage="1" showErrorMessage="1" sqref="E3">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13" sqref="H13"/>
    </sheetView>
  </sheetViews>
  <sheetFormatPr defaultColWidth="9.140625" defaultRowHeight="15"/>
  <cols>
    <col min="1" max="1" width="27.7109375" customWidth="1"/>
    <col min="2" max="2" width="102.140625" customWidth="1"/>
  </cols>
  <sheetData>
    <row r="1" spans="1:2" ht="19.5" thickBot="1">
      <c r="A1" s="2"/>
      <c r="B1" s="3"/>
    </row>
    <row r="2" spans="1:2" ht="19.5" thickBot="1">
      <c r="A2" s="4" t="s">
        <v>216</v>
      </c>
      <c r="B2" s="5" t="s">
        <v>217</v>
      </c>
    </row>
    <row r="3" spans="1:2" ht="19.5" thickBot="1">
      <c r="A3" s="6"/>
      <c r="B3" s="7"/>
    </row>
    <row r="4" spans="1:2">
      <c r="A4" s="288"/>
      <c r="B4" s="8"/>
    </row>
    <row r="5" spans="1:2">
      <c r="A5" s="289"/>
      <c r="B5" s="9"/>
    </row>
    <row r="6" spans="1:2">
      <c r="A6" s="289"/>
      <c r="B6" s="9"/>
    </row>
    <row r="7" spans="1:2" ht="15.75" thickBot="1">
      <c r="A7" s="290"/>
      <c r="B7" s="10"/>
    </row>
    <row r="8" spans="1:2" ht="19.5" thickBot="1">
      <c r="A8" s="2"/>
      <c r="B8" s="3"/>
    </row>
    <row r="9" spans="1:2">
      <c r="A9" s="288"/>
      <c r="B9" s="8"/>
    </row>
    <row r="10" spans="1:2">
      <c r="A10" s="289"/>
      <c r="B10" s="9"/>
    </row>
    <row r="11" spans="1:2">
      <c r="A11" s="289"/>
      <c r="B11" s="9"/>
    </row>
    <row r="12" spans="1:2">
      <c r="A12" s="289"/>
      <c r="B12" s="9"/>
    </row>
    <row r="13" spans="1:2" ht="15.75" thickBot="1">
      <c r="A13" s="290"/>
      <c r="B13" s="10"/>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AF7F02-150C-44AA-ACFE-3054112CF8E2}">
  <ds:schemaRefs>
    <ds:schemaRef ds:uri="http://schemas.microsoft.com/office/2006/documentManagement/types"/>
    <ds:schemaRef ds:uri="http://purl.org/dc/dcmitype/"/>
    <ds:schemaRef ds:uri="58b2451b-b74e-458e-9a49-87527663aea3"/>
    <ds:schemaRef ds:uri="http://www.w3.org/XML/1998/namespace"/>
    <ds:schemaRef ds:uri="http://schemas.microsoft.com/office/2006/metadata/properties"/>
    <ds:schemaRef ds:uri="e01ffcf0-3b2d-4b85-8e6a-2306ae31d5c3"/>
    <ds:schemaRef ds:uri="http://schemas.openxmlformats.org/package/2006/metadata/core-properties"/>
    <ds:schemaRef ds:uri="http://purl.org/dc/elements/1.1/"/>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Rudraraju Sai Krishna Teja</cp:lastModifiedBy>
  <cp:revision/>
  <dcterms:created xsi:type="dcterms:W3CDTF">2017-03-06T20:58:36Z</dcterms:created>
  <dcterms:modified xsi:type="dcterms:W3CDTF">2022-07-21T08:27:13Z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y fmtid="{D5CDD505-2E9C-101B-9397-08002B2CF9AE}" pid="3" name="MSIP_Label_40993bd6-1ede-4830-9dba-3224251d6855_Enabled">
    <vt:lpwstr>true</vt:lpwstr>
  </property>
  <property fmtid="{D5CDD505-2E9C-101B-9397-08002B2CF9AE}" pid="4" name="MSIP_Label_40993bd6-1ede-4830-9dba-3224251d6855_SetDate">
    <vt:lpwstr>2022-02-25T03:36:14Z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ed1a1f04-ce6e-4252-92c7-c866f78309e5</vt:lpwstr>
  </property>
  <property fmtid="{D5CDD505-2E9C-101B-9397-08002B2CF9AE}" pid="9" name="MSIP_Label_40993bd6-1ede-4830-9dba-3224251d6855_ContentBits">
    <vt:lpwstr>0</vt:lpwstr>
  </property>
</Properties>
</file>