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showInkAnnotation="0"/>
  <mc:AlternateContent xmlns:mc="http://schemas.openxmlformats.org/markup-compatibility/2006">
    <mc:Choice Requires="x15">
      <x15ac:absPath xmlns:x15ac="http://schemas.microsoft.com/office/spreadsheetml/2010/11/ac" url="D:\Stryker\knee balancer\"/>
    </mc:Choice>
  </mc:AlternateContent>
  <xr:revisionPtr revIDLastSave="0" documentId="13_ncr:1_{5D64644B-0725-4B95-A816-20F9F4B481B2}" xr6:coauthVersionLast="47" xr6:coauthVersionMax="47" xr10:uidLastSave="{00000000-0000-0000-0000-000000000000}"/>
  <bookViews>
    <workbookView xWindow="-110" yWindow="-110" windowWidth="19420" windowHeight="10420" tabRatio="891" activeTab="3" xr2:uid="{00000000-000D-0000-FFFF-FFFF00000000}"/>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ffectedAsset">#REF!</definedName>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0" i="12" l="1"/>
  <c r="C16" i="12"/>
  <c r="E16" i="12"/>
  <c r="G16" i="12"/>
  <c r="R16" i="12"/>
  <c r="S16" i="12"/>
  <c r="T16" i="12"/>
  <c r="X16" i="12" s="1"/>
  <c r="Y16" i="12" s="1"/>
  <c r="W16" i="12"/>
  <c r="AK16" i="12"/>
  <c r="AL16" i="12"/>
  <c r="AM16" i="12"/>
  <c r="AN16" i="12" s="1"/>
  <c r="C17" i="12"/>
  <c r="E17" i="12"/>
  <c r="G17" i="12"/>
  <c r="R17" i="12"/>
  <c r="S17" i="12"/>
  <c r="T17" i="12"/>
  <c r="U17" i="12" s="1"/>
  <c r="W17" i="12"/>
  <c r="AK17" i="12"/>
  <c r="AL17" i="12"/>
  <c r="AM17" i="12"/>
  <c r="AN17" i="12" s="1"/>
  <c r="C18" i="12"/>
  <c r="E18" i="12"/>
  <c r="G18" i="12"/>
  <c r="R18" i="12"/>
  <c r="S18" i="12"/>
  <c r="T18" i="12"/>
  <c r="U18" i="12" s="1"/>
  <c r="W18" i="12"/>
  <c r="AK18" i="12"/>
  <c r="AL18" i="12"/>
  <c r="AM18" i="12"/>
  <c r="AN18" i="12" s="1"/>
  <c r="C15" i="12"/>
  <c r="E15" i="12"/>
  <c r="G15" i="12"/>
  <c r="R15" i="12"/>
  <c r="S15" i="12"/>
  <c r="T15" i="12"/>
  <c r="U15" i="12" s="1"/>
  <c r="W15" i="12"/>
  <c r="AK15" i="12"/>
  <c r="AL15" i="12"/>
  <c r="AM15" i="12"/>
  <c r="AN15" i="12" s="1"/>
  <c r="C38" i="12"/>
  <c r="E38" i="12"/>
  <c r="G38" i="12"/>
  <c r="R38" i="12"/>
  <c r="S38" i="12"/>
  <c r="T38" i="12"/>
  <c r="U38" i="12" s="1"/>
  <c r="W38" i="12"/>
  <c r="AK38" i="12"/>
  <c r="AL38" i="12"/>
  <c r="AM38" i="12"/>
  <c r="AN38" i="12" s="1"/>
  <c r="C37" i="12"/>
  <c r="E37" i="12"/>
  <c r="G37" i="12"/>
  <c r="R37" i="12"/>
  <c r="S37" i="12"/>
  <c r="T37" i="12"/>
  <c r="U37" i="12" s="1"/>
  <c r="W37" i="12"/>
  <c r="AK37" i="12"/>
  <c r="AL37" i="12"/>
  <c r="AM37" i="12"/>
  <c r="AN37" i="12" s="1"/>
  <c r="C36" i="12"/>
  <c r="E36" i="12"/>
  <c r="G36" i="12"/>
  <c r="R36" i="12"/>
  <c r="S36" i="12"/>
  <c r="T36" i="12"/>
  <c r="X36" i="12" s="1"/>
  <c r="Y36" i="12" s="1"/>
  <c r="W36" i="12"/>
  <c r="AK36" i="12"/>
  <c r="AL36" i="12"/>
  <c r="AM36" i="12"/>
  <c r="AN36" i="12" s="1"/>
  <c r="C35" i="12"/>
  <c r="E35" i="12"/>
  <c r="G35" i="12"/>
  <c r="R35" i="12"/>
  <c r="S35" i="12"/>
  <c r="T35" i="12"/>
  <c r="X35" i="12" s="1"/>
  <c r="Y35" i="12" s="1"/>
  <c r="W35" i="12"/>
  <c r="AK35" i="12"/>
  <c r="AL35" i="12"/>
  <c r="AM35" i="12"/>
  <c r="AN35" i="12" s="1"/>
  <c r="C34" i="12"/>
  <c r="E34" i="12"/>
  <c r="G34" i="12"/>
  <c r="R34" i="12"/>
  <c r="S34" i="12"/>
  <c r="T34" i="12"/>
  <c r="X34" i="12" s="1"/>
  <c r="Y34" i="12" s="1"/>
  <c r="W34" i="12"/>
  <c r="AK34" i="12"/>
  <c r="AL34" i="12"/>
  <c r="AM34" i="12"/>
  <c r="AN34" i="12" s="1"/>
  <c r="C23" i="12"/>
  <c r="E23" i="12"/>
  <c r="G23" i="12"/>
  <c r="R23" i="12"/>
  <c r="S23" i="12"/>
  <c r="T23" i="12"/>
  <c r="X23" i="12" s="1"/>
  <c r="Y23" i="12" s="1"/>
  <c r="W23" i="12"/>
  <c r="AK23" i="12"/>
  <c r="AL23" i="12"/>
  <c r="AM23" i="12"/>
  <c r="AN23" i="12" s="1"/>
  <c r="X17" i="12" l="1"/>
  <c r="Y17" i="12" s="1"/>
  <c r="AO16" i="12"/>
  <c r="AP16" i="12" s="1"/>
  <c r="X15" i="12"/>
  <c r="Y15" i="12" s="1"/>
  <c r="U16" i="12"/>
  <c r="X18" i="12"/>
  <c r="Y18" i="12" s="1"/>
  <c r="AO17" i="12"/>
  <c r="AP17" i="12" s="1"/>
  <c r="AO18" i="12"/>
  <c r="AP18" i="12" s="1"/>
  <c r="AO15" i="12"/>
  <c r="AP15" i="12" s="1"/>
  <c r="AO36" i="12"/>
  <c r="AP36" i="12" s="1"/>
  <c r="U36" i="12"/>
  <c r="U34" i="12"/>
  <c r="X37" i="12"/>
  <c r="Y37" i="12" s="1"/>
  <c r="AO35" i="12"/>
  <c r="AP35" i="12" s="1"/>
  <c r="X38" i="12"/>
  <c r="Y38" i="12" s="1"/>
  <c r="U35" i="12"/>
  <c r="AO38" i="12"/>
  <c r="AP38" i="12" s="1"/>
  <c r="AO34" i="12"/>
  <c r="AP34" i="12" s="1"/>
  <c r="AO37" i="12"/>
  <c r="AP37" i="12" s="1"/>
  <c r="U23" i="12"/>
  <c r="AO23" i="12"/>
  <c r="AP23" i="12" s="1"/>
  <c r="C10" i="12"/>
  <c r="E10" i="12"/>
  <c r="G10" i="12"/>
  <c r="R10" i="12"/>
  <c r="S10" i="12"/>
  <c r="T10" i="12"/>
  <c r="X10" i="12" s="1"/>
  <c r="Y10" i="12" s="1"/>
  <c r="W10" i="12"/>
  <c r="AK10" i="12"/>
  <c r="AL10" i="12"/>
  <c r="AM10" i="12"/>
  <c r="AO10" i="12" s="1"/>
  <c r="AP10" i="12" s="1"/>
  <c r="C11" i="12"/>
  <c r="E11" i="12"/>
  <c r="G11" i="12"/>
  <c r="R11" i="12"/>
  <c r="S11" i="12"/>
  <c r="T11" i="12"/>
  <c r="X11" i="12" s="1"/>
  <c r="Y11" i="12" s="1"/>
  <c r="W11" i="12"/>
  <c r="AK11" i="12"/>
  <c r="AL11" i="12"/>
  <c r="AM11" i="12"/>
  <c r="AO11" i="12" s="1"/>
  <c r="AP11" i="12" s="1"/>
  <c r="C12" i="12"/>
  <c r="E12" i="12"/>
  <c r="G12" i="12"/>
  <c r="R12" i="12"/>
  <c r="S12" i="12"/>
  <c r="T12" i="12"/>
  <c r="U12" i="12" s="1"/>
  <c r="W12" i="12"/>
  <c r="AK12" i="12"/>
  <c r="AL12" i="12"/>
  <c r="AM12" i="12"/>
  <c r="AN12" i="12" s="1"/>
  <c r="C9" i="12"/>
  <c r="E9" i="12"/>
  <c r="G9" i="12"/>
  <c r="R9" i="12"/>
  <c r="S9" i="12"/>
  <c r="T9" i="12"/>
  <c r="X9" i="12" s="1"/>
  <c r="Y9" i="12" s="1"/>
  <c r="W9" i="12"/>
  <c r="AK9" i="12"/>
  <c r="AL9" i="12"/>
  <c r="AM9" i="12"/>
  <c r="AO9" i="12" s="1"/>
  <c r="AP9" i="12" s="1"/>
  <c r="C6" i="12"/>
  <c r="E6" i="12"/>
  <c r="G6" i="12"/>
  <c r="R6" i="12"/>
  <c r="S6" i="12"/>
  <c r="T6" i="12"/>
  <c r="X6" i="12" s="1"/>
  <c r="Y6" i="12" s="1"/>
  <c r="W6" i="12"/>
  <c r="AK6" i="12"/>
  <c r="AL6" i="12"/>
  <c r="AM6" i="12"/>
  <c r="AO6" i="12" s="1"/>
  <c r="AP6" i="12" s="1"/>
  <c r="C7" i="12"/>
  <c r="E7" i="12"/>
  <c r="G7" i="12"/>
  <c r="R7" i="12"/>
  <c r="S7" i="12"/>
  <c r="T7" i="12"/>
  <c r="U7" i="12" s="1"/>
  <c r="W7" i="12"/>
  <c r="AK7" i="12"/>
  <c r="AL7" i="12"/>
  <c r="AM7" i="12"/>
  <c r="AN7" i="12" s="1"/>
  <c r="C5" i="12"/>
  <c r="C22" i="12"/>
  <c r="E22" i="12"/>
  <c r="G22" i="12"/>
  <c r="R22" i="12"/>
  <c r="S22" i="12"/>
  <c r="T22" i="12" s="1"/>
  <c r="W22" i="12"/>
  <c r="AK22" i="12"/>
  <c r="AL22" i="12"/>
  <c r="AM22" i="12"/>
  <c r="AN22" i="12" s="1"/>
  <c r="C21" i="12"/>
  <c r="E21" i="12"/>
  <c r="G21" i="12"/>
  <c r="R21" i="12"/>
  <c r="S21" i="12"/>
  <c r="T21" i="12" s="1"/>
  <c r="W21" i="12"/>
  <c r="AK21" i="12"/>
  <c r="AL21" i="12"/>
  <c r="AM21" i="12"/>
  <c r="AN21" i="12" s="1"/>
  <c r="C33" i="12"/>
  <c r="E33" i="12"/>
  <c r="G33" i="12"/>
  <c r="R33" i="12"/>
  <c r="S33" i="12"/>
  <c r="T33" i="12" s="1"/>
  <c r="W33" i="12"/>
  <c r="AK33" i="12"/>
  <c r="AL33" i="12"/>
  <c r="AM33" i="12"/>
  <c r="AN33" i="12" s="1"/>
  <c r="C32" i="12"/>
  <c r="E32" i="12"/>
  <c r="G32" i="12"/>
  <c r="R32" i="12"/>
  <c r="S32" i="12"/>
  <c r="T32" i="12" s="1"/>
  <c r="W32" i="12"/>
  <c r="AK32" i="12"/>
  <c r="AL32" i="12"/>
  <c r="AM32" i="12"/>
  <c r="AN32" i="12" s="1"/>
  <c r="C31" i="12"/>
  <c r="E31" i="12"/>
  <c r="G31" i="12"/>
  <c r="R31" i="12"/>
  <c r="S31" i="12"/>
  <c r="T31" i="12" s="1"/>
  <c r="W31" i="12"/>
  <c r="AK31" i="12"/>
  <c r="AL31" i="12"/>
  <c r="AM31" i="12"/>
  <c r="AN31" i="12" s="1"/>
  <c r="E30" i="12"/>
  <c r="G30" i="12"/>
  <c r="R30" i="12"/>
  <c r="S30" i="12"/>
  <c r="T30" i="12" s="1"/>
  <c r="W30" i="12"/>
  <c r="AK30" i="12"/>
  <c r="AL30" i="12"/>
  <c r="AM30" i="12"/>
  <c r="AN30" i="12" s="1"/>
  <c r="C28" i="12"/>
  <c r="E28" i="12"/>
  <c r="G28" i="12"/>
  <c r="R28" i="12"/>
  <c r="S28" i="12"/>
  <c r="T28" i="12" s="1"/>
  <c r="W28" i="12"/>
  <c r="AK28" i="12"/>
  <c r="AL28" i="12"/>
  <c r="AM28" i="12"/>
  <c r="AN28" i="12" s="1"/>
  <c r="C29" i="12"/>
  <c r="E29" i="12"/>
  <c r="G29" i="12"/>
  <c r="R29" i="12"/>
  <c r="S29" i="12"/>
  <c r="T29" i="12" s="1"/>
  <c r="W29" i="12"/>
  <c r="AK29" i="12"/>
  <c r="AL29" i="12"/>
  <c r="AM29" i="12"/>
  <c r="AN29" i="12" s="1"/>
  <c r="C27" i="12"/>
  <c r="E27" i="12"/>
  <c r="G27" i="12"/>
  <c r="R27" i="12"/>
  <c r="S27" i="12"/>
  <c r="T27" i="12" s="1"/>
  <c r="W27" i="12"/>
  <c r="AK27" i="12"/>
  <c r="AL27" i="12"/>
  <c r="AM27" i="12"/>
  <c r="AN27" i="12" s="1"/>
  <c r="C26" i="12"/>
  <c r="E26" i="12"/>
  <c r="G26" i="12"/>
  <c r="R26" i="12"/>
  <c r="S26" i="12"/>
  <c r="T26" i="12" s="1"/>
  <c r="W26" i="12"/>
  <c r="AK26" i="12"/>
  <c r="AL26" i="12"/>
  <c r="AM26" i="12"/>
  <c r="AN26" i="12" s="1"/>
  <c r="C25" i="12"/>
  <c r="E25" i="12"/>
  <c r="G25" i="12"/>
  <c r="R25" i="12"/>
  <c r="S25" i="12"/>
  <c r="T25" i="12" s="1"/>
  <c r="W25" i="12"/>
  <c r="AK25" i="12"/>
  <c r="AL25" i="12"/>
  <c r="AM25" i="12"/>
  <c r="AN25" i="12" s="1"/>
  <c r="C24" i="12"/>
  <c r="E24" i="12"/>
  <c r="G24" i="12"/>
  <c r="R24" i="12"/>
  <c r="S24" i="12"/>
  <c r="T24" i="12" s="1"/>
  <c r="W24" i="12"/>
  <c r="AK24" i="12"/>
  <c r="AL24" i="12"/>
  <c r="AM24" i="12"/>
  <c r="AN24" i="12" s="1"/>
  <c r="C20" i="12"/>
  <c r="E20" i="12"/>
  <c r="G20" i="12"/>
  <c r="R20" i="12"/>
  <c r="S20" i="12"/>
  <c r="T20" i="12" s="1"/>
  <c r="W20" i="12"/>
  <c r="AK20" i="12"/>
  <c r="AL20" i="12"/>
  <c r="AM20" i="12"/>
  <c r="AO20" i="12" s="1"/>
  <c r="AP20" i="12" s="1"/>
  <c r="C14" i="12"/>
  <c r="E14" i="12"/>
  <c r="G14" i="12"/>
  <c r="R14" i="12"/>
  <c r="S14" i="12"/>
  <c r="T14" i="12" s="1"/>
  <c r="W14" i="12"/>
  <c r="AK14" i="12"/>
  <c r="AL14" i="12"/>
  <c r="AM14" i="12"/>
  <c r="AN14" i="12" s="1"/>
  <c r="C19" i="12"/>
  <c r="E19" i="12"/>
  <c r="G19" i="12"/>
  <c r="R19" i="12"/>
  <c r="S19" i="12"/>
  <c r="T19" i="12" s="1"/>
  <c r="W19" i="12"/>
  <c r="AK19" i="12"/>
  <c r="AL19" i="12"/>
  <c r="AM19" i="12"/>
  <c r="AO19" i="12" s="1"/>
  <c r="AP19" i="12" s="1"/>
  <c r="C13" i="12"/>
  <c r="E13" i="12"/>
  <c r="G13" i="12"/>
  <c r="R13" i="12"/>
  <c r="S13" i="12"/>
  <c r="T13" i="12" s="1"/>
  <c r="W13" i="12"/>
  <c r="AK13" i="12"/>
  <c r="AL13" i="12"/>
  <c r="AM13" i="12"/>
  <c r="AN13" i="12" s="1"/>
  <c r="C8" i="12"/>
  <c r="E8" i="12"/>
  <c r="G8" i="12"/>
  <c r="R8" i="12"/>
  <c r="S8" i="12"/>
  <c r="T8" i="12" s="1"/>
  <c r="W8" i="12"/>
  <c r="AK8" i="12"/>
  <c r="AL8" i="12"/>
  <c r="AM8" i="12"/>
  <c r="AN8" i="12" s="1"/>
  <c r="AN10" i="12" l="1"/>
  <c r="AN11" i="12"/>
  <c r="U10" i="12"/>
  <c r="X12" i="12"/>
  <c r="Y12" i="12" s="1"/>
  <c r="U11" i="12"/>
  <c r="AO12" i="12"/>
  <c r="AP12" i="12" s="1"/>
  <c r="AN9" i="12"/>
  <c r="U9" i="12"/>
  <c r="AN6" i="12"/>
  <c r="X7" i="12"/>
  <c r="Y7" i="12" s="1"/>
  <c r="U6" i="12"/>
  <c r="AO7" i="12"/>
  <c r="AP7" i="12" s="1"/>
  <c r="U26" i="12"/>
  <c r="U33" i="12"/>
  <c r="U32" i="12"/>
  <c r="X30" i="12"/>
  <c r="Y30" i="12" s="1"/>
  <c r="U31" i="12"/>
  <c r="X29" i="12"/>
  <c r="Y29" i="12" s="1"/>
  <c r="X28" i="12"/>
  <c r="Y28" i="12" s="1"/>
  <c r="U27" i="12"/>
  <c r="U25" i="12"/>
  <c r="U24" i="12"/>
  <c r="X22" i="12"/>
  <c r="Y22" i="12" s="1"/>
  <c r="U21" i="12"/>
  <c r="U20" i="12"/>
  <c r="U19" i="12"/>
  <c r="U14" i="12"/>
  <c r="U13" i="12"/>
  <c r="U8" i="12"/>
  <c r="X21" i="12"/>
  <c r="Y21" i="12" s="1"/>
  <c r="U22" i="12"/>
  <c r="AO22" i="12"/>
  <c r="AP22" i="12" s="1"/>
  <c r="AO21" i="12"/>
  <c r="AP21" i="12" s="1"/>
  <c r="X33" i="12"/>
  <c r="Y33" i="12" s="1"/>
  <c r="X32" i="12"/>
  <c r="Y32" i="12" s="1"/>
  <c r="AO33" i="12"/>
  <c r="AP33" i="12" s="1"/>
  <c r="AO32" i="12"/>
  <c r="AP32" i="12" s="1"/>
  <c r="X31" i="12"/>
  <c r="Y31" i="12" s="1"/>
  <c r="AO30" i="12"/>
  <c r="AP30" i="12" s="1"/>
  <c r="AO31" i="12"/>
  <c r="AP31" i="12" s="1"/>
  <c r="U30" i="12"/>
  <c r="U28" i="12"/>
  <c r="AO28" i="12"/>
  <c r="AP28" i="12" s="1"/>
  <c r="U29" i="12"/>
  <c r="X27" i="12"/>
  <c r="Y27" i="12" s="1"/>
  <c r="AO29" i="12"/>
  <c r="AP29" i="12" s="1"/>
  <c r="X26" i="12"/>
  <c r="Y26" i="12" s="1"/>
  <c r="X24" i="12"/>
  <c r="Y24" i="12" s="1"/>
  <c r="AO27" i="12"/>
  <c r="AP27" i="12" s="1"/>
  <c r="X25" i="12"/>
  <c r="Y25" i="12" s="1"/>
  <c r="AO26" i="12"/>
  <c r="AP26" i="12" s="1"/>
  <c r="AO25" i="12"/>
  <c r="AP25" i="12" s="1"/>
  <c r="AO24" i="12"/>
  <c r="AP24" i="12" s="1"/>
  <c r="AN20" i="12"/>
  <c r="X13" i="12"/>
  <c r="Y13" i="12" s="1"/>
  <c r="AN19" i="12"/>
  <c r="AO14" i="12"/>
  <c r="AP14" i="12" s="1"/>
  <c r="X20" i="12"/>
  <c r="Y20" i="12" s="1"/>
  <c r="X14" i="12"/>
  <c r="Y14" i="12" s="1"/>
  <c r="X19" i="12"/>
  <c r="Y19" i="12" s="1"/>
  <c r="AO13" i="12"/>
  <c r="AP13" i="12" s="1"/>
  <c r="X8" i="12"/>
  <c r="Y8" i="12" s="1"/>
  <c r="AO8" i="12"/>
  <c r="AP8" i="12" s="1"/>
  <c r="E5" i="12"/>
  <c r="G5" i="12"/>
  <c r="R5" i="12"/>
  <c r="S5" i="12"/>
  <c r="T5" i="12" s="1"/>
  <c r="W5" i="12"/>
  <c r="AK5" i="12"/>
  <c r="AL5" i="12"/>
  <c r="AM5" i="12"/>
  <c r="AN5" i="12" s="1"/>
  <c r="U5" i="12" l="1"/>
  <c r="X5" i="12"/>
  <c r="Y5" i="12" s="1"/>
  <c r="AO5" i="12"/>
  <c r="AP5" i="12" s="1"/>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6" i="21" l="1"/>
  <c r="C5" i="21"/>
  <c r="E9" i="21" l="1"/>
  <c r="E8" i="21"/>
  <c r="C9" i="21"/>
  <c r="C8" i="21"/>
  <c r="C7" i="21"/>
  <c r="C6" i="21"/>
  <c r="E7" i="21"/>
  <c r="E5" i="21"/>
  <c r="G8" i="21" l="1"/>
  <c r="G6" i="21"/>
  <c r="G7" i="21" l="1"/>
  <c r="G9" i="21"/>
  <c r="L8" i="21"/>
  <c r="L7" i="21" l="1"/>
  <c r="L9" i="21"/>
  <c r="G5" i="21" l="1"/>
  <c r="L5" i="21" l="1"/>
  <c r="L6" i="21"/>
  <c r="J6" i="21"/>
  <c r="J5" i="21"/>
  <c r="J8" i="21" l="1"/>
  <c r="J7"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tc={5B424D5A-FF05-4A09-8095-453760AD3CAD}</author>
    <author>tc={17B7D763-4DC8-4B7E-807B-4621B78BB4AF}</author>
    <author>tc={0F54170B-0B62-4D76-B3DE-8728083215B5}</author>
    <author>tc={C9D5C198-31B4-46CB-9A79-52E6C77F05D8}</author>
    <author>tc={8B7CC49C-18F2-4500-ADB2-3BFFBBF31019}</author>
    <author>tc={A061E1EA-0017-4478-AD87-436F1D6C4460}</author>
    <author>tc={FC896880-8533-44BC-81FF-EDAC9EBF0BDC}</author>
    <author>tc={2A36A496-887F-42CB-9ACA-1232B227E68E}</author>
  </authors>
  <commentList>
    <comment ref="AA5"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#Gaurav for 4th point "Application should be updated with the latest version of dependencies" add a refrence.</t>
      </text>
    </comment>
    <comment ref="AA8" authorId="1" shapeId="0" xr:uid="{00000000-0006-0000-0300-000002000000}">
      <text>
        <t>[Threaded comment]
Your version of Excel allows you to read this threaded comment; however, any edits to it will get removed if the file is opened in a newer version of Excel. Learn more: https://go.microsoft.com/fwlink/?linkid=870924
Comment:
    # Gaurav add the refrences properly. we have added the verififcation. Just go through it and create a cross reference. These points are technical so kindly see to it.</t>
      </text>
    </comment>
    <comment ref="AB8" authorId="2" shapeId="0" xr:uid="{00000000-0006-0000-0300-000003000000}">
      <text>
        <t>[Threaded comment]
Your version of Excel allows you to read this threaded comment; however, any edits to it will get removed if the file is opened in a newer version of Excel. Learn more: https://go.microsoft.com/fwlink/?linkid=870924
Comment:
    #gaurav give a number to this point</t>
      </text>
    </comment>
    <comment ref="AA14" authorId="3" shapeId="0" xr:uid="{00000000-0006-0000-0300-000008000000}">
      <text>
        <t>[Threaded comment]
Your version of Excel allows you to read this threaded comment; however, any edits to it will get removed if the file is opened in a newer version of Excel. Learn more: https://go.microsoft.com/fwlink/?linkid=870924
Comment:
    # Gaurav add reference for 3.1</t>
      </text>
    </comment>
    <comment ref="AA19" authorId="4" shapeId="0" xr:uid="{00000000-0006-0000-0300-000009000000}">
      <text>
        <t>[Threaded comment]
Your version of Excel allows you to read this threaded comment; however, any edits to it will get removed if the file is opened in a newer version of Excel. Learn more: https://go.microsoft.com/fwlink/?linkid=870924
Comment:
    #gaurav Please add reference to point 2.1 and 4.1</t>
      </text>
    </comment>
    <comment ref="AA29" authorId="5" shapeId="0" xr:uid="{00000000-0006-0000-0300-00000A000000}">
      <text>
        <t>[Threaded comment]
Your version of Excel allows you to read this threaded comment; however, any edits to it will get removed if the file is opened in a newer version of Excel. Learn more: https://go.microsoft.com/fwlink/?linkid=870924
Comment:
    #Gaurav add reference for point 2</t>
      </text>
    </comment>
    <comment ref="AA32" authorId="6" shapeId="0" xr:uid="{00000000-0006-0000-0300-00000D000000}">
      <text>
        <t>[Threaded comment]
Your version of Excel allows you to read this threaded comment; however, any edits to it will get removed if the file is opened in a newer version of Excel. Learn more: https://go.microsoft.com/fwlink/?linkid=870924
Comment:
    #Gaurav please add proper points to document references</t>
      </text>
    </comment>
    <comment ref="AA33" authorId="7" shapeId="0" xr:uid="{00000000-0006-0000-0300-00000E000000}">
      <text>
        <t>[Threaded comment]
Your version of Excel allows you to read this threaded comment; however, any edits to it will get removed if the file is opened in a newer version of Excel. Learn more: https://go.microsoft.com/fwlink/?linkid=870924
Comment:
    #gaurav Please provide reference for the point 1. The one given here is taking about the access management but it is related to license data. So please check if its applicable here</t>
      </text>
    </comment>
  </commentList>
</comments>
</file>

<file path=xl/sharedStrings.xml><?xml version="1.0" encoding="utf-8"?>
<sst xmlns="http://schemas.openxmlformats.org/spreadsheetml/2006/main" count="845" uniqueCount="385">
  <si>
    <t>System &amp; Asset Identification</t>
  </si>
  <si>
    <t xml:space="preserve">Medical Device / System: </t>
  </si>
  <si>
    <t>Scope:</t>
  </si>
  <si>
    <t>Date:</t>
  </si>
  <si>
    <t>&lt;yyyyy-mm-dd&gt;</t>
  </si>
  <si>
    <t xml:space="preserve">Conducted by: </t>
  </si>
  <si>
    <t>&lt;Author Name / Function / Organization&gt;
&lt;Author Name / Function / Organization&gt;</t>
  </si>
  <si>
    <t>ID #</t>
  </si>
  <si>
    <t>Asset Type
(Information/Physical)</t>
  </si>
  <si>
    <t>Asset</t>
  </si>
  <si>
    <t>Asset Description</t>
  </si>
  <si>
    <t>Comments</t>
  </si>
  <si>
    <t>A01</t>
  </si>
  <si>
    <t>Physical Asset</t>
  </si>
  <si>
    <t>Outside of Trust Boundary. May include guidance in SOM for this asset, if appriopriate</t>
  </si>
  <si>
    <t>A02</t>
  </si>
  <si>
    <t>A03</t>
  </si>
  <si>
    <t>Information asset</t>
  </si>
  <si>
    <t>A04</t>
  </si>
  <si>
    <t>Contains Knee Planning software which controls the overall features for segmentation, landmark planning, implant size calculation etc.</t>
  </si>
  <si>
    <t>A05</t>
  </si>
  <si>
    <t>DICOM data stored on hard disk after import. Contains patient identity, DOB, Age/Gender, image data</t>
  </si>
  <si>
    <t>A06</t>
  </si>
  <si>
    <t>Information about internals of the system (Device identification, software versions, supported protocols, etc.)</t>
  </si>
  <si>
    <t>A07</t>
  </si>
  <si>
    <t>A08</t>
  </si>
  <si>
    <t>Network location where the CT Dicom data is stored</t>
  </si>
  <si>
    <t>A09</t>
  </si>
  <si>
    <t>Information Asset</t>
  </si>
  <si>
    <t>Application Settings</t>
  </si>
  <si>
    <t>Application specific configuration settings</t>
  </si>
  <si>
    <t>A10</t>
  </si>
  <si>
    <t>User Settings</t>
  </si>
  <si>
    <t>User specific configuration settings</t>
  </si>
  <si>
    <t>A11</t>
  </si>
  <si>
    <t>Log Files</t>
  </si>
  <si>
    <t>Log files containing application errors and debug logs</t>
  </si>
  <si>
    <t>A12</t>
  </si>
  <si>
    <t>A13</t>
  </si>
  <si>
    <t>A14</t>
  </si>
  <si>
    <t>User License data</t>
  </si>
  <si>
    <t>Application instance specific license data</t>
  </si>
  <si>
    <t>A15</t>
  </si>
  <si>
    <t>Security keys, tokens, certificates</t>
  </si>
  <si>
    <t>Encryption keys and tokens</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</si>
  <si>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</si>
  <si>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</si>
  <si>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</si>
  <si>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</si>
  <si>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</si>
  <si>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</si>
  <si>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</si>
  <si>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</si>
  <si>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</si>
  <si>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Yes</t>
  </si>
  <si>
    <t>n/a</t>
  </si>
  <si>
    <t>V02</t>
  </si>
  <si>
    <t>V03</t>
  </si>
  <si>
    <t>V04</t>
  </si>
  <si>
    <t>V11</t>
  </si>
  <si>
    <t>V12</t>
  </si>
  <si>
    <t>V13</t>
  </si>
  <si>
    <t>Ineffective patch management</t>
  </si>
  <si>
    <t>Security Operations Manual</t>
  </si>
  <si>
    <t>V14</t>
  </si>
  <si>
    <t>V15</t>
  </si>
  <si>
    <t>V16</t>
  </si>
  <si>
    <t>V17</t>
  </si>
  <si>
    <t>V21</t>
  </si>
  <si>
    <t>V22</t>
  </si>
  <si>
    <t>V23</t>
  </si>
  <si>
    <t>V24</t>
  </si>
  <si>
    <t>V25</t>
  </si>
  <si>
    <t>V26</t>
  </si>
  <si>
    <t>V31</t>
  </si>
  <si>
    <t>Insecure Storage of Sensitive Information</t>
  </si>
  <si>
    <t>No</t>
  </si>
  <si>
    <t>V33</t>
  </si>
  <si>
    <t>V34</t>
  </si>
  <si>
    <t>V35</t>
  </si>
  <si>
    <t>Log Files: Audit Log Manipulation, Log Injection-Tampering-Forging</t>
  </si>
  <si>
    <t>Information Exposure Through Log Files</t>
  </si>
  <si>
    <t>InSecure Configurations of Resources</t>
  </si>
  <si>
    <t>V40</t>
  </si>
  <si>
    <t>V41</t>
  </si>
  <si>
    <t xml:space="preserve">Malicious Software Download </t>
  </si>
  <si>
    <t>V42</t>
  </si>
  <si>
    <t>Malicious Automated Software Update</t>
  </si>
  <si>
    <t>V43</t>
  </si>
  <si>
    <t>External Control of System or Configuration Setting</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</si>
  <si>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</si>
  <si>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</si>
  <si>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</si>
  <si>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</si>
  <si>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</si>
  <si>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</si>
  <si>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</si>
  <si>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</si>
  <si>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</si>
  <si>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</si>
  <si>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</si>
  <si>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</si>
  <si>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</si>
  <si>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</si>
  <si>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</si>
  <si>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</si>
  <si>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</si>
  <si>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</si>
  <si>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</si>
  <si>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</si>
  <si>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</si>
  <si>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</si>
  <si>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</si>
  <si>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</si>
  <si>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</si>
  <si>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</si>
  <si>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</si>
  <si>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</si>
  <si>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</si>
  <si>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</si>
  <si>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</si>
  <si>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</si>
  <si>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</si>
  <si>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</si>
  <si>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</si>
  <si>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</si>
  <si>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</si>
  <si>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</si>
  <si>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Privileges Required</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</si>
  <si>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</si>
  <si>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</si>
  <si>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</si>
  <si>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</si>
  <si>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</si>
  <si>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CVSS v3.0 Base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</si>
  <si>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</si>
  <si>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</si>
  <si>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Residual Security Risk Acceptability Justification</t>
  </si>
  <si>
    <t>T01</t>
  </si>
  <si>
    <t>Low</t>
  </si>
  <si>
    <t>Network</t>
  </si>
  <si>
    <t>None</t>
  </si>
  <si>
    <t>Unchanged</t>
  </si>
  <si>
    <t>Changed</t>
  </si>
  <si>
    <t>1. Virus Scan
2. Firewall
3. Windows security update install
4. Application should be updated with the latest version of dependencies.</t>
  </si>
  <si>
    <t xml:space="preserve">[1.1] SOM - 8.5 Anti-Malware Software Updates (CSUP-4)
[1.2] SOM - 13. MALWARE DETECTION/PROTECTION (MLDP-1)
[1.3] Access management - Windows user  
MSI - SRS-2.22.1, 2.22.2, 2.10.3
SADD- PKG1, PKG2, PL01,ES05, ES06
[2.1] SOM- 13.3 Firewall Implementation
[3.1] SOM - 8.3 Operating System Updates (CSUP-2)
</t>
  </si>
  <si>
    <t>[1.1.1] SOM - 8.5 Anti-Malware Software Updates (CSUP-4)
[1.2.1] SOM - 13. MALWARE DETECTION/PROTECTION (MLDP-1)
[1.3.1] PR - PY-SYK-CC-003 Application Dependency Check
[2.1.1] SOM- 13.3 Firewall Implementation
[3.1.1] SOM - 8.3 Operating System Updates (CSUP-2)</t>
  </si>
  <si>
    <t xml:space="preserve">1. The 3rd party modules and dependencies should be updated with latest versions.
2. Application upgrade should verify if all required dependencies are updated in system.
3. Application upgrade should detect any upgrade or change in dependecies on user system and show dependency issue message to application user.
</t>
  </si>
  <si>
    <t xml:space="preserve">[1.1] SDP - D005010020 - 5.2.4
[2.1] SDP - D005010020 - 5.2.4
[3.1] SDP - D005010020 - 5.2.4
</t>
  </si>
  <si>
    <t>[1.1.1] Pentest Report
[2.1.1] Pentest Report
[3.1.1] Pentest Report</t>
  </si>
  <si>
    <t>Local</t>
  </si>
  <si>
    <t>T02</t>
  </si>
  <si>
    <t>High</t>
  </si>
  <si>
    <t>Required</t>
  </si>
  <si>
    <t>Physical</t>
  </si>
  <si>
    <t>T03</t>
  </si>
  <si>
    <t>1. Firewall
2. The internet communication of Thor application should be secured using SSL or other secure protocols.
3. The application should not trust the system installed Trust certificates instead the application should verify SSL communication.</t>
  </si>
  <si>
    <t>[1.1] SOM- 13.3 Firewall Implementation
[2.1] Not applicable as no internet connection is getting used.
[3.1] Not applicable as no internet connection is getting used.</t>
  </si>
  <si>
    <t>Loss of Stryker Reputation, potential loss of revenue</t>
  </si>
  <si>
    <r>
      <t xml:space="preserve">1. Firewall
</t>
    </r>
    <r>
      <rPr>
        <sz val="11"/>
        <color rgb="FFFF0000"/>
        <rFont val="Cambria"/>
        <family val="1"/>
      </rPr>
      <t>2. The internet communication of Thor application should be secured using SSL or other secure protocols.
3. The application should not trust the system installed Trust certificates instead the application should verify SSL communication.
4. The License should be encrypted for communication over internet.</t>
    </r>
  </si>
  <si>
    <t>[1.1] SOM- 13.3 Firewall Implementation
[2.1] Not applicable as no internet connection is getting used.
[3.1] Not applicable as no internet connection is getting used.
[4.1]License file encryption is done using AES 
SRS:2.17.13, 2.17.4
SADD: ES04, DS10, C277</t>
  </si>
  <si>
    <t>[1.1.1] SOM- 13.3 Firewall Implementation
[2.1.1] Not applicable as no internet connection is getting used.
[3.1.1] Not applicable as no internet connection is getting used.
[4.1.1] License file encryption is done using AES
[4.1.2] PR - PY-SYK-CC-010 Use of Secure Crypto</t>
  </si>
  <si>
    <t>Loss of Stryker Reputation, loss of Stryker IP, potential loss of PHI</t>
  </si>
  <si>
    <t>1. The internet communication of Thor application should be secured using SSL or other secure protocols.
2. The application should not trust the system installed Trust certificates instead the application should verify SSL communication.
3. The keys and token should be stored using windows credential manager.</t>
  </si>
  <si>
    <t xml:space="preserve">
[1.1] Not applicable as no internet connection is getting used.
[2.1] Not applicable as no internet connection is getting used.
[3.1] </t>
  </si>
  <si>
    <t>[1.1.1] Not applicable as no internet connection is getting used.
[2.1.1] Not applicable as no internet connection is getting used.
[3.1.1] PR - PY-SYK-CC-001 User Authentication
[3.1.2] PR - PY-SYK-CC-010 Use of Secure Crypto</t>
  </si>
  <si>
    <t>T05</t>
  </si>
  <si>
    <t>1. Virus scan
2. Application should verify the checksum of all the DLL files and executable inside application folder before starting main thread.
3. Proper Code review of applciation before releasing.
4. Anti-dynamic instrumentation techniques should be implimented in application.</t>
  </si>
  <si>
    <t>[1.1] SOM -  8.5 Anti-Malware Software Updates (CSUP-4)
[1.2] SOM - 13. MALWARE DETECTION/PROTECTION (MLDP-1)
[2.1] Checksum of DLL: TBD
[3.1] Code review: process followed.
[4.1] Anti dynamic instrumentation: TBD</t>
  </si>
  <si>
    <t>[1.1.1] SOM -  8.5 Anti-Malware Software Updates (CSUP-4)
[1.2.1] SOM - 13. MALWARE DETECTION/PROTECTION (MLDP-1)
[2.1.1] Checksum of DLL: TBD
[3.1.1] Code review: process followed.
[4.1.1] PR - PY-SYK-CC-007 Dynamic Instrumentation</t>
  </si>
  <si>
    <t>1. Application should not have direct access to hidden functionalities. It is recommended to delete all unused funtionalities from application that could be there while development of application. 
2. Code Review.
3. Application Testing</t>
  </si>
  <si>
    <t>[1.1] Hidden functionalities: Not applicable
[2.1] Code review: process followed.
[3.1] Application testing : Done</t>
  </si>
  <si>
    <t>[1.1.1] Hidden functionalities: Not applicable
[2.1.1] Code review: process followed.
[3.1.1] Application testing : Done</t>
  </si>
  <si>
    <t>1. The keys, password and token should be stored in encrypted form.
Few of the sensitive data like keys should be stored using windows credential manager.</t>
  </si>
  <si>
    <t>[1.1] Keys and tokens are kept in application binary, not stored on drive or configs.</t>
  </si>
  <si>
    <t>[1.1.1] PR-PY-SYK-CC-008 Hard Coded Sensitive Information
[1.1.2] PR-PY-SYK-CC-010 Use of Secure Crypto</t>
  </si>
  <si>
    <t>1. All log files should be stored encrypted .
2. The log files should not contain senstive user information and license information.</t>
  </si>
  <si>
    <t>[1.1][2.1] Audit logs are encrypted
SRS: 2.17.10, 2.17.4
SADD: DS13
SDD: ML11</t>
  </si>
  <si>
    <t xml:space="preserve">[1.1.1][2.1.1] PR-PY-SYK-CC-002 Proper Crash Logs are Maintained Locally in Encrypted Form
[1.1.2][2.1.2] PR-PY-SYK-CC-010 Use of Secure Crypto
</t>
  </si>
  <si>
    <t>T06</t>
  </si>
  <si>
    <t>1. The keys, password and token should be stored in encrypted form.Few of the sensitive data like keys should be stored using windows credential manager.</t>
  </si>
  <si>
    <t>[1.1.1] PR-PY-SYK-CC-008 Hard Coded Sensitive Information
[1.1.2] PR -  PY-SYK-CC-010 Use of Secure Crypto</t>
  </si>
  <si>
    <t>Moderate</t>
  </si>
  <si>
    <r>
      <rPr>
        <sz val="11"/>
        <color rgb="FFFF0000"/>
        <rFont val="Cambria"/>
        <family val="1"/>
      </rPr>
      <t>1. Proper Access control should be implimented in application directory so that only authorised users can access application and its files.</t>
    </r>
    <r>
      <rPr>
        <sz val="11"/>
        <color theme="1"/>
        <rFont val="Cambria"/>
        <family val="1"/>
      </rPr>
      <t xml:space="preserve">
</t>
    </r>
  </si>
  <si>
    <t>[1.1] Handled through user id linked license, windows user directory.
SRS: 2.17.13, 2.17.4
SADD: DS02, DS04, ES05, ES06
SDD: ML09</t>
  </si>
  <si>
    <t>[1.1.1] PR-PY-SYK-CC-006 Secured Application Path and Proper Access Management</t>
  </si>
  <si>
    <t>1. The application should accept inputs from application UI interface only.
2. The application should verify input type before accepting it. Example, Date type of input should be in a specific format and should not conatain any other symbol or any alphabetic letter inside it.</t>
  </si>
  <si>
    <t>[1.1] Handled in application input widgets.
[2.1] SRS:2.5.4
SADD: EL06, EL09, ML02, UI02
SDD: C115, C202, C261, C262</t>
  </si>
  <si>
    <t>[1.1.1] PR - PY-SYK-CC-009 Command Line Arguments 
[2.1.1] PR - PY-SYK-CC-005 Input Validation Check</t>
  </si>
  <si>
    <t>1. Firewall
2. The internet communication of Thor application should be secured using SSL or other secure protocols.
3. The application should not trust the system installed Trust certificates instead the application should verify SSL communication.
4. The License should be encrypted for communication over internet.</t>
  </si>
  <si>
    <t>[1.1] SOM- 13.3 Firewall Implementation
[2.1] Not applicable as no internet connection is getting used.
[3.1] Not applicable as no internet connection is getting used.
[4.1] Not applicable as no internet connection is getting used.</t>
  </si>
  <si>
    <t>[1.1.1] SOM- 13.3 Firewall Implementation
[2.1.1] Not applicable as no internet connection is getting used.
[3.1.1] Not applicable as no internet connection is getting used.
[4.1.1] Not applicable as no internet connection is getting used.</t>
  </si>
  <si>
    <t>T07</t>
  </si>
  <si>
    <t xml:space="preserve">1. Proper Access control should be implimented in application directory so that only authorised users can access application and its files.
2. The license should be verified everytime the application is started.
3. The license time period and authority should not get manipulated at client side by manupulating registery data or saved license data.
4. The license should be encrypted .
5. The treatment plan directory should have proper permissions only to authorized user . </t>
  </si>
  <si>
    <t xml:space="preserve">[1.1] SOM-6.3 Audit Log Protection
[1.2] SOM-7.2  Privilege and Access (AUTH-2, 3, 4, 5, SGUD-3, 3.1
[2.1] SOM-13.2 Other Compensation/Protection Controls (MDLP-3, 4, 5)
[3.1] SOM-16.1 Password/ID Assignments (PAUT-1)
[4.1] SOM-13.2 Other Compensation/Protection Controls (MDLP-3, 4, 5)
[4.2] Handled through user id linked license, windows user directory. License data is encrypted.
SRS:  2.17.13, 2.17.4
SADD: DS02, DS04, ES05, ES06
SDD: ML09,  ES04,  DS10, C277
[5.1] SOM-7.2 Privilege and Access (AUTH-2, 3, 4, 5, SGUD-3, 3.1) </t>
  </si>
  <si>
    <t xml:space="preserve">[1.1.1] PR-PY-SYK-CC-006 Secured Application Path and Proper Access Management
[2.1.1] PY-SYK-CC-014 Licence Check 
[3.1.1] PR-PY-SYK-CC-013 Secure Configuration File 
[4.1.1] PR-PY-SYK-CC-010 Use of Secure Crypto 
[5.1.1] PR-PY-SYK-CC-006 Secured Application Path and Proper Access Management 
[5.1.2] PY-SYK-CC-013 Secure Configuration File </t>
  </si>
  <si>
    <t>1. The user credentials should not be stored unencrypted.
2. The user credentials /license should not be stored in path where treatment plan data is getting stored.</t>
  </si>
  <si>
    <t xml:space="preserve">[1.1] SOM-16.2 User Account Management (PAUT-2, 3, 4, 5, 6, 7, 8, 9, 10, 11, 12, 13, 14) 
</t>
  </si>
  <si>
    <t xml:space="preserve">[1.1.1] PR-PY-SYK-CC-001 User Authentication 
[2.1.1] PR-PY-SYK-CC-001 User Authentication </t>
  </si>
  <si>
    <t>T08</t>
  </si>
  <si>
    <t>1. The PHI data should be stored encrypted.
2. The PHI data directory should only be accessible to system user using the application.
3. The PHI data should not be stored in local SQLIte databases in plain text.
4. The PHI data should not be stored in Log files.</t>
  </si>
  <si>
    <t>[1.1]PHI data stored in audit log file and case list is encrypted.
[2.1]Directory acces is managed using windows user credential.
[3.1]PHI data is not stored in local DB.
[4.1]PHI data stored in audit log file and case list is encrypted.
SRS: 2.17.10, 2.17.13, 2.17.4
SADD: DS13, DS02, DS04, ES05, ES06
SDD:ML11, C276, C277</t>
  </si>
  <si>
    <t>[1.1.1]PR - PY-SYK-CC-012 Secure PHI Data
[2.1.1] PR - PY-SYK-CC-006 Secured Application Path and Proper Access Management
[3.1.1] PR - PY-SYK-CC-012 Secure PHI Data
[4.1.1] PR - PY-SYK-CC-012 Secure PHI Data</t>
  </si>
  <si>
    <t>[1.1.1] SOM- 13.3 Firewall Implementation.
[2.1.1] Not applicable as no internet connection is getting used.
[3.1.1] Not applicable as no internet connection is getting used.</t>
  </si>
  <si>
    <t>T09</t>
  </si>
  <si>
    <t xml:space="preserve">1. The user encrypted license should be stored using windows credential manager.
2. The License data should be encrypted and should not be modified.
</t>
  </si>
  <si>
    <t>[1.1] SOM-16.2 User Account Management (PAUT-2, 3, 4, 5, 6, 7, 8, 9, 10, 11, 12, 13, 14)
[2.1] SOM-3.5     System Security Context and Intended Environment (SGUD-4) 
Access management - Windows user, AES Data encryption handler
SRS: 2.17.3
SADD: ES05, ES06, DS02, DS04
SDD: C276, C277</t>
  </si>
  <si>
    <t>[1.1.1] PR-PY-SYK-CC-001 User Authentication</t>
  </si>
  <si>
    <t>1. The application should use  secure cryptographic algorithms to encrypt user Licence data.</t>
  </si>
  <si>
    <t>Access management - Windows user, AES 256 Data encryption handler
SRS: 2.17.3
SADD: ES05, ES06, DS02, DS04
SDD: C276, C277
[1.1] SOM - 3.5  System Security Context and Intended Environment (SGUD-4)</t>
  </si>
  <si>
    <t>[1.1.1] PR-PY-SYK-CC-010 Use of Secure Crypto</t>
  </si>
  <si>
    <t>T10</t>
  </si>
  <si>
    <t>T11</t>
  </si>
  <si>
    <t xml:space="preserve">Document references: </t>
  </si>
  <si>
    <t>SRS - CT knee SRS: D005010021  </t>
  </si>
  <si>
    <t>SAD - THOR: CT Knee Planning SOFTWARE_ARCHITECTURAL_DESIGN: D005010022 </t>
  </si>
  <si>
    <t>SDD - THOR: CT Knee Planning 
SOFTWARE_DETAILED_DESIGN: D005</t>
  </si>
  <si>
    <t>PR- Pentest report</t>
  </si>
  <si>
    <t>Threat Assessment</t>
  </si>
  <si>
    <t>#</t>
  </si>
  <si>
    <t xml:space="preserve">Threat Event </t>
  </si>
  <si>
    <t xml:space="preserve">Description </t>
  </si>
  <si>
    <t>Threat Source</t>
  </si>
  <si>
    <t>In Scope (Yes/No)</t>
  </si>
  <si>
    <t>Rationale 
(if out of scope)</t>
  </si>
  <si>
    <t>Deliver undirected malware</t>
  </si>
  <si>
    <t>TSA-3 - Skript Kiddies</t>
  </si>
  <si>
    <t>Deliver directed malware</t>
  </si>
  <si>
    <t xml:space="preserve">
TSA-2 Organization</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</si>
  <si>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</si>
  <si>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</si>
  <si>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T04</t>
  </si>
  <si>
    <t>Adversary gains unauthorized access to the system and removes or modifies application binaries.</t>
  </si>
  <si>
    <t>TSA-1 - Individual (Disgruntled/Ex-Employees, Outsider, Insider, Trusted Insider, Priveleged Insider)</t>
  </si>
  <si>
    <t>Adversary gains unauthorized access to the treatment design plan of the patient.</t>
  </si>
  <si>
    <t>Adversary gains unauthorized access to the system and steals ePHI information</t>
  </si>
  <si>
    <t>TSA-3 - Skript Kiddies-</t>
  </si>
  <si>
    <t xml:space="preserve">Adversary gains unauthorized access to the encryption keys and tokens </t>
  </si>
  <si>
    <t xml:space="preserve">Adversary gains unauthorized access to the system </t>
  </si>
  <si>
    <t xml:space="preserve">Adversary gains unauthorized access to the system and make modifications to the software configuration files </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</si>
  <si>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</si>
  <si>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</si>
  <si>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</si>
  <si>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</si>
  <si>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</si>
  <si>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</si>
  <si>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</si>
  <si>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</si>
  <si>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</si>
  <si>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</si>
  <si>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</si>
  <si>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</si>
  <si>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</si>
  <si>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</si>
  <si>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</si>
  <si>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</si>
  <si>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</si>
  <si>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Adjacent Network</t>
  </si>
  <si>
    <t>A</t>
  </si>
  <si>
    <t>H</t>
  </si>
  <si>
    <t>R</t>
  </si>
  <si>
    <t>P</t>
  </si>
  <si>
    <t>Very High</t>
  </si>
  <si>
    <t>Technical Impact Metrics</t>
  </si>
  <si>
    <t>In Scope</t>
  </si>
  <si>
    <t>Confidentiality, Integrity, Availability Impact</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</si>
  <si>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</si>
  <si>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</si>
  <si>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</si>
  <si>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</si>
  <si>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</si>
  <si>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</si>
  <si>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</si>
  <si>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</si>
  <si>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</si>
  <si>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</si>
  <si>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</si>
  <si>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</si>
  <si>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</si>
  <si>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</si>
  <si>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</si>
  <si>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</si>
  <si>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</si>
  <si>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</si>
  <si>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</si>
  <si>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</si>
  <si>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</si>
  <si>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</si>
  <si>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</si>
  <si>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</si>
  <si>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</si>
  <si>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</si>
  <si>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</si>
  <si>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</si>
  <si>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</si>
  <si>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</si>
  <si>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</si>
  <si>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</si>
  <si>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</si>
  <si>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</si>
  <si>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</si>
  <si>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</si>
  <si>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</si>
  <si>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</si>
  <si>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</si>
  <si>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</si>
  <si>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</si>
  <si>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</si>
  <si>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</si>
  <si>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</si>
  <si>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</si>
  <si>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Possible</t>
  </si>
  <si>
    <t>Feature/Function</t>
  </si>
  <si>
    <t>Risk Controls</t>
  </si>
  <si>
    <t>Unencrypted data at rest in all possible locations (Device, Cloud)</t>
  </si>
  <si>
    <t>Knee balancer application</t>
  </si>
  <si>
    <t>V27</t>
  </si>
  <si>
    <t>V28</t>
  </si>
  <si>
    <t>Patient Identifiable data</t>
  </si>
  <si>
    <t>MAKO System</t>
  </si>
  <si>
    <t>SBOM/SOUP</t>
  </si>
  <si>
    <t>Cloud Backend</t>
  </si>
  <si>
    <t>Unsecurely transmitted data to cloud</t>
  </si>
  <si>
    <t>Unsecurely encrypting the database</t>
  </si>
  <si>
    <t>Single Factor Authentication to cloud</t>
  </si>
  <si>
    <t>V51</t>
  </si>
  <si>
    <t>V52</t>
  </si>
  <si>
    <t>V53</t>
  </si>
  <si>
    <t>For ipad/iphone, the charging/USB interface is provided &amp; this can be used to connect the OTG devices.</t>
  </si>
  <si>
    <t>Threat source delivers malware on a removable media which was designed to exploit a known vulnerability of the Software. Directed attack on the Application using knowledge about the Application.</t>
  </si>
  <si>
    <t>V44</t>
  </si>
  <si>
    <t>Unsecured configuration of wireless devices</t>
  </si>
  <si>
    <t>Knee Balancer</t>
  </si>
  <si>
    <t>Mobile Device (ipad, iphone V8-13)</t>
  </si>
  <si>
    <t>Login (4-digit pin) management</t>
  </si>
  <si>
    <t>MAC/iOS operating system</t>
  </si>
  <si>
    <t>Ineffective management of user credentials</t>
  </si>
  <si>
    <t>Improper Input Validation (allowed range)</t>
  </si>
  <si>
    <t>Improper Storage of Credentials</t>
  </si>
  <si>
    <t>Unpatched operating system</t>
  </si>
  <si>
    <t>Unsafely compiled Application Binaries - App</t>
  </si>
  <si>
    <t>Static Analysis for developed code &amp; SCA for SOUP - App</t>
  </si>
  <si>
    <t>Corrupting the binaries/injecting malicious source code - App</t>
  </si>
  <si>
    <t>Weak Encryption Implementaion for data at rest and in motion tactical and design wise or Inadequate encryption strength</t>
  </si>
  <si>
    <t>Use of a Broken or Risky Cryptographic Algorithm</t>
  </si>
  <si>
    <t>Absence of application (status/behavior) logs and audit logs</t>
  </si>
  <si>
    <t>Lack of efficient configuration change control - App</t>
  </si>
  <si>
    <t>No security applications (antivirus, etc..) running in the ipad/iphone</t>
  </si>
  <si>
    <t>V32</t>
  </si>
  <si>
    <t>Application/Communication Management</t>
  </si>
  <si>
    <t>Wireless communication interfaces (Wifi, BT,etc..)</t>
  </si>
  <si>
    <t>Unrestricted Wifi communication with open/untrusted sources</t>
  </si>
  <si>
    <t>Unrestricted BT communication/transfer with multiple sources</t>
  </si>
  <si>
    <t>Unauthorized device communication to network interfaces</t>
  </si>
  <si>
    <t xml:space="preserve">Perform wireless perimeter network reconnaissance/scanning. </t>
  </si>
  <si>
    <t>Unauthorized modifications  to Knee Balancer Software</t>
  </si>
  <si>
    <t>Unauthorized access to Knee Balancer App</t>
  </si>
  <si>
    <t>Adversary gains unauthorized access to the system and removes or modifies application configuration.</t>
  </si>
  <si>
    <t>Unauthorized access/modification to PHI/Health data</t>
  </si>
  <si>
    <t>Unauthorized access/modification to Pre-OP data/Treatment plan</t>
  </si>
  <si>
    <t>Brute force login attempts</t>
  </si>
  <si>
    <t>Unrestricted wireless communication with multiple sources</t>
  </si>
  <si>
    <t>TSA-1 - Individual (Employees, Insider, Trusted Insider/Priveleged Insider)
TSA-3 - Skript Kiddies</t>
  </si>
  <si>
    <t>Lack of OS vulnerability management</t>
  </si>
  <si>
    <t>3rd Party Component Dependency &amp; Vulnerabilities - App</t>
  </si>
  <si>
    <t>Physical network interfaces</t>
  </si>
  <si>
    <t>V18</t>
  </si>
  <si>
    <t>3rd party installed applications from app store</t>
  </si>
  <si>
    <t>Application Data Management</t>
  </si>
  <si>
    <t>Unencrypted data in transit in all flowchannels</t>
  </si>
  <si>
    <t>Untrusted 3rd party applications installation from appstore</t>
  </si>
  <si>
    <t>Improper Authentication (single factor, no captcha, etc..)</t>
  </si>
  <si>
    <t>Unprotected access to device settings (uninstalling applications, etc..)</t>
  </si>
  <si>
    <t>As Knee Balancer is running on a mobile device, it is important to secure the wireless interfaces on the host such as BT, Wifi. Without restrictions any device can be connected with the host</t>
  </si>
  <si>
    <t>By knowing the end-to-end functionality of the application, the adversary can exploit the application and try to compromise the system with specific malware attacks</t>
  </si>
  <si>
    <t>Knee balancer supporting software components (binaries, frameworks, 3rd party components, etc..)</t>
  </si>
  <si>
    <t>If the software components are not protected properly/exposed for access inside the mobile host with unrestricted/unauthorized access, then the modification/tampering of the software can lead to the unavailability of the application</t>
  </si>
  <si>
    <t>If the application access permissions are not properly enforced during the starting of the application, then its become difficult for the application to get protected from the adversary attacks</t>
  </si>
  <si>
    <t>PHI/Health data has to be secured properly &amp; enforce the encryption to protect from unauthorized access/modifications. With insuffient encryption &amp; security this data gets affected</t>
  </si>
  <si>
    <t>Unauthorized access to app sensitive data (device's keys/certificates/crypto algorithms)</t>
  </si>
  <si>
    <t>If any of the cryptographic security sensitive data such as keys, certificates, crypto algorithms, etc.., got modified then complete security gets compromised</t>
  </si>
  <si>
    <t>Single factor authentication is not sufficient to surpress the brute force attacks. Minimum 2-factor authentication is needed to provide enough security from automated attacks</t>
  </si>
  <si>
    <t>Sensitive system settings on the host should be identified &amp; protected from unauthorized access</t>
  </si>
  <si>
    <t>For wifi access only the HDO/Hospital environment should allowed to connect with. BT should only be connected on purpose for file transfers</t>
  </si>
  <si>
    <t>Pre-op/Treatment plan data has to be secured properly &amp; enforce the encryption to protect from unauthorized access/modifications. With insuffient encryption &amp; security this data gets affected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</si>
</sst>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7">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1"/>
      <name val="Calibri"/>
      <family val="2"/>
      <scheme val="minor"/>
    </font>
    <font>
      <sz val="11"/>
      <color rgb="FF000000"/>
      <name val="Calibri"/>
      <family val="2"/>
      <charset val="1"/>
    </font>
    <font>
      <sz val="11"/>
      <color rgb="FFFF0000"/>
      <name val="Cambria"/>
      <family val="1"/>
    </font>
    <font>
      <sz val="11"/>
      <color rgb="FFFFFF00"/>
      <name val="Cambria"/>
      <family val="1"/>
    </font>
    <font>
      <sz val="10"/>
      <color rgb="FF000000"/>
      <name val="Humanist Slabserif 712 Std Roma"/>
      <charset val="1"/>
    </font>
    <font>
      <sz val="11"/>
      <name val="Calibri"/>
      <family val="2"/>
    </font>
    <font>
      <sz val="11"/>
      <color theme="1"/>
      <name val="Cambria"/>
    </font>
    <font>
      <sz val="11"/>
      <color theme="1"/>
      <name val="Calibri"/>
      <scheme val="minor"/>
    </font>
    <font>
      <sz val="11"/>
      <color rgb="FF0000FF"/>
      <name val="Cambria"/>
    </font>
    <font>
      <sz val="11"/>
      <name val="Cambria"/>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4">
    <xf numFmtId="0" fontId="0" fillId="0" borderId="0"/>
    <xf numFmtId="0" fontId="1" fillId="0" borderId="0"/>
    <xf numFmtId="0" fontId="14" fillId="0" borderId="0"/>
    <xf numFmtId="0" fontId="38" fillId="0" borderId="0"/>
  </cellStyleXfs>
  <cellXfs count="272">
    <xf numFmtId="0" fontId="0" fillId="0" borderId="0" xfId="0"/>
    <xf numFmtId="0" fontId="0" fillId="0" borderId="1" xfId="0" applyBorder="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wrapText="1"/>
    </xf>
    <xf numFmtId="0" fontId="17" fillId="0" borderId="0" xfId="0" applyFont="1"/>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39" xfId="0" applyFont="1" applyBorder="1" applyAlignment="1">
      <alignment vertical="top"/>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5" fillId="18" borderId="1" xfId="0" applyFont="1" applyFill="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Alignment="1">
      <alignment horizontal="center" vertical="center"/>
    </xf>
    <xf numFmtId="2" fontId="23" fillId="0" borderId="0" xfId="0" applyNumberFormat="1" applyFont="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Alignment="1">
      <alignment horizontal="center" vertical="center"/>
    </xf>
    <xf numFmtId="2" fontId="15" fillId="0" borderId="0" xfId="0" applyNumberFormat="1" applyFont="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Alignment="1">
      <alignment horizontal="center" vertical="center"/>
    </xf>
    <xf numFmtId="0" fontId="15" fillId="13" borderId="0" xfId="0" applyFont="1" applyFill="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1" xfId="0" applyFont="1" applyBorder="1" applyAlignment="1">
      <alignment horizontal="left" vertical="top" wrapText="1"/>
    </xf>
    <xf numFmtId="0" fontId="15" fillId="0" borderId="39" xfId="0" applyFont="1" applyBorder="1" applyAlignment="1">
      <alignment horizontal="center" vertical="top" wrapText="1"/>
    </xf>
    <xf numFmtId="0" fontId="15" fillId="0" borderId="5" xfId="0" applyFont="1" applyBorder="1" applyAlignment="1">
      <alignment horizontal="left" vertical="top" wrapText="1"/>
    </xf>
    <xf numFmtId="0" fontId="15" fillId="0" borderId="36" xfId="0" applyFont="1" applyBorder="1" applyAlignment="1">
      <alignment horizontal="center" vertical="top"/>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0" fillId="0" borderId="1" xfId="0"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0" fillId="0" borderId="1" xfId="0" applyBorder="1" applyAlignment="1">
      <alignment horizontal="center" vertical="top" wrapText="1"/>
    </xf>
    <xf numFmtId="0" fontId="0" fillId="0" borderId="2" xfId="0" applyBorder="1" applyAlignment="1">
      <alignment vertical="top" wrapText="1"/>
    </xf>
    <xf numFmtId="0" fontId="37" fillId="5" borderId="6" xfId="0" applyFont="1" applyFill="1" applyBorder="1" applyAlignment="1">
      <alignment horizontal="center" vertical="top" wrapText="1"/>
    </xf>
    <xf numFmtId="0" fontId="0" fillId="0" borderId="4" xfId="0" applyBorder="1" applyAlignment="1">
      <alignment horizontal="center" vertical="top" wrapText="1"/>
    </xf>
    <xf numFmtId="0" fontId="15" fillId="0" borderId="2" xfId="0" applyFont="1" applyBorder="1" applyAlignment="1">
      <alignment horizontal="left" vertical="top" wrapText="1"/>
    </xf>
    <xf numFmtId="0" fontId="15" fillId="0" borderId="5" xfId="0" applyFont="1" applyBorder="1" applyAlignment="1">
      <alignment horizontal="center" vertical="top"/>
    </xf>
    <xf numFmtId="0" fontId="15" fillId="0" borderId="36" xfId="0" applyFont="1" applyBorder="1" applyAlignment="1">
      <alignment vertical="top"/>
    </xf>
    <xf numFmtId="0" fontId="15" fillId="0" borderId="7" xfId="0" applyFont="1" applyBorder="1" applyAlignment="1">
      <alignment vertical="top" wrapText="1"/>
    </xf>
    <xf numFmtId="0" fontId="21" fillId="0" borderId="1" xfId="0" applyFont="1" applyBorder="1" applyAlignment="1">
      <alignment horizontal="left" vertical="top" wrapText="1"/>
    </xf>
    <xf numFmtId="0" fontId="39" fillId="0" borderId="1" xfId="0" applyFont="1" applyBorder="1" applyAlignment="1">
      <alignment vertical="top" wrapText="1"/>
    </xf>
    <xf numFmtId="164" fontId="15" fillId="15" borderId="1" xfId="0" applyNumberFormat="1" applyFont="1" applyFill="1" applyBorder="1" applyAlignment="1">
      <alignment horizontal="center" vertical="center" wrapText="1"/>
    </xf>
    <xf numFmtId="164" fontId="24" fillId="19" borderId="1" xfId="0" applyNumberFormat="1" applyFont="1" applyFill="1" applyBorder="1" applyAlignment="1">
      <alignment horizontal="center" vertical="center" wrapText="1"/>
    </xf>
    <xf numFmtId="0" fontId="24" fillId="22" borderId="1"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0" xfId="0" applyAlignment="1">
      <alignment horizontal="center" vertical="center"/>
    </xf>
    <xf numFmtId="0" fontId="15" fillId="0" borderId="1" xfId="0" applyFont="1" applyBorder="1" applyAlignment="1">
      <alignment vertical="top" wrapText="1"/>
    </xf>
    <xf numFmtId="0" fontId="15" fillId="19" borderId="1" xfId="0" applyFont="1" applyFill="1" applyBorder="1" applyAlignment="1">
      <alignment vertical="top" wrapText="1"/>
    </xf>
    <xf numFmtId="0" fontId="40" fillId="0" borderId="1" xfId="0" applyFont="1" applyBorder="1" applyAlignment="1">
      <alignment horizontal="left" vertical="top" wrapText="1"/>
    </xf>
    <xf numFmtId="0" fontId="17" fillId="0" borderId="0" xfId="0" applyFont="1" applyAlignment="1">
      <alignment wrapText="1"/>
    </xf>
    <xf numFmtId="0" fontId="41" fillId="0" borderId="0" xfId="0" applyFont="1" applyAlignment="1">
      <alignment wrapText="1"/>
    </xf>
    <xf numFmtId="0" fontId="0" fillId="0" borderId="0" xfId="0" applyAlignment="1">
      <alignment wrapText="1"/>
    </xf>
    <xf numFmtId="0" fontId="0" fillId="19" borderId="0" xfId="0" applyFill="1" applyAlignment="1">
      <alignment wrapText="1"/>
    </xf>
    <xf numFmtId="0" fontId="42" fillId="0" borderId="1" xfId="3" applyFont="1" applyBorder="1" applyAlignment="1">
      <alignment vertical="center" wrapText="1"/>
    </xf>
    <xf numFmtId="0" fontId="15" fillId="19" borderId="4" xfId="0" applyFont="1" applyFill="1" applyBorder="1" applyAlignment="1">
      <alignment horizontal="left" vertical="top"/>
    </xf>
    <xf numFmtId="0" fontId="15" fillId="19" borderId="1" xfId="0" applyFont="1" applyFill="1" applyBorder="1" applyAlignment="1">
      <alignment horizontal="left" vertical="top"/>
    </xf>
    <xf numFmtId="0" fontId="43" fillId="0" borderId="1" xfId="0" applyFont="1" applyBorder="1" applyAlignment="1">
      <alignment vertical="top"/>
    </xf>
    <xf numFmtId="0" fontId="43" fillId="19" borderId="4" xfId="0" applyFont="1" applyFill="1" applyBorder="1" applyAlignment="1">
      <alignment horizontal="left" vertical="top"/>
    </xf>
    <xf numFmtId="0" fontId="43" fillId="19" borderId="1" xfId="0" applyFont="1" applyFill="1" applyBorder="1" applyAlignment="1">
      <alignment horizontal="left" vertical="top"/>
    </xf>
    <xf numFmtId="0" fontId="43" fillId="19" borderId="1" xfId="0" applyFont="1" applyFill="1" applyBorder="1" applyAlignment="1">
      <alignment horizontal="left" vertical="top" wrapText="1"/>
    </xf>
    <xf numFmtId="0" fontId="43" fillId="0" borderId="1" xfId="0" applyFont="1" applyBorder="1" applyAlignment="1">
      <alignment vertical="top" wrapText="1"/>
    </xf>
    <xf numFmtId="0" fontId="43" fillId="0" borderId="4" xfId="0" applyFont="1" applyBorder="1" applyAlignment="1">
      <alignment vertical="top"/>
    </xf>
    <xf numFmtId="0" fontId="43" fillId="0" borderId="1" xfId="0" applyFont="1" applyBorder="1" applyAlignment="1">
      <alignment horizontal="center" vertical="top"/>
    </xf>
    <xf numFmtId="0" fontId="43" fillId="0" borderId="2" xfId="0" applyFont="1" applyBorder="1" applyAlignment="1">
      <alignment vertical="top"/>
    </xf>
    <xf numFmtId="0" fontId="44" fillId="0" borderId="5" xfId="0" applyFont="1" applyBorder="1" applyAlignment="1">
      <alignment horizontal="center" vertical="top" wrapText="1"/>
    </xf>
    <xf numFmtId="0" fontId="44" fillId="0" borderId="36" xfId="0" applyFont="1" applyBorder="1" applyAlignment="1">
      <alignment vertical="top" wrapText="1"/>
    </xf>
    <xf numFmtId="0" fontId="3" fillId="0" borderId="0" xfId="0" applyFont="1" applyBorder="1" applyAlignment="1">
      <alignment vertical="top" wrapText="1"/>
    </xf>
    <xf numFmtId="0" fontId="0" fillId="0" borderId="5" xfId="0" applyFont="1" applyBorder="1" applyAlignment="1">
      <alignment vertical="top" wrapText="1"/>
    </xf>
    <xf numFmtId="0" fontId="0" fillId="0" borderId="39" xfId="0" applyFont="1" applyBorder="1" applyAlignment="1">
      <alignment horizontal="center" vertical="top" wrapText="1"/>
    </xf>
    <xf numFmtId="0" fontId="43" fillId="0" borderId="5" xfId="0" applyFont="1" applyBorder="1" applyAlignment="1">
      <alignment horizontal="center" vertical="top"/>
    </xf>
    <xf numFmtId="0" fontId="43" fillId="0" borderId="5" xfId="0" applyFont="1" applyBorder="1" applyAlignment="1">
      <alignment vertical="top"/>
    </xf>
    <xf numFmtId="0" fontId="43" fillId="15" borderId="5" xfId="0" applyNumberFormat="1" applyFont="1" applyFill="1" applyBorder="1" applyAlignment="1">
      <alignment vertical="top" wrapText="1"/>
    </xf>
    <xf numFmtId="0" fontId="43" fillId="18" borderId="5" xfId="0" applyFont="1" applyFill="1" applyBorder="1" applyAlignment="1">
      <alignment vertical="top"/>
    </xf>
    <xf numFmtId="0" fontId="43" fillId="0" borderId="5" xfId="0" applyFont="1" applyBorder="1" applyAlignment="1">
      <alignment horizontal="center" vertical="center"/>
    </xf>
    <xf numFmtId="0" fontId="43" fillId="19" borderId="5" xfId="0" applyFont="1" applyFill="1" applyBorder="1" applyAlignment="1">
      <alignment horizontal="center" vertical="center" wrapText="1"/>
    </xf>
    <xf numFmtId="164" fontId="43" fillId="15" borderId="5" xfId="0" applyNumberFormat="1" applyFont="1" applyFill="1" applyBorder="1" applyAlignment="1">
      <alignment horizontal="center" vertical="center" wrapText="1"/>
    </xf>
    <xf numFmtId="164" fontId="45" fillId="15" borderId="5" xfId="0" applyNumberFormat="1" applyFont="1" applyFill="1" applyBorder="1" applyAlignment="1">
      <alignment horizontal="center" vertical="center" wrapText="1"/>
    </xf>
    <xf numFmtId="164" fontId="45" fillId="19" borderId="5" xfId="0" applyNumberFormat="1" applyFont="1" applyFill="1" applyBorder="1" applyAlignment="1">
      <alignment horizontal="center" vertical="center" wrapText="1"/>
    </xf>
    <xf numFmtId="0" fontId="43" fillId="0" borderId="5" xfId="0" applyNumberFormat="1" applyFont="1" applyBorder="1" applyAlignment="1">
      <alignment horizontal="center" vertical="top" wrapText="1"/>
    </xf>
    <xf numFmtId="0" fontId="46" fillId="0" borderId="5" xfId="0" applyFont="1" applyBorder="1" applyAlignment="1">
      <alignment vertical="top"/>
    </xf>
    <xf numFmtId="0" fontId="43" fillId="19" borderId="5" xfId="0" applyNumberFormat="1" applyFont="1" applyFill="1" applyBorder="1" applyAlignment="1">
      <alignment horizontal="center" vertical="center" wrapText="1"/>
    </xf>
    <xf numFmtId="0" fontId="45" fillId="22" borderId="5" xfId="0" applyNumberFormat="1" applyFont="1" applyFill="1" applyBorder="1" applyAlignment="1">
      <alignment horizontal="center" vertical="center"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44" fillId="0" borderId="5" xfId="0" applyFont="1" applyBorder="1" applyAlignment="1">
      <alignment vertical="top" wrapText="1"/>
    </xf>
  </cellXfs>
  <cellStyles count="4">
    <cellStyle name="Excel Built-in Normal" xfId="2" xr:uid="{00000000-0005-0000-0000-000000000000}"/>
    <cellStyle name="Normal" xfId="0" builtinId="0"/>
    <cellStyle name="Normal 2" xfId="1" xr:uid="{00000000-0005-0000-0000-000002000000}"/>
    <cellStyle name="Normal 3" xfId="3" xr:uid="{00000000-0005-0000-0000-000003000000}"/>
  </cellStyles>
  <dxfs count="183">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Vishnu  K" id="{AE989636-13C7-4CDD-9E68-9C0C81A5AFAF}" userId="Vishnu  K" providerId="None"/>
  <person displayName="Manmeet_x0009_Singh" id="{5402DEF8-D36A-4FED-A72A-252DF8145E04}" userId="Manmeet_x0009_Singh" providerId="None"/>
  <person displayName="Pranay  Likhitkar" id="{CF833CF8-89D5-458A-84EA-D10BAED4BB12}" userId="S::pranay@payatu.io::5935e03e-b804-4de3-b379-232f1e85f32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4" totalsRowShown="0" headerRowDxfId="182" dataDxfId="180" headerRowBorderDxfId="181" tableBorderDxfId="179" totalsRowBorderDxfId="178">
  <autoFilter ref="A9:E24" xr:uid="{00000000-0009-0000-0100-000003000000}"/>
  <tableColumns count="5">
    <tableColumn id="1" xr3:uid="{00000000-0010-0000-0000-000001000000}" name="ID #" dataDxfId="177"/>
    <tableColumn id="2" xr3:uid="{00000000-0010-0000-0000-000002000000}" name="Asset Type_x000a_(Information/Physical)" dataDxfId="176"/>
    <tableColumn id="3" xr3:uid="{00000000-0010-0000-0000-000003000000}" name="Asset" dataDxfId="175"/>
    <tableColumn id="4" xr3:uid="{00000000-0010-0000-0000-000004000000}" name="Asset Description" dataDxfId="174"/>
    <tableColumn id="5" xr3:uid="{00000000-0010-0000-0000-000005000000}" name="Comments" dataDxfId="17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48" totalsRowShown="0" headerRowDxfId="172" dataDxfId="170" headerRowBorderDxfId="171" tableBorderDxfId="169" totalsRowBorderDxfId="168">
  <autoFilter ref="A4:D48" xr:uid="{00000000-0009-0000-0100-000002000000}"/>
  <tableColumns count="4">
    <tableColumn id="1" xr3:uid="{00000000-0010-0000-0100-000001000000}" name="Vuln. ID" dataDxfId="167"/>
    <tableColumn id="4" xr3:uid="{00000000-0010-0000-0100-000004000000}" name="Vulnerability Description" dataDxfId="166"/>
    <tableColumn id="5" xr3:uid="{00000000-0010-0000-0100-000005000000}" name="Applicable (Yes/No)" dataDxfId="165"/>
    <tableColumn id="6" xr3:uid="{00000000-0010-0000-0100-000006000000}" name="Rationale (if Vulnerability not applicable)" dataDxfId="16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headerRowDxfId="163" dataDxfId="161" headerRowBorderDxfId="162" tableBorderDxfId="160" totalsRowBorderDxfId="159">
  <autoFilter ref="A3:F17" xr:uid="{00000000-0009-0000-0100-000005000000}"/>
  <tableColumns count="6">
    <tableColumn id="1" xr3:uid="{00000000-0010-0000-0200-000001000000}" name="#" dataDxfId="158"/>
    <tableColumn id="2" xr3:uid="{00000000-0010-0000-0200-000002000000}" name="Threat Event " dataDxfId="157"/>
    <tableColumn id="3" xr3:uid="{00000000-0010-0000-0200-000003000000}" name="Description " dataDxfId="156"/>
    <tableColumn id="4" xr3:uid="{00000000-0010-0000-0200-000004000000}" name="Threat Source" dataDxfId="155"/>
    <tableColumn id="5" xr3:uid="{00000000-0010-0000-0200-000005000000}" name="In Scope (Yes/No)" dataDxfId="154"/>
    <tableColumn id="13" xr3:uid="{00000000-0010-0000-0200-00000D000000}" name="Rationale _x000a_(if out of scope)" dataDxfId="15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38" totalsRowShown="0" headerRowDxfId="152" dataDxfId="151" tableBorderDxfId="150">
  <autoFilter ref="A4:AQ38" xr:uid="{00000000-0009-0000-0100-000004000000}">
    <filterColumn colId="24">
      <filters>
        <filter val="MEDIUM"/>
      </filters>
    </filterColumn>
  </autoFilter>
  <tableColumns count="43">
    <tableColumn id="1" xr3:uid="{00000000-0010-0000-0300-000001000000}" name="_x000a_ID #" dataDxfId="149" totalsRowDxfId="148"/>
    <tableColumn id="23" xr3:uid="{00000000-0010-0000-0300-000017000000}" name="T ID" dataDxfId="147" totalsRowDxfId="146"/>
    <tableColumn id="2" xr3:uid="{00000000-0010-0000-0300-000002000000}" name="Threat Event(s)" dataDxfId="145" totalsRowDxfId="144">
      <calculatedColumnFormula>IF(VLOOKUP(Table4[[#This Row],[T ID]],Table5[#All],5,FALSE)="No","Not in scope",VLOOKUP(Table4[[#This Row],[T ID]],Table5[#All],2,FALSE))</calculatedColumnFormula>
    </tableColumn>
    <tableColumn id="22" xr3:uid="{00000000-0010-0000-0300-000016000000}" name="V ID" dataDxfId="143" totalsRowDxfId="142"/>
    <tableColumn id="3" xr3:uid="{00000000-0010-0000-0300-000003000000}" name="Vulnerabilities" dataDxfId="141" totalsRowDxfId="140">
      <calculatedColumnFormula>IF(VLOOKUP(Table4[[#This Row],[V ID]],Vulnerabilities[#All],3,FALSE)="No","Not in scope",VLOOKUP(Table4[[#This Row],[V ID]],Vulnerabilities[#All],2,FALSE))</calculatedColumnFormula>
    </tableColumn>
    <tableColumn id="24" xr3:uid="{00000000-0010-0000-0300-000018000000}" name="A ID" dataDxfId="139" totalsRowDxfId="138"/>
    <tableColumn id="4" xr3:uid="{00000000-0010-0000-0300-000004000000}" name="Asset" dataDxfId="137" totalsRowDxfId="136">
      <calculatedColumnFormula>VLOOKUP(Table4[[#This Row],[A ID]],Assets[#All],3,FALSE)</calculatedColumnFormula>
    </tableColumn>
    <tableColumn id="5" xr3:uid="{00000000-0010-0000-0300-000005000000}" name="Impact Description" dataDxfId="135" totalsRowDxfId="134"/>
    <tableColumn id="7" xr3:uid="{00000000-0010-0000-0300-000007000000}" name="Safety Impact _x000a_(Risk ID# or N/A)" dataDxfId="133" totalsRowDxfId="132"/>
    <tableColumn id="26" xr3:uid="{00000000-0010-0000-0300-00001A000000}" name="Confidentiality" dataDxfId="131" totalsRowDxfId="130"/>
    <tableColumn id="25" xr3:uid="{00000000-0010-0000-0300-000019000000}" name="Integrity" dataDxfId="129" totalsRowDxfId="128"/>
    <tableColumn id="21" xr3:uid="{00000000-0010-0000-0300-000015000000}" name="Availability" dataDxfId="127" totalsRowDxfId="126"/>
    <tableColumn id="44" xr3:uid="{00000000-0010-0000-0300-00002C000000}" name="Attack Vector" dataDxfId="125" totalsRowDxfId="124"/>
    <tableColumn id="45" xr3:uid="{00000000-0010-0000-0300-00002D000000}" name="Attack Complexity" dataDxfId="123" totalsRowDxfId="122"/>
    <tableColumn id="46" xr3:uid="{00000000-0010-0000-0300-00002E000000}" name="Privileges Required" dataDxfId="121" totalsRowDxfId="120"/>
    <tableColumn id="47" xr3:uid="{00000000-0010-0000-0300-00002F000000}" name="User Interaction" dataDxfId="119" totalsRowDxfId="118"/>
    <tableColumn id="43" xr3:uid="{00000000-0010-0000-0300-00002B000000}" name="Scope" dataDxfId="117" totalsRowDxfId="116"/>
    <tableColumn id="48" xr3:uid="{00000000-0010-0000-0300-000030000000}" name="Exploitability Sub Score" dataDxfId="115" totalsRowDxfId="11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3" totalsRowDxfId="11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1" totalsRowDxfId="11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9" totalsRowDxfId="10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7"/>
    <tableColumn id="33" xr3:uid="{00000000-0010-0000-0300-000021000000}" name="Threat Event Initiation_x000a_Score" dataDxfId="106" totalsRowDxfId="105">
      <calculatedColumnFormula>VLOOKUP(Table4[[#This Row],[Threat Event Initiation]],NIST_Scale_LOAI[],2,FALSE)</calculatedColumnFormula>
    </tableColumn>
    <tableColumn id="10" xr3:uid="{00000000-0010-0000-0300-00000A000000}" name="Overall Risk Score" dataDxfId="104" totalsRowDxfId="10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2" totalsRowDxfId="10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0" totalsRowDxfId="99"/>
    <tableColumn id="14" xr3:uid="{00000000-0010-0000-0300-00000E000000}" name="Implementation of Risk Control Measures " dataDxfId="98" totalsRowDxfId="97"/>
    <tableColumn id="15" xr3:uid="{00000000-0010-0000-0300-00000F000000}" name="Verification of Risk Control Measures (Effectiveness)" dataDxfId="96" totalsRowDxfId="95"/>
    <tableColumn id="13" xr3:uid="{00000000-0010-0000-0300-00000D000000}" name="ConfidentialityP" dataDxfId="94" totalsRowDxfId="93"/>
    <tableColumn id="27" xr3:uid="{00000000-0010-0000-0300-00001B000000}" name="IntegrityP" dataDxfId="92" totalsRowDxfId="91"/>
    <tableColumn id="28" xr3:uid="{00000000-0010-0000-0300-00001C000000}" name="AvailabilityP" dataDxfId="90" totalsRowDxfId="89"/>
    <tableColumn id="8" xr3:uid="{00000000-0010-0000-0300-000008000000}" name="Attack VectorP" dataDxfId="88" totalsRowDxfId="87"/>
    <tableColumn id="29" xr3:uid="{00000000-0010-0000-0300-00001D000000}" name="Attack ComplexityP" dataDxfId="86" totalsRowDxfId="85"/>
    <tableColumn id="30" xr3:uid="{00000000-0010-0000-0300-00001E000000}" name="Privileges RequiredP" dataDxfId="84" totalsRowDxfId="83"/>
    <tableColumn id="31" xr3:uid="{00000000-0010-0000-0300-00001F000000}" name="User InteractionP" dataDxfId="82"/>
    <tableColumn id="36" xr3:uid="{00000000-0010-0000-0300-000024000000}" name="ScopeP" dataDxfId="81" totalsRowDxfId="80"/>
    <tableColumn id="35" xr3:uid="{00000000-0010-0000-0300-000023000000}" name="Exploitability Sub ScoreP" dataDxfId="79" totalsRowDxfId="7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7" totalsRowDxfId="7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5" totalsRowDxfId="7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3" totalsRowDxfId="7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1" totalsRowDxfId="7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9" totalsRowDxfId="6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7" totalsRowDxfId="6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41415" displayName="Table41415" ref="A4:M9" totalsRowShown="0" headerRowDxfId="65" dataDxfId="64" tableBorderDxfId="63">
  <tableColumns count="13">
    <tableColumn id="1" xr3:uid="{00000000-0010-0000-0400-000001000000}" name="_x000a_ID #" dataDxfId="62" totalsRowDxfId="61">
      <calculatedColumnFormula>Table4[[#This Row],[
ID '#]]</calculatedColumnFormula>
    </tableColumn>
    <tableColumn id="23" xr3:uid="{00000000-0010-0000-0400-000017000000}" name="T ID" dataDxfId="60" totalsRowDxfId="59">
      <calculatedColumnFormula>IF(Table4[[#This Row],[A ID]]&gt;0,Table4[[#This Row],[T ID]],"")</calculatedColumnFormula>
    </tableColumn>
    <tableColumn id="2" xr3:uid="{00000000-0010-0000-0400-000002000000}" name="Threat Event(s)" dataDxfId="58" totalsRowDxfId="57">
      <calculatedColumnFormula>Table4[[#This Row],[Threat Event(s)]]</calculatedColumnFormula>
    </tableColumn>
    <tableColumn id="22" xr3:uid="{00000000-0010-0000-0400-000016000000}" name="V ID" dataDxfId="56" totalsRowDxfId="55">
      <calculatedColumnFormula>IF(Table4[[#This Row],[V ID]]&gt;0,Table4[[#This Row],[V ID]],"")</calculatedColumnFormula>
    </tableColumn>
    <tableColumn id="3" xr3:uid="{00000000-0010-0000-0400-000003000000}" name="Vulnerabilities" dataDxfId="54" totalsRowDxfId="53">
      <calculatedColumnFormula>Table4[[#This Row],[Vulnerabilities]]</calculatedColumnFormula>
    </tableColumn>
    <tableColumn id="24" xr3:uid="{00000000-0010-0000-0400-000018000000}" name="A ID" dataDxfId="52" totalsRowDxfId="51">
      <calculatedColumnFormula>IF(Table4[[#This Row],[A ID]]&gt;0,Table4[[#This Row],[A ID]],"")</calculatedColumnFormula>
    </tableColumn>
    <tableColumn id="4" xr3:uid="{00000000-0010-0000-0400-000004000000}" name="Assets" dataDxfId="50" totalsRowDxfId="49">
      <calculatedColumnFormula>Table4[[#This Row],[Asset]]</calculatedColumnFormula>
    </tableColumn>
    <tableColumn id="5" xr3:uid="{00000000-0010-0000-0400-000005000000}" name="Impact Description" dataDxfId="48" totalsRowDxfId="47">
      <calculatedColumnFormula>IF(Table4[[#This Row],[Impact Description]]&gt;0,Table4[[#This Row],[Impact Description]],"")</calculatedColumnFormula>
    </tableColumn>
    <tableColumn id="7" xr3:uid="{00000000-0010-0000-0400-000007000000}" name="Safety Impact _x000a_(Risk ID# or N/A)" dataDxfId="46" totalsRowDxfId="45">
      <calculatedColumnFormula>IF(Table4[[#This Row],[Safety Impact 
(Risk ID'# or N/A)]]&gt;0,Table4[[#This Row],[Safety Impact 
(Risk ID'# or N/A)]],"")</calculatedColumnFormula>
    </tableColumn>
    <tableColumn id="11" xr3:uid="{00000000-0010-0000-0400-00000B000000}" name="Pre-Controls _x000a_Risk Level" dataDxfId="44" totalsRowDxfId="43">
      <calculatedColumnFormula>Table4[[#This Row],[Security 
Risk 
Level]]</calculatedColumnFormula>
    </tableColumn>
    <tableColumn id="12" xr3:uid="{00000000-0010-0000-0400-00000C000000}" name="Security Risk Control Measures" dataDxfId="42" totalsRowDxfId="41">
      <calculatedColumnFormula>IF(Table4[[#This Row],[Security Risk Control Measures]]&gt;0,Table4[[#This Row],[Security Risk Control Measures]],"")</calculatedColumnFormula>
    </tableColumn>
    <tableColumn id="50" xr3:uid="{00000000-0010-0000-0400-000032000000}" name="Post-Controls Risk Level" dataDxfId="40" totalsRowDxfId="39">
      <calculatedColumnFormula>Table4[[#This Row],[Security Risk LevelP]]</calculatedColumnFormula>
    </tableColumn>
    <tableColumn id="20" xr3:uid="{00000000-0010-0000-0400-000014000000}" name="Residual Security Risk Acceptability Justification" dataDxfId="38" totalsRowDxfId="3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NIST_Scale_LOAI" displayName="NIST_Scale_LOAI" ref="Q4:R10" totalsRowShown="0" headerRowDxfId="36" dataDxfId="35" tableBorderDxfId="34">
  <autoFilter ref="Q4:R10" xr:uid="{00000000-0009-0000-0100-000006000000}"/>
  <tableColumns count="2">
    <tableColumn id="1" xr3:uid="{00000000-0010-0000-0500-000001000000}" name="Rating" dataDxfId="33"/>
    <tableColumn id="2" xr3:uid="{00000000-0010-0000-0500-000002000000}" name="Score" dataDxfId="32"/>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0" totalsRowShown="0" headerRowDxfId="31" dataDxfId="30" tableBorderDxfId="29">
  <autoFilter ref="A4:C10" xr:uid="{00000000-0009-0000-0100-000007000000}"/>
  <tableColumns count="3">
    <tableColumn id="1" xr3:uid="{00000000-0010-0000-0600-000001000000}" name="ID#" dataDxfId="28"/>
    <tableColumn id="2" xr3:uid="{00000000-0010-0000-0600-000002000000}" name="Threat Source" dataDxfId="27"/>
    <tableColumn id="3" xr3:uid="{00000000-0010-0000-0600-000003000000}" name="In Scope (Y/N)" dataDxfId="2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E4:G10" totalsRowShown="0" headerRowDxfId="25" dataDxfId="24" tableBorderDxfId="23">
  <autoFilter ref="E4:G10" xr:uid="{00000000-0009-0000-0100-000008000000}"/>
  <tableColumns count="3">
    <tableColumn id="1" xr3:uid="{00000000-0010-0000-0700-000001000000}" name="ID#" dataDxfId="22"/>
    <tableColumn id="2" xr3:uid="{00000000-0010-0000-0700-000002000000}" name="Source" dataDxfId="21"/>
    <tableColumn id="3" xr3:uid="{00000000-0010-0000-0700-000003000000}" name="In Scope (Y/N)" dataDxfId="2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5" dT="2021-12-01T09:29:45.58" personId="{5402DEF8-D36A-4FED-A72A-252DF8145E04}" id="{5B424D5A-FF05-4A09-8095-453760AD3CAD}">
    <text>#Gaurav for 4th point "Application should be updated with the latest version of dependencies" add a refrence.</text>
  </threadedComment>
  <threadedComment ref="AA8" dT="2021-12-01T10:23:39.39" personId="{5402DEF8-D36A-4FED-A72A-252DF8145E04}" id="{17B7D763-4DC8-4B7E-807B-4621B78BB4AF}">
    <text># Gaurav add the refrences properly. we have added the verififcation. Just go through it and create a cross reference. These points are technical so kindly see to it.</text>
  </threadedComment>
  <threadedComment ref="AB8" dT="2021-12-01T10:24:08.59" personId="{5402DEF8-D36A-4FED-A72A-252DF8145E04}" id="{0F54170B-0B62-4D76-B3DE-8728083215B5}">
    <text>#gaurav give a number to this point</text>
  </threadedComment>
  <threadedComment ref="AA14" dT="2021-12-01T14:15:54.43" personId="{5402DEF8-D36A-4FED-A72A-252DF8145E04}" id="{C9D5C198-31B4-46CB-9A79-52E6C77F05D8}">
    <text># Gaurav add reference for 3.1</text>
  </threadedComment>
  <threadedComment ref="AA19" dT="2021-12-02T07:21:07.61" personId="{AE989636-13C7-4CDD-9E68-9C0C81A5AFAF}" id="{8B7CC49C-18F2-4500-ADB2-3BFFBBF31019}">
    <text>#gaurav Please add reference to point 2.1 and 4.1</text>
  </threadedComment>
  <threadedComment ref="AA29" dT="2021-12-02T07:08:28.40" personId="{CF833CF8-89D5-458A-84EA-D10BAED4BB12}" id="{A061E1EA-0017-4478-AD87-436F1D6C4460}">
    <text>#Gaurav add reference for point 2</text>
  </threadedComment>
  <threadedComment ref="AA32" dT="2021-12-02T08:31:01.70" personId="{CF833CF8-89D5-458A-84EA-D10BAED4BB12}" id="{FC896880-8533-44BC-81FF-EDAC9EBF0BDC}">
    <text>#Gaurav please add proper points to document references</text>
  </threadedComment>
  <threadedComment ref="AA33" dT="2021-12-02T07:43:42.13" personId="{AE989636-13C7-4CDD-9E68-9C0C81A5AFAF}" id="{2A36A496-887F-42CB-9ACA-1232B227E68E}">
    <text>#gaurav Please provide reference for the point 1. The one given here is taking about the access management but it is related to license data. So please check if its applicable here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9"/>
  <sheetViews>
    <sheetView topLeftCell="A10" zoomScaleNormal="100" workbookViewId="0">
      <selection activeCell="C15" sqref="C15"/>
    </sheetView>
  </sheetViews>
  <sheetFormatPr defaultColWidth="9.1796875" defaultRowHeight="14"/>
  <cols>
    <col min="1" max="1" width="7.81640625" style="25" customWidth="1"/>
    <col min="2" max="2" width="30.7265625" style="25" customWidth="1"/>
    <col min="3" max="3" width="40.81640625" style="25" customWidth="1"/>
    <col min="4" max="4" width="51.26953125" style="25" customWidth="1"/>
    <col min="5" max="5" width="16.1796875" style="25" customWidth="1"/>
    <col min="6" max="6" width="14.26953125" style="25" customWidth="1"/>
    <col min="7" max="16384" width="9.1796875" style="25"/>
  </cols>
  <sheetData>
    <row r="1" spans="1:5" s="28" customFormat="1">
      <c r="A1" s="27" t="s">
        <v>0</v>
      </c>
    </row>
    <row r="2" spans="1:5" s="28" customFormat="1"/>
    <row r="3" spans="1:5" s="28" customFormat="1">
      <c r="A3" s="29" t="s">
        <v>1</v>
      </c>
      <c r="B3" s="30"/>
      <c r="C3" s="231" t="s">
        <v>332</v>
      </c>
      <c r="D3" s="231"/>
    </row>
    <row r="4" spans="1:5" s="28" customFormat="1">
      <c r="A4" s="31" t="s">
        <v>2</v>
      </c>
      <c r="B4" s="32"/>
      <c r="C4" s="231"/>
      <c r="D4" s="231"/>
    </row>
    <row r="5" spans="1:5" s="28" customFormat="1">
      <c r="A5" s="31" t="s">
        <v>3</v>
      </c>
      <c r="B5" s="32"/>
      <c r="C5" s="231" t="s">
        <v>4</v>
      </c>
      <c r="D5" s="231"/>
    </row>
    <row r="6" spans="1:5" s="28" customFormat="1" ht="30" customHeight="1">
      <c r="A6" s="33" t="s">
        <v>5</v>
      </c>
      <c r="B6" s="34"/>
      <c r="C6" s="231" t="s">
        <v>6</v>
      </c>
      <c r="D6" s="231"/>
    </row>
    <row r="7" spans="1:5" s="28" customFormat="1"/>
    <row r="8" spans="1:5" s="28" customFormat="1"/>
    <row r="9" spans="1:5" s="28" customFormat="1" ht="28">
      <c r="A9" s="35" t="s">
        <v>7</v>
      </c>
      <c r="B9" s="36" t="s">
        <v>8</v>
      </c>
      <c r="C9" s="36" t="s">
        <v>9</v>
      </c>
      <c r="D9" s="37" t="s">
        <v>10</v>
      </c>
      <c r="E9" s="182" t="s">
        <v>11</v>
      </c>
    </row>
    <row r="10" spans="1:5" s="28" customFormat="1">
      <c r="A10" s="38" t="s">
        <v>12</v>
      </c>
      <c r="B10" s="39" t="s">
        <v>13</v>
      </c>
      <c r="C10" s="195" t="s">
        <v>333</v>
      </c>
      <c r="D10" s="42"/>
    </row>
    <row r="11" spans="1:5" s="28" customFormat="1" ht="14.5">
      <c r="A11" s="38" t="s">
        <v>15</v>
      </c>
      <c r="B11" s="39" t="s">
        <v>17</v>
      </c>
      <c r="C11" s="177" t="s">
        <v>334</v>
      </c>
      <c r="D11" s="41"/>
    </row>
    <row r="12" spans="1:5" s="28" customFormat="1" ht="42">
      <c r="A12" s="38" t="s">
        <v>16</v>
      </c>
      <c r="B12" s="39" t="s">
        <v>17</v>
      </c>
      <c r="C12" s="195" t="s">
        <v>315</v>
      </c>
      <c r="D12" s="42" t="s">
        <v>19</v>
      </c>
    </row>
    <row r="13" spans="1:5" s="28" customFormat="1" ht="28">
      <c r="A13" s="38" t="s">
        <v>18</v>
      </c>
      <c r="B13" s="39" t="s">
        <v>17</v>
      </c>
      <c r="C13" s="177" t="s">
        <v>318</v>
      </c>
      <c r="D13" s="42" t="s">
        <v>21</v>
      </c>
    </row>
    <row r="14" spans="1:5" s="28" customFormat="1" ht="84">
      <c r="A14" s="38" t="s">
        <v>20</v>
      </c>
      <c r="B14" s="39" t="s">
        <v>17</v>
      </c>
      <c r="C14" s="177" t="s">
        <v>335</v>
      </c>
      <c r="D14" s="42" t="s">
        <v>23</v>
      </c>
      <c r="E14" s="28" t="s">
        <v>14</v>
      </c>
    </row>
    <row r="15" spans="1:5" s="28" customFormat="1" ht="43.5">
      <c r="A15" s="38" t="s">
        <v>22</v>
      </c>
      <c r="B15" s="39" t="s">
        <v>17</v>
      </c>
      <c r="C15" s="216" t="s">
        <v>375</v>
      </c>
      <c r="D15" s="42"/>
    </row>
    <row r="16" spans="1:5" s="28" customFormat="1" ht="84">
      <c r="A16" s="183" t="s">
        <v>24</v>
      </c>
      <c r="B16" s="180" t="s">
        <v>13</v>
      </c>
      <c r="C16" s="177" t="s">
        <v>319</v>
      </c>
      <c r="D16" s="181" t="s">
        <v>26</v>
      </c>
      <c r="E16" s="28" t="s">
        <v>14</v>
      </c>
    </row>
    <row r="17" spans="1:5" s="28" customFormat="1">
      <c r="A17" s="38" t="s">
        <v>25</v>
      </c>
      <c r="B17" s="39" t="s">
        <v>28</v>
      </c>
      <c r="C17" s="195" t="s">
        <v>29</v>
      </c>
      <c r="D17" s="42" t="s">
        <v>30</v>
      </c>
    </row>
    <row r="18" spans="1:5" s="28" customFormat="1">
      <c r="A18" s="38" t="s">
        <v>27</v>
      </c>
      <c r="B18" s="39" t="s">
        <v>28</v>
      </c>
      <c r="C18" s="195" t="s">
        <v>32</v>
      </c>
      <c r="D18" s="42" t="s">
        <v>33</v>
      </c>
    </row>
    <row r="19" spans="1:5" s="28" customFormat="1">
      <c r="A19" s="38" t="s">
        <v>31</v>
      </c>
      <c r="B19" s="39" t="s">
        <v>28</v>
      </c>
      <c r="C19" s="40" t="s">
        <v>35</v>
      </c>
      <c r="D19" s="184" t="s">
        <v>36</v>
      </c>
    </row>
    <row r="20" spans="1:5" s="28" customFormat="1">
      <c r="A20" s="38" t="s">
        <v>34</v>
      </c>
      <c r="B20" s="39" t="s">
        <v>17</v>
      </c>
      <c r="C20" s="195" t="s">
        <v>40</v>
      </c>
      <c r="D20" s="42" t="s">
        <v>41</v>
      </c>
    </row>
    <row r="21" spans="1:5" s="28" customFormat="1" ht="14.5">
      <c r="A21" s="38" t="s">
        <v>37</v>
      </c>
      <c r="B21" s="43" t="s">
        <v>17</v>
      </c>
      <c r="C21" s="202" t="s">
        <v>43</v>
      </c>
      <c r="D21" s="42" t="s">
        <v>44</v>
      </c>
    </row>
    <row r="22" spans="1:5" s="28" customFormat="1" ht="28">
      <c r="A22" s="38" t="s">
        <v>38</v>
      </c>
      <c r="B22" s="44" t="s">
        <v>17</v>
      </c>
      <c r="C22" s="45" t="s">
        <v>350</v>
      </c>
      <c r="D22" s="46"/>
    </row>
    <row r="23" spans="1:5" ht="14.5">
      <c r="A23" s="217" t="s">
        <v>39</v>
      </c>
      <c r="B23" s="213" t="s">
        <v>17</v>
      </c>
      <c r="C23" s="216" t="s">
        <v>365</v>
      </c>
      <c r="D23" s="214"/>
      <c r="E23" s="215"/>
    </row>
    <row r="24" spans="1:5" ht="14.5">
      <c r="A24" s="217"/>
      <c r="B24" s="213"/>
      <c r="C24" s="271"/>
      <c r="D24" s="214"/>
      <c r="E24" s="215"/>
    </row>
    <row r="36" spans="1:8">
      <c r="A36" s="26" t="s">
        <v>45</v>
      </c>
    </row>
    <row r="37" spans="1:8" ht="34.5" customHeight="1">
      <c r="B37" s="232" t="s">
        <v>46</v>
      </c>
      <c r="C37" s="232"/>
      <c r="D37" s="198"/>
      <c r="E37" s="198"/>
      <c r="F37" s="198"/>
      <c r="G37" s="198"/>
      <c r="H37" s="198"/>
    </row>
    <row r="39" spans="1:8">
      <c r="B39" s="28" t="s">
        <v>47</v>
      </c>
    </row>
  </sheetData>
  <mergeCells count="5">
    <mergeCell ref="C3:D3"/>
    <mergeCell ref="C4:D4"/>
    <mergeCell ref="C5:D5"/>
    <mergeCell ref="C6:D6"/>
    <mergeCell ref="B37:C37"/>
  </mergeCells>
  <dataValidations count="1">
    <dataValidation type="list" allowBlank="1" showInputMessage="1" showErrorMessage="1" sqref="C21" xr:uid="{00000000-0002-0000-0000-000000000000}">
      <formula1 xml:space="preserve"> AffectedAsset</formula1>
    </dataValidation>
  </dataValidation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51"/>
  <sheetViews>
    <sheetView topLeftCell="A10" zoomScaleNormal="100" workbookViewId="0">
      <selection activeCell="B18" sqref="B18"/>
    </sheetView>
  </sheetViews>
  <sheetFormatPr defaultColWidth="9.1796875" defaultRowHeight="14.5"/>
  <cols>
    <col min="1" max="1" width="31.7265625" style="23" customWidth="1"/>
    <col min="2" max="2" width="58.54296875" style="23" customWidth="1"/>
    <col min="3" max="3" width="20.7265625" style="23" customWidth="1"/>
    <col min="4" max="4" width="42.7265625" style="23" customWidth="1"/>
    <col min="5" max="16384" width="9.1796875" style="23"/>
  </cols>
  <sheetData>
    <row r="1" spans="1:4" s="47" customFormat="1" ht="15" customHeight="1">
      <c r="A1" s="27" t="s">
        <v>48</v>
      </c>
    </row>
    <row r="2" spans="1:4" s="47" customFormat="1" ht="15" customHeight="1">
      <c r="A2" s="27"/>
    </row>
    <row r="3" spans="1:4" s="47" customFormat="1" ht="14" hidden="1"/>
    <row r="4" spans="1:4" s="47" customFormat="1" ht="14">
      <c r="A4" s="48" t="s">
        <v>49</v>
      </c>
      <c r="B4" s="49" t="s">
        <v>50</v>
      </c>
      <c r="C4" s="49" t="s">
        <v>51</v>
      </c>
      <c r="D4" s="49" t="s">
        <v>52</v>
      </c>
    </row>
    <row r="5" spans="1:4" s="47" customFormat="1" ht="14">
      <c r="A5" s="50" t="s">
        <v>53</v>
      </c>
      <c r="B5" s="51" t="s">
        <v>336</v>
      </c>
      <c r="C5" s="195" t="s">
        <v>54</v>
      </c>
      <c r="D5" s="195" t="s">
        <v>55</v>
      </c>
    </row>
    <row r="6" spans="1:4" s="47" customFormat="1" ht="14">
      <c r="A6" s="52" t="s">
        <v>56</v>
      </c>
      <c r="B6" s="51" t="s">
        <v>371</v>
      </c>
      <c r="C6" s="195" t="s">
        <v>54</v>
      </c>
      <c r="D6" s="195" t="s">
        <v>55</v>
      </c>
    </row>
    <row r="7" spans="1:4" s="47" customFormat="1" ht="14">
      <c r="A7" s="52" t="s">
        <v>57</v>
      </c>
      <c r="B7" s="53" t="s">
        <v>337</v>
      </c>
      <c r="C7" s="195" t="s">
        <v>54</v>
      </c>
      <c r="D7" s="195" t="s">
        <v>55</v>
      </c>
    </row>
    <row r="8" spans="1:4" s="47" customFormat="1" ht="14">
      <c r="A8" s="52" t="s">
        <v>58</v>
      </c>
      <c r="B8" s="53" t="s">
        <v>338</v>
      </c>
      <c r="C8" s="195" t="s">
        <v>54</v>
      </c>
      <c r="D8" s="195" t="s">
        <v>55</v>
      </c>
    </row>
    <row r="9" spans="1:4" s="47" customFormat="1" ht="14">
      <c r="A9" s="52"/>
      <c r="B9" s="53"/>
      <c r="C9" s="195"/>
      <c r="D9" s="53"/>
    </row>
    <row r="10" spans="1:4" s="47" customFormat="1" ht="14">
      <c r="A10" s="52"/>
      <c r="B10" s="53"/>
      <c r="C10" s="195"/>
      <c r="D10" s="53"/>
    </row>
    <row r="11" spans="1:4" s="47" customFormat="1" ht="14">
      <c r="A11" s="54" t="s">
        <v>320</v>
      </c>
      <c r="B11" s="54"/>
      <c r="C11" s="54"/>
      <c r="D11" s="54"/>
    </row>
    <row r="12" spans="1:4" s="47" customFormat="1" ht="14">
      <c r="A12" s="55" t="s">
        <v>59</v>
      </c>
      <c r="B12" s="55" t="s">
        <v>339</v>
      </c>
      <c r="C12" s="195" t="s">
        <v>54</v>
      </c>
      <c r="D12" s="53" t="s">
        <v>63</v>
      </c>
    </row>
    <row r="13" spans="1:4" s="47" customFormat="1" ht="14">
      <c r="A13" s="52" t="s">
        <v>60</v>
      </c>
      <c r="B13" s="53" t="s">
        <v>340</v>
      </c>
      <c r="C13" s="195" t="s">
        <v>54</v>
      </c>
      <c r="D13" s="53" t="s">
        <v>55</v>
      </c>
    </row>
    <row r="14" spans="1:4" s="47" customFormat="1" ht="14">
      <c r="A14" s="52" t="s">
        <v>61</v>
      </c>
      <c r="B14" s="55" t="s">
        <v>62</v>
      </c>
      <c r="C14" s="195" t="s">
        <v>54</v>
      </c>
      <c r="D14" s="53" t="s">
        <v>63</v>
      </c>
    </row>
    <row r="15" spans="1:4" s="47" customFormat="1" ht="14">
      <c r="A15" s="52" t="s">
        <v>64</v>
      </c>
      <c r="B15" s="55" t="s">
        <v>363</v>
      </c>
      <c r="C15" s="195" t="s">
        <v>54</v>
      </c>
      <c r="D15" s="53" t="s">
        <v>63</v>
      </c>
    </row>
    <row r="16" spans="1:4" s="47" customFormat="1" ht="14">
      <c r="A16" s="52" t="s">
        <v>65</v>
      </c>
      <c r="B16" s="53" t="s">
        <v>364</v>
      </c>
      <c r="C16" s="195" t="s">
        <v>54</v>
      </c>
      <c r="D16" s="53" t="s">
        <v>55</v>
      </c>
    </row>
    <row r="17" spans="1:4" s="47" customFormat="1" ht="14">
      <c r="A17" s="52" t="s">
        <v>66</v>
      </c>
      <c r="B17" s="53" t="s">
        <v>342</v>
      </c>
      <c r="C17" s="195" t="s">
        <v>54</v>
      </c>
      <c r="D17" s="53" t="s">
        <v>55</v>
      </c>
    </row>
    <row r="18" spans="1:4" s="47" customFormat="1" ht="14">
      <c r="A18" s="52" t="s">
        <v>67</v>
      </c>
      <c r="B18" s="53" t="s">
        <v>341</v>
      </c>
      <c r="C18" s="195" t="s">
        <v>54</v>
      </c>
      <c r="D18" s="53" t="s">
        <v>55</v>
      </c>
    </row>
    <row r="19" spans="1:4" s="47" customFormat="1" ht="14">
      <c r="A19" s="210" t="s">
        <v>366</v>
      </c>
      <c r="B19" s="53" t="s">
        <v>367</v>
      </c>
      <c r="C19" s="209" t="s">
        <v>54</v>
      </c>
      <c r="D19" s="53" t="s">
        <v>55</v>
      </c>
    </row>
    <row r="20" spans="1:4" s="47" customFormat="1" ht="14">
      <c r="A20" s="54" t="s">
        <v>368</v>
      </c>
      <c r="B20" s="54"/>
      <c r="C20" s="54"/>
      <c r="D20" s="54"/>
    </row>
    <row r="21" spans="1:4" s="47" customFormat="1" ht="14">
      <c r="A21" s="55" t="s">
        <v>68</v>
      </c>
      <c r="B21" s="195" t="s">
        <v>314</v>
      </c>
      <c r="C21" s="195" t="s">
        <v>54</v>
      </c>
      <c r="D21" s="53" t="s">
        <v>55</v>
      </c>
    </row>
    <row r="22" spans="1:4" s="47" customFormat="1" ht="14">
      <c r="A22" s="55" t="s">
        <v>69</v>
      </c>
      <c r="B22" s="195" t="s">
        <v>369</v>
      </c>
      <c r="C22" s="195" t="s">
        <v>54</v>
      </c>
      <c r="D22" s="53" t="s">
        <v>55</v>
      </c>
    </row>
    <row r="23" spans="1:4" s="47" customFormat="1" ht="28">
      <c r="A23" s="55" t="s">
        <v>70</v>
      </c>
      <c r="B23" s="195" t="s">
        <v>343</v>
      </c>
      <c r="C23" s="195" t="s">
        <v>54</v>
      </c>
      <c r="D23" s="53" t="s">
        <v>55</v>
      </c>
    </row>
    <row r="24" spans="1:4" s="47" customFormat="1" ht="14">
      <c r="A24" s="55" t="s">
        <v>71</v>
      </c>
      <c r="B24" s="195" t="s">
        <v>344</v>
      </c>
      <c r="C24" s="195" t="s">
        <v>54</v>
      </c>
      <c r="D24" s="53" t="s">
        <v>55</v>
      </c>
    </row>
    <row r="25" spans="1:4" s="47" customFormat="1" ht="14">
      <c r="A25" s="52" t="s">
        <v>72</v>
      </c>
      <c r="B25" s="53" t="s">
        <v>75</v>
      </c>
      <c r="C25" s="195" t="s">
        <v>54</v>
      </c>
      <c r="D25" s="53" t="s">
        <v>55</v>
      </c>
    </row>
    <row r="26" spans="1:4" s="47" customFormat="1" ht="14">
      <c r="A26" s="52" t="s">
        <v>73</v>
      </c>
      <c r="B26" s="53" t="s">
        <v>345</v>
      </c>
      <c r="C26" s="195" t="s">
        <v>54</v>
      </c>
      <c r="D26" s="53" t="s">
        <v>55</v>
      </c>
    </row>
    <row r="27" spans="1:4" s="47" customFormat="1" ht="14">
      <c r="A27" s="52" t="s">
        <v>316</v>
      </c>
      <c r="B27" s="53" t="s">
        <v>80</v>
      </c>
      <c r="C27" s="195" t="s">
        <v>54</v>
      </c>
      <c r="D27" s="53" t="s">
        <v>55</v>
      </c>
    </row>
    <row r="28" spans="1:4" s="47" customFormat="1" ht="14">
      <c r="A28" s="52" t="s">
        <v>317</v>
      </c>
      <c r="B28" s="53" t="s">
        <v>81</v>
      </c>
      <c r="C28" s="195" t="s">
        <v>54</v>
      </c>
      <c r="D28" s="53" t="s">
        <v>55</v>
      </c>
    </row>
    <row r="29" spans="1:4" s="47" customFormat="1" ht="14">
      <c r="A29" s="178" t="s">
        <v>349</v>
      </c>
      <c r="B29" s="179"/>
      <c r="C29" s="179"/>
      <c r="D29" s="179"/>
    </row>
    <row r="30" spans="1:4" s="47" customFormat="1" ht="14">
      <c r="A30" s="206" t="s">
        <v>74</v>
      </c>
      <c r="B30" s="207" t="s">
        <v>370</v>
      </c>
      <c r="C30" s="195" t="s">
        <v>54</v>
      </c>
      <c r="D30" s="53" t="s">
        <v>55</v>
      </c>
    </row>
    <row r="31" spans="1:4" s="47" customFormat="1" ht="28">
      <c r="A31" s="206" t="s">
        <v>348</v>
      </c>
      <c r="B31" s="208" t="s">
        <v>347</v>
      </c>
      <c r="C31" s="195" t="s">
        <v>54</v>
      </c>
      <c r="D31" s="53" t="s">
        <v>55</v>
      </c>
    </row>
    <row r="32" spans="1:4" s="47" customFormat="1" ht="14">
      <c r="A32" s="206" t="s">
        <v>77</v>
      </c>
      <c r="B32" s="208" t="s">
        <v>351</v>
      </c>
      <c r="C32" s="209" t="s">
        <v>54</v>
      </c>
      <c r="D32" s="53" t="s">
        <v>55</v>
      </c>
    </row>
    <row r="33" spans="1:8" s="47" customFormat="1" ht="14">
      <c r="A33" s="206" t="s">
        <v>78</v>
      </c>
      <c r="B33" s="208" t="s">
        <v>352</v>
      </c>
      <c r="C33" s="209" t="s">
        <v>54</v>
      </c>
      <c r="D33" s="53" t="s">
        <v>55</v>
      </c>
    </row>
    <row r="34" spans="1:8" s="47" customFormat="1" ht="14">
      <c r="A34" s="203" t="s">
        <v>79</v>
      </c>
      <c r="B34" s="204" t="s">
        <v>353</v>
      </c>
      <c r="C34" s="209" t="s">
        <v>54</v>
      </c>
      <c r="D34" s="53" t="s">
        <v>55</v>
      </c>
    </row>
    <row r="35" spans="1:8" s="47" customFormat="1" ht="14">
      <c r="A35" s="206"/>
      <c r="B35" s="208"/>
      <c r="C35" s="209"/>
      <c r="D35" s="205"/>
    </row>
    <row r="36" spans="1:8" s="47" customFormat="1" ht="14">
      <c r="A36" s="206"/>
      <c r="B36" s="207"/>
      <c r="C36" s="207"/>
      <c r="D36" s="207"/>
    </row>
    <row r="37" spans="1:8" s="47" customFormat="1" ht="14">
      <c r="A37" s="178" t="s">
        <v>82</v>
      </c>
      <c r="B37" s="179"/>
      <c r="C37" s="179"/>
      <c r="D37" s="179"/>
    </row>
    <row r="38" spans="1:8" s="47" customFormat="1" ht="14">
      <c r="A38" s="52" t="s">
        <v>83</v>
      </c>
      <c r="B38" s="53" t="s">
        <v>346</v>
      </c>
      <c r="C38" s="195" t="s">
        <v>54</v>
      </c>
      <c r="D38" s="53" t="s">
        <v>55</v>
      </c>
    </row>
    <row r="39" spans="1:8" s="47" customFormat="1" ht="14">
      <c r="A39" s="52" t="s">
        <v>84</v>
      </c>
      <c r="B39" s="53" t="s">
        <v>85</v>
      </c>
      <c r="C39" s="195" t="s">
        <v>76</v>
      </c>
      <c r="D39" s="53" t="s">
        <v>55</v>
      </c>
    </row>
    <row r="40" spans="1:8" s="47" customFormat="1" ht="14">
      <c r="A40" s="56" t="s">
        <v>86</v>
      </c>
      <c r="B40" s="57" t="s">
        <v>87</v>
      </c>
      <c r="C40" s="195" t="s">
        <v>76</v>
      </c>
      <c r="D40" s="53" t="s">
        <v>55</v>
      </c>
    </row>
    <row r="41" spans="1:8" s="47" customFormat="1" ht="14">
      <c r="A41" s="56" t="s">
        <v>88</v>
      </c>
      <c r="B41" s="57" t="s">
        <v>89</v>
      </c>
      <c r="C41" s="195" t="s">
        <v>54</v>
      </c>
      <c r="D41" s="53" t="s">
        <v>55</v>
      </c>
    </row>
    <row r="42" spans="1:8" s="47" customFormat="1" ht="14">
      <c r="A42" s="52" t="s">
        <v>330</v>
      </c>
      <c r="B42" s="53" t="s">
        <v>331</v>
      </c>
      <c r="C42" s="195" t="s">
        <v>54</v>
      </c>
      <c r="D42" s="53" t="s">
        <v>55</v>
      </c>
      <c r="E42" s="198"/>
      <c r="F42" s="198"/>
      <c r="G42" s="198"/>
      <c r="H42" s="198"/>
    </row>
    <row r="43" spans="1:8" s="47" customFormat="1" ht="14">
      <c r="A43" s="178" t="s">
        <v>321</v>
      </c>
      <c r="B43" s="179"/>
      <c r="C43" s="179"/>
      <c r="D43" s="179"/>
    </row>
    <row r="44" spans="1:8">
      <c r="A44" s="203" t="s">
        <v>325</v>
      </c>
      <c r="B44" s="204" t="s">
        <v>322</v>
      </c>
      <c r="C44" s="195" t="s">
        <v>76</v>
      </c>
      <c r="D44" s="53" t="s">
        <v>55</v>
      </c>
    </row>
    <row r="45" spans="1:8">
      <c r="A45" s="203" t="s">
        <v>326</v>
      </c>
      <c r="B45" s="204" t="s">
        <v>323</v>
      </c>
      <c r="C45" s="195" t="s">
        <v>76</v>
      </c>
      <c r="D45" s="53" t="s">
        <v>55</v>
      </c>
    </row>
    <row r="46" spans="1:8">
      <c r="A46" s="203" t="s">
        <v>327</v>
      </c>
      <c r="B46" s="204" t="s">
        <v>324</v>
      </c>
      <c r="C46" s="195" t="s">
        <v>76</v>
      </c>
      <c r="D46" s="53" t="s">
        <v>55</v>
      </c>
    </row>
    <row r="47" spans="1:8">
      <c r="A47" s="203"/>
      <c r="B47" s="204"/>
      <c r="C47" s="204"/>
      <c r="D47" s="204"/>
    </row>
    <row r="48" spans="1:8">
      <c r="A48" s="56"/>
      <c r="B48" s="57"/>
      <c r="C48" s="57"/>
      <c r="D48" s="57"/>
    </row>
    <row r="49" spans="1:4">
      <c r="A49" s="26" t="s">
        <v>45</v>
      </c>
      <c r="B49" s="47"/>
      <c r="C49" s="47"/>
      <c r="D49" s="47"/>
    </row>
    <row r="50" spans="1:4" ht="42">
      <c r="A50" s="47"/>
      <c r="B50" s="198" t="s">
        <v>46</v>
      </c>
      <c r="C50" s="198"/>
      <c r="D50" s="198"/>
    </row>
    <row r="51" spans="1:4">
      <c r="A51" s="47"/>
      <c r="B51" s="47"/>
      <c r="C51" s="47"/>
      <c r="D51" s="47"/>
    </row>
  </sheetData>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m:sqref>C5:C10 C38:C42 C21:C28 C30:C35 C44:C46 C12:C19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65"/>
  <sheetViews>
    <sheetView topLeftCell="A8" zoomScaleNormal="100" workbookViewId="0">
      <selection activeCell="B11" sqref="B11"/>
    </sheetView>
  </sheetViews>
  <sheetFormatPr defaultColWidth="9.1796875" defaultRowHeight="14.5"/>
  <cols>
    <col min="1" max="1" width="6.1796875" style="23" customWidth="1"/>
    <col min="2" max="2" width="61" style="23" bestFit="1" customWidth="1"/>
    <col min="3" max="3" width="49.453125" style="23" customWidth="1"/>
    <col min="4" max="4" width="27.81640625" style="23" customWidth="1"/>
    <col min="5" max="5" width="15.1796875" style="24" customWidth="1"/>
    <col min="6" max="6" width="24.7265625" style="23" customWidth="1"/>
    <col min="7" max="16384" width="9.1796875" style="23"/>
  </cols>
  <sheetData>
    <row r="1" spans="1:6" s="47" customFormat="1" ht="14">
      <c r="A1" s="27" t="s">
        <v>218</v>
      </c>
      <c r="E1" s="58"/>
    </row>
    <row r="2" spans="1:6" s="47" customFormat="1" ht="14">
      <c r="E2" s="58"/>
    </row>
    <row r="3" spans="1:6" s="47" customFormat="1" ht="28">
      <c r="A3" s="59" t="s">
        <v>219</v>
      </c>
      <c r="B3" s="59" t="s">
        <v>220</v>
      </c>
      <c r="C3" s="59" t="s">
        <v>221</v>
      </c>
      <c r="D3" s="59" t="s">
        <v>222</v>
      </c>
      <c r="E3" s="59" t="s">
        <v>223</v>
      </c>
      <c r="F3" s="60" t="s">
        <v>224</v>
      </c>
    </row>
    <row r="4" spans="1:6" s="67" customFormat="1" ht="56">
      <c r="A4" s="187" t="s">
        <v>138</v>
      </c>
      <c r="B4" s="61" t="s">
        <v>225</v>
      </c>
      <c r="C4" s="62" t="s">
        <v>328</v>
      </c>
      <c r="D4" s="63" t="s">
        <v>362</v>
      </c>
      <c r="E4" s="64" t="s">
        <v>54</v>
      </c>
      <c r="F4" s="66" t="s">
        <v>55</v>
      </c>
    </row>
    <row r="5" spans="1:6" s="47" customFormat="1" ht="56">
      <c r="A5" s="187" t="s">
        <v>151</v>
      </c>
      <c r="B5" s="61" t="s">
        <v>227</v>
      </c>
      <c r="C5" s="62" t="s">
        <v>329</v>
      </c>
      <c r="D5" s="63" t="s">
        <v>228</v>
      </c>
      <c r="E5" s="64" t="s">
        <v>54</v>
      </c>
      <c r="F5" s="66" t="s">
        <v>55</v>
      </c>
    </row>
    <row r="6" spans="1:6" s="47" customFormat="1" ht="70">
      <c r="A6" s="187" t="s">
        <v>155</v>
      </c>
      <c r="B6" s="61" t="s">
        <v>354</v>
      </c>
      <c r="C6" s="61" t="s">
        <v>230</v>
      </c>
      <c r="D6" s="63" t="s">
        <v>226</v>
      </c>
      <c r="E6" s="64" t="s">
        <v>54</v>
      </c>
      <c r="F6" s="66" t="s">
        <v>55</v>
      </c>
    </row>
    <row r="7" spans="1:6" s="47" customFormat="1" ht="56">
      <c r="A7" s="187" t="s">
        <v>231</v>
      </c>
      <c r="B7" s="195" t="s">
        <v>355</v>
      </c>
      <c r="C7" s="68" t="s">
        <v>232</v>
      </c>
      <c r="D7" s="188" t="s">
        <v>233</v>
      </c>
      <c r="E7" s="64" t="s">
        <v>54</v>
      </c>
      <c r="F7" s="66" t="s">
        <v>55</v>
      </c>
    </row>
    <row r="8" spans="1:6" s="47" customFormat="1" ht="28">
      <c r="A8" s="57" t="s">
        <v>166</v>
      </c>
      <c r="B8" s="57" t="s">
        <v>356</v>
      </c>
      <c r="C8" s="45" t="s">
        <v>357</v>
      </c>
      <c r="D8" s="45" t="s">
        <v>226</v>
      </c>
      <c r="E8" s="185" t="s">
        <v>54</v>
      </c>
      <c r="F8" s="186"/>
    </row>
    <row r="9" spans="1:6" s="47" customFormat="1" ht="56">
      <c r="A9" s="57" t="s">
        <v>179</v>
      </c>
      <c r="B9" s="57" t="s">
        <v>359</v>
      </c>
      <c r="C9" s="45" t="s">
        <v>234</v>
      </c>
      <c r="D9" s="45" t="s">
        <v>233</v>
      </c>
      <c r="E9" s="185" t="s">
        <v>54</v>
      </c>
      <c r="F9" s="186"/>
    </row>
    <row r="10" spans="1:6" s="47" customFormat="1" ht="28">
      <c r="A10" s="53" t="s">
        <v>192</v>
      </c>
      <c r="B10" s="57" t="s">
        <v>358</v>
      </c>
      <c r="C10" s="195" t="s">
        <v>235</v>
      </c>
      <c r="D10" s="53" t="s">
        <v>236</v>
      </c>
      <c r="E10" s="64" t="s">
        <v>54</v>
      </c>
      <c r="F10" s="66"/>
    </row>
    <row r="11" spans="1:6" s="47" customFormat="1" ht="28">
      <c r="A11" s="53" t="s">
        <v>199</v>
      </c>
      <c r="B11" s="195" t="s">
        <v>379</v>
      </c>
      <c r="C11" s="195" t="s">
        <v>237</v>
      </c>
      <c r="D11" s="53" t="s">
        <v>226</v>
      </c>
      <c r="E11" s="64" t="s">
        <v>54</v>
      </c>
      <c r="F11" s="66"/>
    </row>
    <row r="12" spans="1:6" s="47" customFormat="1" ht="14">
      <c r="A12" s="53" t="s">
        <v>204</v>
      </c>
      <c r="B12" s="53" t="s">
        <v>360</v>
      </c>
      <c r="C12" s="53" t="s">
        <v>238</v>
      </c>
      <c r="D12" s="53" t="s">
        <v>226</v>
      </c>
      <c r="E12" s="64" t="s">
        <v>54</v>
      </c>
      <c r="F12" s="66"/>
    </row>
    <row r="13" spans="1:6" s="47" customFormat="1" ht="56">
      <c r="A13" s="53" t="s">
        <v>211</v>
      </c>
      <c r="B13" s="195" t="s">
        <v>372</v>
      </c>
      <c r="C13" s="195" t="s">
        <v>239</v>
      </c>
      <c r="D13" s="195" t="s">
        <v>233</v>
      </c>
      <c r="E13" s="64" t="s">
        <v>54</v>
      </c>
      <c r="F13" s="66"/>
    </row>
    <row r="14" spans="1:6" s="47" customFormat="1" ht="14">
      <c r="A14" s="53" t="s">
        <v>212</v>
      </c>
      <c r="B14" s="53" t="s">
        <v>361</v>
      </c>
      <c r="C14" s="195"/>
      <c r="D14" s="53"/>
      <c r="E14" s="64"/>
      <c r="F14" s="66"/>
    </row>
    <row r="15" spans="1:6" s="47" customFormat="1" ht="13.15" customHeight="1">
      <c r="A15" s="205"/>
      <c r="B15" s="205"/>
      <c r="C15" s="209"/>
      <c r="D15" s="205"/>
      <c r="E15" s="211"/>
      <c r="F15" s="212"/>
    </row>
    <row r="16" spans="1:6" s="47" customFormat="1" ht="14">
      <c r="A16" s="57"/>
      <c r="B16" s="57"/>
      <c r="C16" s="57"/>
      <c r="D16" s="57"/>
      <c r="E16" s="185"/>
      <c r="F16" s="186"/>
    </row>
    <row r="17" spans="1:7" s="47" customFormat="1" ht="30" customHeight="1">
      <c r="A17" s="205"/>
      <c r="B17" s="205"/>
      <c r="C17" s="205"/>
      <c r="D17" s="205"/>
      <c r="E17" s="211"/>
      <c r="F17" s="212"/>
      <c r="G17" s="198"/>
    </row>
    <row r="18" spans="1:7" s="47" customFormat="1" ht="14">
      <c r="A18" s="26" t="s">
        <v>45</v>
      </c>
      <c r="E18" s="58"/>
    </row>
    <row r="19" spans="1:7" s="47" customFormat="1" ht="14">
      <c r="B19" s="232" t="s">
        <v>46</v>
      </c>
      <c r="C19" s="232"/>
      <c r="D19" s="232"/>
      <c r="E19" s="198"/>
      <c r="F19" s="198"/>
    </row>
    <row r="20" spans="1:7" s="47" customFormat="1" ht="14">
      <c r="E20" s="58"/>
    </row>
    <row r="21" spans="1:7" s="47" customFormat="1" ht="14">
      <c r="E21" s="58"/>
    </row>
    <row r="22" spans="1:7" s="47" customFormat="1" ht="14">
      <c r="E22" s="58"/>
    </row>
    <row r="23" spans="1:7" s="47" customFormat="1" ht="14">
      <c r="E23" s="58"/>
    </row>
    <row r="24" spans="1:7" s="47" customFormat="1" ht="14">
      <c r="E24" s="58"/>
    </row>
    <row r="25" spans="1:7" s="47" customFormat="1" ht="14">
      <c r="E25" s="58"/>
    </row>
    <row r="26" spans="1:7" s="47" customFormat="1" ht="14">
      <c r="E26" s="58"/>
    </row>
    <row r="27" spans="1:7" s="47" customFormat="1" ht="14">
      <c r="E27" s="58"/>
    </row>
    <row r="28" spans="1:7" s="47" customFormat="1" ht="14">
      <c r="E28" s="58"/>
    </row>
    <row r="29" spans="1:7" s="47" customFormat="1" ht="14">
      <c r="E29" s="58"/>
    </row>
    <row r="30" spans="1:7" s="47" customFormat="1" ht="14">
      <c r="E30" s="58"/>
    </row>
    <row r="31" spans="1:7" s="47" customFormat="1" ht="14">
      <c r="E31" s="58"/>
    </row>
    <row r="32" spans="1:7" s="47" customFormat="1" ht="14">
      <c r="E32" s="58"/>
    </row>
    <row r="33" spans="5:5" s="47" customFormat="1" ht="14">
      <c r="E33" s="58"/>
    </row>
    <row r="34" spans="5:5" s="47" customFormat="1" ht="14">
      <c r="E34" s="58"/>
    </row>
    <row r="35" spans="5:5" s="47" customFormat="1" ht="14">
      <c r="E35" s="58"/>
    </row>
    <row r="36" spans="5:5" s="47" customFormat="1" ht="14">
      <c r="E36" s="58"/>
    </row>
    <row r="37" spans="5:5" s="47" customFormat="1" ht="14">
      <c r="E37" s="58"/>
    </row>
    <row r="38" spans="5:5" s="47" customFormat="1" ht="14">
      <c r="E38" s="58"/>
    </row>
    <row r="39" spans="5:5" s="47" customFormat="1" ht="14">
      <c r="E39" s="58"/>
    </row>
    <row r="40" spans="5:5" s="47" customFormat="1" ht="14">
      <c r="E40" s="58"/>
    </row>
    <row r="41" spans="5:5" s="47" customFormat="1" ht="14">
      <c r="E41" s="58"/>
    </row>
    <row r="42" spans="5:5" s="47" customFormat="1" ht="14">
      <c r="E42" s="58"/>
    </row>
    <row r="43" spans="5:5" s="47" customFormat="1" ht="14">
      <c r="E43" s="58"/>
    </row>
    <row r="44" spans="5:5" s="47" customFormat="1" ht="14">
      <c r="E44" s="58"/>
    </row>
    <row r="45" spans="5:5" s="47" customFormat="1" ht="14">
      <c r="E45" s="58"/>
    </row>
    <row r="46" spans="5:5" s="47" customFormat="1" ht="14">
      <c r="E46" s="58"/>
    </row>
    <row r="47" spans="5:5" s="47" customFormat="1" ht="14">
      <c r="E47" s="58"/>
    </row>
    <row r="48" spans="5:5" s="47" customFormat="1" ht="14">
      <c r="E48" s="58"/>
    </row>
    <row r="49" spans="1:6" s="47" customFormat="1" ht="14">
      <c r="E49" s="58"/>
    </row>
    <row r="50" spans="1:6" s="47" customFormat="1" ht="14">
      <c r="E50" s="58"/>
    </row>
    <row r="51" spans="1:6" s="47" customFormat="1" ht="14">
      <c r="E51" s="58"/>
    </row>
    <row r="52" spans="1:6" s="47" customFormat="1" ht="14">
      <c r="E52" s="58"/>
    </row>
    <row r="53" spans="1:6" s="47" customFormat="1" ht="14">
      <c r="E53" s="58"/>
    </row>
    <row r="54" spans="1:6" s="47" customFormat="1" ht="14">
      <c r="E54" s="58"/>
    </row>
    <row r="55" spans="1:6" s="47" customFormat="1" ht="14">
      <c r="E55" s="58"/>
    </row>
    <row r="56" spans="1:6" s="47" customFormat="1" ht="14">
      <c r="E56" s="58"/>
    </row>
    <row r="57" spans="1:6" s="47" customFormat="1" ht="14">
      <c r="E57" s="58"/>
    </row>
    <row r="58" spans="1:6" s="47" customFormat="1" ht="14">
      <c r="E58" s="58"/>
    </row>
    <row r="59" spans="1:6" s="47" customFormat="1" ht="14">
      <c r="E59" s="58"/>
    </row>
    <row r="60" spans="1:6" s="47" customFormat="1" ht="14">
      <c r="E60" s="58"/>
    </row>
    <row r="61" spans="1:6" s="47" customFormat="1" ht="14">
      <c r="E61" s="58"/>
    </row>
    <row r="62" spans="1:6" s="47" customFormat="1" ht="14">
      <c r="E62" s="58"/>
    </row>
    <row r="63" spans="1:6" s="47" customFormat="1" ht="14">
      <c r="E63" s="58"/>
    </row>
    <row r="64" spans="1:6">
      <c r="A64" s="47"/>
      <c r="B64" s="47"/>
      <c r="C64" s="47"/>
      <c r="D64" s="47"/>
      <c r="E64" s="58"/>
      <c r="F64" s="47"/>
    </row>
    <row r="65" spans="1:6">
      <c r="A65" s="47"/>
      <c r="B65" s="47"/>
      <c r="C65" s="47"/>
      <c r="D65" s="47"/>
      <c r="E65" s="58"/>
      <c r="F65" s="47"/>
    </row>
  </sheetData>
  <mergeCells count="1">
    <mergeCell ref="B19:D19"/>
  </mergeCells>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E4:E17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46"/>
  <sheetViews>
    <sheetView tabSelected="1" zoomScale="70" zoomScaleNormal="70" workbookViewId="0">
      <pane xSplit="7" ySplit="4" topLeftCell="H22" activePane="bottomRight" state="frozen"/>
      <selection pane="topRight" activeCell="H1" sqref="H1"/>
      <selection pane="bottomLeft" activeCell="A5" sqref="A5"/>
      <selection pane="bottomRight" activeCell="M12" sqref="M12"/>
    </sheetView>
  </sheetViews>
  <sheetFormatPr defaultColWidth="9.1796875" defaultRowHeight="14.5"/>
  <cols>
    <col min="2" max="2" width="4.81640625" customWidth="1"/>
    <col min="3" max="3" width="38.7265625" customWidth="1"/>
    <col min="4" max="4" width="5" customWidth="1"/>
    <col min="5" max="5" width="29.54296875" bestFit="1" customWidth="1"/>
    <col min="6" max="6" width="6.26953125" customWidth="1"/>
    <col min="7" max="7" width="19.90625" bestFit="1" customWidth="1"/>
    <col min="8" max="8" width="44.1796875" customWidth="1"/>
    <col min="9" max="9" width="25.453125" hidden="1" customWidth="1"/>
    <col min="10" max="12" width="9.1796875" style="194" customWidth="1"/>
    <col min="13" max="17" width="15.81640625" customWidth="1"/>
    <col min="18" max="20" width="15.81640625" hidden="1" customWidth="1"/>
    <col min="21" max="21" width="15.81640625" customWidth="1"/>
    <col min="22" max="22" width="15.26953125" customWidth="1"/>
    <col min="23" max="23" width="17.453125" hidden="1" customWidth="1"/>
    <col min="24" max="25" width="12.1796875" customWidth="1"/>
    <col min="26" max="26" width="35.7265625" customWidth="1"/>
    <col min="27" max="27" width="32.7265625" customWidth="1"/>
    <col min="28" max="28" width="23.1796875" customWidth="1"/>
    <col min="29" max="31" width="9.1796875" customWidth="1"/>
    <col min="32" max="36" width="15.81640625" customWidth="1"/>
    <col min="37" max="39" width="15.81640625" hidden="1" customWidth="1"/>
    <col min="40" max="42" width="15.81640625" customWidth="1"/>
    <col min="43" max="43" width="40.7265625" customWidth="1"/>
    <col min="44" max="44" width="13.26953125" customWidth="1"/>
    <col min="45" max="45" width="24.81640625" customWidth="1"/>
  </cols>
  <sheetData>
    <row r="1" spans="1:45" s="69" customFormat="1" ht="14">
      <c r="A1" s="27" t="s">
        <v>90</v>
      </c>
      <c r="J1" s="98"/>
      <c r="K1" s="98"/>
      <c r="L1" s="98"/>
    </row>
    <row r="2" spans="1:45" s="69" customFormat="1" ht="14">
      <c r="A2" s="69" t="s">
        <v>91</v>
      </c>
      <c r="J2" s="98"/>
      <c r="K2" s="98"/>
      <c r="L2" s="98"/>
    </row>
    <row r="3" spans="1:45" s="69" customFormat="1" ht="23.25" customHeight="1">
      <c r="A3" s="70"/>
      <c r="B3" s="71"/>
      <c r="C3" s="71"/>
      <c r="D3" s="72"/>
      <c r="E3" s="73"/>
      <c r="F3" s="239" t="s">
        <v>92</v>
      </c>
      <c r="G3" s="239"/>
      <c r="H3" s="239"/>
      <c r="I3" s="239"/>
      <c r="J3" s="240" t="s">
        <v>93</v>
      </c>
      <c r="K3" s="241"/>
      <c r="L3" s="241"/>
      <c r="M3" s="241"/>
      <c r="N3" s="241"/>
      <c r="O3" s="241"/>
      <c r="P3" s="241"/>
      <c r="Q3" s="241"/>
      <c r="R3" s="241"/>
      <c r="S3" s="241"/>
      <c r="T3" s="241"/>
      <c r="U3" s="241"/>
      <c r="V3" s="241"/>
      <c r="W3" s="241"/>
      <c r="X3" s="241"/>
      <c r="Y3" s="242"/>
      <c r="Z3" s="236" t="s">
        <v>94</v>
      </c>
      <c r="AA3" s="237"/>
      <c r="AB3" s="238"/>
      <c r="AC3" s="233" t="s">
        <v>95</v>
      </c>
      <c r="AD3" s="234"/>
      <c r="AE3" s="234"/>
      <c r="AF3" s="234"/>
      <c r="AG3" s="234"/>
      <c r="AH3" s="234"/>
      <c r="AI3" s="234"/>
      <c r="AJ3" s="234"/>
      <c r="AK3" s="234"/>
      <c r="AL3" s="234"/>
      <c r="AM3" s="234"/>
      <c r="AN3" s="234"/>
      <c r="AO3" s="234"/>
      <c r="AP3" s="234"/>
      <c r="AQ3" s="235"/>
      <c r="AR3" s="74"/>
      <c r="AS3" s="74"/>
    </row>
    <row r="4" spans="1:45" s="69" customFormat="1" ht="32.5" customHeight="1">
      <c r="A4" s="75" t="s">
        <v>96</v>
      </c>
      <c r="B4" s="76" t="s">
        <v>97</v>
      </c>
      <c r="C4" s="77" t="s">
        <v>98</v>
      </c>
      <c r="D4" s="78" t="s">
        <v>99</v>
      </c>
      <c r="E4" s="79" t="s">
        <v>100</v>
      </c>
      <c r="F4" s="80" t="s">
        <v>101</v>
      </c>
      <c r="G4" s="81" t="s">
        <v>9</v>
      </c>
      <c r="H4" s="81" t="s">
        <v>102</v>
      </c>
      <c r="I4" s="82" t="s">
        <v>103</v>
      </c>
      <c r="J4" s="155" t="s">
        <v>104</v>
      </c>
      <c r="K4" s="155" t="s">
        <v>105</v>
      </c>
      <c r="L4" s="155" t="s">
        <v>106</v>
      </c>
      <c r="M4" s="152" t="s">
        <v>107</v>
      </c>
      <c r="N4" s="152" t="s">
        <v>108</v>
      </c>
      <c r="O4" s="152" t="s">
        <v>109</v>
      </c>
      <c r="P4" s="152" t="s">
        <v>110</v>
      </c>
      <c r="Q4" s="152" t="s">
        <v>111</v>
      </c>
      <c r="R4" s="152" t="s">
        <v>112</v>
      </c>
      <c r="S4" s="152" t="s">
        <v>113</v>
      </c>
      <c r="T4" s="152" t="s">
        <v>114</v>
      </c>
      <c r="U4" s="152" t="s">
        <v>115</v>
      </c>
      <c r="V4" s="156" t="s">
        <v>116</v>
      </c>
      <c r="W4" s="156" t="s">
        <v>117</v>
      </c>
      <c r="X4" s="157" t="s">
        <v>118</v>
      </c>
      <c r="Y4" s="158" t="s">
        <v>119</v>
      </c>
      <c r="Z4" s="151" t="s">
        <v>120</v>
      </c>
      <c r="AA4" s="151" t="s">
        <v>121</v>
      </c>
      <c r="AB4" s="151" t="s">
        <v>122</v>
      </c>
      <c r="AC4" s="159" t="s">
        <v>123</v>
      </c>
      <c r="AD4" s="159" t="s">
        <v>124</v>
      </c>
      <c r="AE4" s="159" t="s">
        <v>125</v>
      </c>
      <c r="AF4" s="160" t="s">
        <v>126</v>
      </c>
      <c r="AG4" s="160" t="s">
        <v>127</v>
      </c>
      <c r="AH4" s="160" t="s">
        <v>128</v>
      </c>
      <c r="AI4" s="160" t="s">
        <v>129</v>
      </c>
      <c r="AJ4" s="160" t="s">
        <v>130</v>
      </c>
      <c r="AK4" s="160" t="s">
        <v>131</v>
      </c>
      <c r="AL4" s="160" t="s">
        <v>132</v>
      </c>
      <c r="AM4" s="160" t="s">
        <v>133</v>
      </c>
      <c r="AN4" s="160" t="s">
        <v>134</v>
      </c>
      <c r="AO4" s="160" t="s">
        <v>135</v>
      </c>
      <c r="AP4" s="160" t="s">
        <v>136</v>
      </c>
      <c r="AQ4" s="173" t="s">
        <v>137</v>
      </c>
      <c r="AR4" s="74"/>
      <c r="AS4" s="74"/>
    </row>
    <row r="5" spans="1:45" s="47" customFormat="1" ht="68.5" customHeight="1">
      <c r="A5" s="64">
        <v>1</v>
      </c>
      <c r="B5" s="53" t="s">
        <v>138</v>
      </c>
      <c r="C5" s="84" t="str">
        <f>IF(VLOOKUP(Table4[[#This Row],[T ID]],Table5[#All],5,FALSE)="No","Not in scope",VLOOKUP(Table4[[#This Row],[T ID]],Table5[#All],2,FALSE))</f>
        <v>Deliver undirected malware</v>
      </c>
      <c r="D5" s="53" t="s">
        <v>77</v>
      </c>
      <c r="E5" s="84" t="str">
        <f>IF(VLOOKUP(Table4[[#This Row],[V ID]],Vulnerabilities[#All],3,FALSE)="No","Not in scope",VLOOKUP(Table4[[#This Row],[V ID]],Vulnerabilities[#All],2,FALSE))</f>
        <v>Unrestricted Wifi communication with open/untrusted sources</v>
      </c>
      <c r="F5" s="87" t="s">
        <v>38</v>
      </c>
      <c r="G5" s="84" t="str">
        <f>VLOOKUP(Table4[[#This Row],[A ID]],Assets[#All],3,FALSE)</f>
        <v>Wireless communication interfaces (Wifi, BT,etc..)</v>
      </c>
      <c r="H5" s="195" t="s">
        <v>373</v>
      </c>
      <c r="I5" s="53"/>
      <c r="J5" s="85" t="s">
        <v>139</v>
      </c>
      <c r="K5" s="85" t="s">
        <v>139</v>
      </c>
      <c r="L5" s="85" t="s">
        <v>139</v>
      </c>
      <c r="M5" s="150" t="s">
        <v>140</v>
      </c>
      <c r="N5" s="150" t="s">
        <v>139</v>
      </c>
      <c r="O5" s="150" t="s">
        <v>141</v>
      </c>
      <c r="P5" s="150" t="s">
        <v>141</v>
      </c>
      <c r="Q5" s="150" t="s">
        <v>142</v>
      </c>
      <c r="R5"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5" s="154">
        <f>(1 - ((1 - VLOOKUP(Table4[[#This Row],[Confidentiality]],'Reference - CVSSv3.0'!$B$15:$C$17,2,FALSE)) * (1 - VLOOKUP(Table4[[#This Row],[Integrity]],'Reference - CVSSv3.0'!$B$15:$C$17,2,FALSE)) *  (1 - VLOOKUP(Table4[[#This Row],[Availability]],'Reference - CVSSv3.0'!$B$15:$C$17,2,FALSE))))</f>
        <v>0.52544799999999992</v>
      </c>
      <c r="T5" s="154">
        <f>IF(Table4[[#This Row],[Scope]]="Unchanged",6.42*Table4[[#This Row],[ISC Base]],IF(Table4[[#This Row],[Scope]]="Changed",7.52*(Table4[[#This Row],[ISC Base]] - 0.029) - 3.25 * POWER(Table4[[#This Row],[ISC Base]] - 0.02,15),NA()))</f>
        <v>3.3733761599999994</v>
      </c>
      <c r="U5" s="154">
        <f>IF(Table4[[#This Row],[Impact Sub Score]]&lt;=0,0,IF(Table4[[#This Row],[Scope]]="Unchanged",ROUNDUP(MIN((Table4[[#This Row],[Impact Sub Score]]+Table4[[#This Row],[Exploitability Sub Score]]),10),1),IF(Table4[[#This Row],[Scope]]="Changed",ROUNDUP(MIN((1.08*(Table4[[#This Row],[Impact Sub Score]]+Table4[[#This Row],[Exploitability Sub Score]])),10),1),NA())))</f>
        <v>7.3</v>
      </c>
      <c r="V5" s="191" t="s">
        <v>139</v>
      </c>
      <c r="W5" s="154">
        <f>VLOOKUP(Table4[[#This Row],[Threat Event Initiation]],NIST_Scale_LOAI[],2,FALSE)</f>
        <v>0.2</v>
      </c>
      <c r="X5"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195" t="s">
        <v>144</v>
      </c>
      <c r="AA5" s="195" t="s">
        <v>145</v>
      </c>
      <c r="AB5" s="201" t="s">
        <v>146</v>
      </c>
      <c r="AC5" s="53"/>
      <c r="AD5" s="53"/>
      <c r="AE5" s="53"/>
      <c r="AF5" s="150"/>
      <c r="AG5" s="150"/>
      <c r="AH5" s="150"/>
      <c r="AI5" s="150"/>
      <c r="AJ5" s="150"/>
      <c r="AK5"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4" t="e">
        <f>(1 - ((1 - VLOOKUP(Table4[[#This Row],[ConfidentialityP]],'Reference - CVSSv3.0'!$B$15:$C$17,2,FALSE)) * (1 - VLOOKUP(Table4[[#This Row],[IntegrityP]],'Reference - CVSSv3.0'!$B$15:$C$17,2,FALSE)) *  (1 - VLOOKUP(Table4[[#This Row],[AvailabilityP]],'Reference - CVSSv3.0'!$B$15:$C$17,2,FALSE))))</f>
        <v>#N/A</v>
      </c>
      <c r="AM5" s="154" t="e">
        <f>IF(Table4[[#This Row],[ScopeP]]="Unchanged",6.42*Table4[[#This Row],[ISC BaseP]],IF(Table4[[#This Row],[ScopeP]]="Changed",7.52*(Table4[[#This Row],[ISC BaseP]] - 0.029) - 3.25 * POWER(Table4[[#This Row],[ISC BaseP]] - 0.02,15),NA()))</f>
        <v>#N/A</v>
      </c>
      <c r="AN5"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row>
    <row r="6" spans="1:45" s="47" customFormat="1" ht="58" customHeight="1">
      <c r="A6" s="64">
        <v>2</v>
      </c>
      <c r="B6" s="53" t="s">
        <v>138</v>
      </c>
      <c r="C6" s="84" t="str">
        <f>IF(VLOOKUP(Table4[[#This Row],[T ID]],Table5[#All],5,FALSE)="No","Not in scope",VLOOKUP(Table4[[#This Row],[T ID]],Table5[#All],2,FALSE))</f>
        <v>Deliver undirected malware</v>
      </c>
      <c r="D6" s="53" t="s">
        <v>78</v>
      </c>
      <c r="E6" s="84" t="str">
        <f>IF(VLOOKUP(Table4[[#This Row],[V ID]],Vulnerabilities[#All],3,FALSE)="No","Not in scope",VLOOKUP(Table4[[#This Row],[V ID]],Vulnerabilities[#All],2,FALSE))</f>
        <v>Unrestricted BT communication/transfer with multiple sources</v>
      </c>
      <c r="F6" s="87" t="s">
        <v>38</v>
      </c>
      <c r="G6" s="84" t="str">
        <f>VLOOKUP(Table4[[#This Row],[A ID]],Assets[#All],3,FALSE)</f>
        <v>Wireless communication interfaces (Wifi, BT,etc..)</v>
      </c>
      <c r="H6" s="195" t="s">
        <v>373</v>
      </c>
      <c r="I6" s="53"/>
      <c r="J6" s="85"/>
      <c r="K6" s="85"/>
      <c r="L6" s="85"/>
      <c r="M6" s="150" t="s">
        <v>140</v>
      </c>
      <c r="N6" s="150"/>
      <c r="O6" s="150"/>
      <c r="P6" s="150"/>
      <c r="Q6" s="150"/>
      <c r="R6" s="19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6" s="154" t="e">
        <f>(1 - ((1 - VLOOKUP(Table4[[#This Row],[Confidentiality]],'Reference - CVSSv3.0'!$B$15:$C$17,2,FALSE)) * (1 - VLOOKUP(Table4[[#This Row],[Integrity]],'Reference - CVSSv3.0'!$B$15:$C$17,2,FALSE)) *  (1 - VLOOKUP(Table4[[#This Row],[Availability]],'Reference - CVSSv3.0'!$B$15:$C$17,2,FALSE))))</f>
        <v>#N/A</v>
      </c>
      <c r="T6" s="154" t="e">
        <f>IF(Table4[[#This Row],[Scope]]="Unchanged",6.42*Table4[[#This Row],[ISC Base]],IF(Table4[[#This Row],[Scope]]="Changed",7.52*(Table4[[#This Row],[ISC Base]] - 0.029) - 3.25 * POWER(Table4[[#This Row],[ISC Base]] - 0.02,15),NA()))</f>
        <v>#N/A</v>
      </c>
      <c r="U6"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6" s="191"/>
      <c r="W6" s="154" t="e">
        <f>VLOOKUP(Table4[[#This Row],[Threat Event Initiation]],NIST_Scale_LOAI[],2,FALSE)</f>
        <v>#N/A</v>
      </c>
      <c r="X6"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6" s="195"/>
      <c r="AA6" s="195"/>
      <c r="AB6" s="201"/>
      <c r="AC6" s="53"/>
      <c r="AD6" s="53"/>
      <c r="AE6" s="53"/>
      <c r="AF6" s="150"/>
      <c r="AG6" s="150"/>
      <c r="AH6" s="150"/>
      <c r="AI6" s="150"/>
      <c r="AJ6" s="150"/>
      <c r="AK6"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154" t="e">
        <f>(1 - ((1 - VLOOKUP(Table4[[#This Row],[ConfidentialityP]],'Reference - CVSSv3.0'!$B$15:$C$17,2,FALSE)) * (1 - VLOOKUP(Table4[[#This Row],[IntegrityP]],'Reference - CVSSv3.0'!$B$15:$C$17,2,FALSE)) *  (1 - VLOOKUP(Table4[[#This Row],[AvailabilityP]],'Reference - CVSSv3.0'!$B$15:$C$17,2,FALSE))))</f>
        <v>#N/A</v>
      </c>
      <c r="AM6" s="154" t="e">
        <f>IF(Table4[[#This Row],[ScopeP]]="Unchanged",6.42*Table4[[#This Row],[ISC BaseP]],IF(Table4[[#This Row],[ScopeP]]="Changed",7.52*(Table4[[#This Row],[ISC BaseP]] - 0.029) - 3.25 * POWER(Table4[[#This Row],[ISC BaseP]] - 0.02,15),NA()))</f>
        <v>#N/A</v>
      </c>
      <c r="AN6"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53"/>
    </row>
    <row r="7" spans="1:45" s="47" customFormat="1" ht="43.5" customHeight="1">
      <c r="A7" s="64">
        <v>3</v>
      </c>
      <c r="B7" s="53" t="s">
        <v>138</v>
      </c>
      <c r="C7" s="84" t="str">
        <f>IF(VLOOKUP(Table4[[#This Row],[T ID]],Table5[#All],5,FALSE)="No","Not in scope",VLOOKUP(Table4[[#This Row],[T ID]],Table5[#All],2,FALSE))</f>
        <v>Deliver undirected malware</v>
      </c>
      <c r="D7" s="53" t="s">
        <v>79</v>
      </c>
      <c r="E7" s="84" t="str">
        <f>IF(VLOOKUP(Table4[[#This Row],[V ID]],Vulnerabilities[#All],3,FALSE)="No","Not in scope",VLOOKUP(Table4[[#This Row],[V ID]],Vulnerabilities[#All],2,FALSE))</f>
        <v>Unauthorized device communication to network interfaces</v>
      </c>
      <c r="F7" s="87" t="s">
        <v>39</v>
      </c>
      <c r="G7" s="84" t="str">
        <f>VLOOKUP(Table4[[#This Row],[A ID]],Assets[#All],3,FALSE)</f>
        <v>Physical network interfaces</v>
      </c>
      <c r="H7" s="195" t="s">
        <v>373</v>
      </c>
      <c r="I7" s="53"/>
      <c r="J7" s="85"/>
      <c r="K7" s="85"/>
      <c r="L7" s="85"/>
      <c r="M7" s="150" t="s">
        <v>140</v>
      </c>
      <c r="N7" s="150"/>
      <c r="O7" s="150"/>
      <c r="P7" s="150"/>
      <c r="Q7" s="150"/>
      <c r="R7" s="19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7" s="154" t="e">
        <f>(1 - ((1 - VLOOKUP(Table4[[#This Row],[Confidentiality]],'Reference - CVSSv3.0'!$B$15:$C$17,2,FALSE)) * (1 - VLOOKUP(Table4[[#This Row],[Integrity]],'Reference - CVSSv3.0'!$B$15:$C$17,2,FALSE)) *  (1 - VLOOKUP(Table4[[#This Row],[Availability]],'Reference - CVSSv3.0'!$B$15:$C$17,2,FALSE))))</f>
        <v>#N/A</v>
      </c>
      <c r="T7" s="154" t="e">
        <f>IF(Table4[[#This Row],[Scope]]="Unchanged",6.42*Table4[[#This Row],[ISC Base]],IF(Table4[[#This Row],[Scope]]="Changed",7.52*(Table4[[#This Row],[ISC Base]] - 0.029) - 3.25 * POWER(Table4[[#This Row],[ISC Base]] - 0.02,15),NA()))</f>
        <v>#N/A</v>
      </c>
      <c r="U7"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7" s="191"/>
      <c r="W7" s="154" t="e">
        <f>VLOOKUP(Table4[[#This Row],[Threat Event Initiation]],NIST_Scale_LOAI[],2,FALSE)</f>
        <v>#N/A</v>
      </c>
      <c r="X7"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7" s="195"/>
      <c r="AA7" s="195"/>
      <c r="AB7" s="201"/>
      <c r="AC7" s="53"/>
      <c r="AD7" s="53"/>
      <c r="AE7" s="53"/>
      <c r="AF7" s="150"/>
      <c r="AG7" s="150"/>
      <c r="AH7" s="150"/>
      <c r="AI7" s="150"/>
      <c r="AJ7" s="150"/>
      <c r="AK7"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54" t="e">
        <f>(1 - ((1 - VLOOKUP(Table4[[#This Row],[ConfidentialityP]],'Reference - CVSSv3.0'!$B$15:$C$17,2,FALSE)) * (1 - VLOOKUP(Table4[[#This Row],[IntegrityP]],'Reference - CVSSv3.0'!$B$15:$C$17,2,FALSE)) *  (1 - VLOOKUP(Table4[[#This Row],[AvailabilityP]],'Reference - CVSSv3.0'!$B$15:$C$17,2,FALSE))))</f>
        <v>#N/A</v>
      </c>
      <c r="AM7" s="154" t="e">
        <f>IF(Table4[[#This Row],[ScopeP]]="Unchanged",6.42*Table4[[#This Row],[ISC BaseP]],IF(Table4[[#This Row],[ScopeP]]="Changed",7.52*(Table4[[#This Row],[ISC BaseP]] - 0.029) - 3.25 * POWER(Table4[[#This Row],[ISC BaseP]] - 0.02,15),NA()))</f>
        <v>#N/A</v>
      </c>
      <c r="AN7"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53"/>
    </row>
    <row r="8" spans="1:45" s="47" customFormat="1" ht="50" customHeight="1">
      <c r="A8" s="64">
        <v>5</v>
      </c>
      <c r="B8" s="53" t="s">
        <v>138</v>
      </c>
      <c r="C8" s="84" t="str">
        <f>IF(VLOOKUP(Table4[[#This Row],[T ID]],Table5[#All],5,FALSE)="No","Not in scope",VLOOKUP(Table4[[#This Row],[T ID]],Table5[#All],2,FALSE))</f>
        <v>Deliver undirected malware</v>
      </c>
      <c r="D8" s="53" t="s">
        <v>65</v>
      </c>
      <c r="E8" s="84" t="str">
        <f>IF(VLOOKUP(Table4[[#This Row],[V ID]],Vulnerabilities[#All],3,FALSE)="No","Not in scope",VLOOKUP(Table4[[#This Row],[V ID]],Vulnerabilities[#All],2,FALSE))</f>
        <v>3rd Party Component Dependency &amp; Vulnerabilities - App</v>
      </c>
      <c r="F8" s="87" t="s">
        <v>18</v>
      </c>
      <c r="G8" s="84" t="str">
        <f>VLOOKUP(Table4[[#This Row],[A ID]],Assets[#All],3,FALSE)</f>
        <v>Patient Identifiable data</v>
      </c>
      <c r="H8" s="195" t="s">
        <v>373</v>
      </c>
      <c r="I8" s="53"/>
      <c r="J8" s="85" t="s">
        <v>139</v>
      </c>
      <c r="K8" s="85" t="s">
        <v>139</v>
      </c>
      <c r="L8" s="85" t="s">
        <v>139</v>
      </c>
      <c r="M8" s="150" t="s">
        <v>140</v>
      </c>
      <c r="N8" s="150" t="s">
        <v>139</v>
      </c>
      <c r="O8" s="150" t="s">
        <v>141</v>
      </c>
      <c r="P8" s="150" t="s">
        <v>141</v>
      </c>
      <c r="Q8" s="150" t="s">
        <v>142</v>
      </c>
      <c r="R8"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8" s="154">
        <f>(1 - ((1 - VLOOKUP(Table4[[#This Row],[Confidentiality]],'Reference - CVSSv3.0'!$B$15:$C$17,2,FALSE)) * (1 - VLOOKUP(Table4[[#This Row],[Integrity]],'Reference - CVSSv3.0'!$B$15:$C$17,2,FALSE)) *  (1 - VLOOKUP(Table4[[#This Row],[Availability]],'Reference - CVSSv3.0'!$B$15:$C$17,2,FALSE))))</f>
        <v>0.52544799999999992</v>
      </c>
      <c r="T8" s="154">
        <f>IF(Table4[[#This Row],[Scope]]="Unchanged",6.42*Table4[[#This Row],[ISC Base]],IF(Table4[[#This Row],[Scope]]="Changed",7.52*(Table4[[#This Row],[ISC Base]] - 0.029) - 3.25 * POWER(Table4[[#This Row],[ISC Base]] - 0.02,15),NA()))</f>
        <v>3.3733761599999994</v>
      </c>
      <c r="U8" s="154">
        <f>IF(Table4[[#This Row],[Impact Sub Score]]&lt;=0,0,IF(Table4[[#This Row],[Scope]]="Unchanged",ROUNDUP(MIN((Table4[[#This Row],[Impact Sub Score]]+Table4[[#This Row],[Exploitability Sub Score]]),10),1),IF(Table4[[#This Row],[Scope]]="Changed",ROUNDUP(MIN((1.08*(Table4[[#This Row],[Impact Sub Score]]+Table4[[#This Row],[Exploitability Sub Score]])),10),1),NA())))</f>
        <v>7.3</v>
      </c>
      <c r="V8" s="191" t="s">
        <v>139</v>
      </c>
      <c r="W8" s="154">
        <f>VLOOKUP(Table4[[#This Row],[Threat Event Initiation]],NIST_Scale_LOAI[],2,FALSE)</f>
        <v>0.2</v>
      </c>
      <c r="X8"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195" t="s">
        <v>147</v>
      </c>
      <c r="AA8" s="195" t="s">
        <v>148</v>
      </c>
      <c r="AB8" s="86" t="s">
        <v>149</v>
      </c>
      <c r="AC8" s="53"/>
      <c r="AD8" s="53"/>
      <c r="AE8" s="53"/>
      <c r="AF8" s="150"/>
      <c r="AG8" s="150"/>
      <c r="AH8" s="150"/>
      <c r="AI8" s="150"/>
      <c r="AJ8" s="150"/>
      <c r="AK8"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154" t="e">
        <f>(1 - ((1 - VLOOKUP(Table4[[#This Row],[ConfidentialityP]],'Reference - CVSSv3.0'!$B$15:$C$17,2,FALSE)) * (1 - VLOOKUP(Table4[[#This Row],[IntegrityP]],'Reference - CVSSv3.0'!$B$15:$C$17,2,FALSE)) *  (1 - VLOOKUP(Table4[[#This Row],[AvailabilityP]],'Reference - CVSSv3.0'!$B$15:$C$17,2,FALSE))))</f>
        <v>#N/A</v>
      </c>
      <c r="AM8" s="154" t="e">
        <f>IF(Table4[[#This Row],[ScopeP]]="Unchanged",6.42*Table4[[#This Row],[ISC BaseP]],IF(Table4[[#This Row],[ScopeP]]="Changed",7.52*(Table4[[#This Row],[ISC BaseP]] - 0.029) - 3.25 * POWER(Table4[[#This Row],[ISC BaseP]] - 0.02,15),NA()))</f>
        <v>#N/A</v>
      </c>
      <c r="AN8"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53"/>
    </row>
    <row r="9" spans="1:45" s="47" customFormat="1" ht="54.5" customHeight="1">
      <c r="A9" s="64">
        <v>6</v>
      </c>
      <c r="B9" s="53" t="s">
        <v>138</v>
      </c>
      <c r="C9" s="84" t="str">
        <f>IF(VLOOKUP(Table4[[#This Row],[T ID]],Table5[#All],5,FALSE)="No","Not in scope",VLOOKUP(Table4[[#This Row],[T ID]],Table5[#All],2,FALSE))</f>
        <v>Deliver undirected malware</v>
      </c>
      <c r="D9" s="53" t="s">
        <v>366</v>
      </c>
      <c r="E9" s="84" t="str">
        <f>IF(VLOOKUP(Table4[[#This Row],[V ID]],Vulnerabilities[#All],3,FALSE)="No","Not in scope",VLOOKUP(Table4[[#This Row],[V ID]],Vulnerabilities[#All],2,FALSE))</f>
        <v>3rd party installed applications from app store</v>
      </c>
      <c r="F9" s="87" t="s">
        <v>38</v>
      </c>
      <c r="G9" s="84" t="str">
        <f>VLOOKUP(Table4[[#This Row],[A ID]],Assets[#All],3,FALSE)</f>
        <v>Wireless communication interfaces (Wifi, BT,etc..)</v>
      </c>
      <c r="H9" s="195" t="s">
        <v>373</v>
      </c>
      <c r="I9" s="53"/>
      <c r="J9" s="85"/>
      <c r="K9" s="85"/>
      <c r="L9" s="85"/>
      <c r="M9" s="150"/>
      <c r="N9" s="150"/>
      <c r="O9" s="150"/>
      <c r="P9" s="150"/>
      <c r="Q9" s="150"/>
      <c r="R9" s="19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9" s="154" t="e">
        <f>(1 - ((1 - VLOOKUP(Table4[[#This Row],[Confidentiality]],'Reference - CVSSv3.0'!$B$15:$C$17,2,FALSE)) * (1 - VLOOKUP(Table4[[#This Row],[Integrity]],'Reference - CVSSv3.0'!$B$15:$C$17,2,FALSE)) *  (1 - VLOOKUP(Table4[[#This Row],[Availability]],'Reference - CVSSv3.0'!$B$15:$C$17,2,FALSE))))</f>
        <v>#N/A</v>
      </c>
      <c r="T9" s="154" t="e">
        <f>IF(Table4[[#This Row],[Scope]]="Unchanged",6.42*Table4[[#This Row],[ISC Base]],IF(Table4[[#This Row],[Scope]]="Changed",7.52*(Table4[[#This Row],[ISC Base]] - 0.029) - 3.25 * POWER(Table4[[#This Row],[ISC Base]] - 0.02,15),NA()))</f>
        <v>#N/A</v>
      </c>
      <c r="U9"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9" s="191"/>
      <c r="W9" s="154" t="e">
        <f>VLOOKUP(Table4[[#This Row],[Threat Event Initiation]],NIST_Scale_LOAI[],2,FALSE)</f>
        <v>#N/A</v>
      </c>
      <c r="X9"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9" s="195"/>
      <c r="AA9" s="195"/>
      <c r="AB9" s="86"/>
      <c r="AC9" s="53"/>
      <c r="AD9" s="53"/>
      <c r="AE9" s="53"/>
      <c r="AF9" s="150"/>
      <c r="AG9" s="150"/>
      <c r="AH9" s="150"/>
      <c r="AI9" s="150"/>
      <c r="AJ9" s="150"/>
      <c r="AK9"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154" t="e">
        <f>(1 - ((1 - VLOOKUP(Table4[[#This Row],[ConfidentialityP]],'Reference - CVSSv3.0'!$B$15:$C$17,2,FALSE)) * (1 - VLOOKUP(Table4[[#This Row],[IntegrityP]],'Reference - CVSSv3.0'!$B$15:$C$17,2,FALSE)) *  (1 - VLOOKUP(Table4[[#This Row],[AvailabilityP]],'Reference - CVSSv3.0'!$B$15:$C$17,2,FALSE))))</f>
        <v>#N/A</v>
      </c>
      <c r="AM9" s="154" t="e">
        <f>IF(Table4[[#This Row],[ScopeP]]="Unchanged",6.42*Table4[[#This Row],[ISC BaseP]],IF(Table4[[#This Row],[ScopeP]]="Changed",7.52*(Table4[[#This Row],[ISC BaseP]] - 0.029) - 3.25 * POWER(Table4[[#This Row],[ISC BaseP]] - 0.02,15),NA()))</f>
        <v>#N/A</v>
      </c>
      <c r="AN9"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53"/>
    </row>
    <row r="10" spans="1:45" s="47" customFormat="1" ht="62" customHeight="1">
      <c r="A10" s="64">
        <v>7</v>
      </c>
      <c r="B10" s="51" t="s">
        <v>151</v>
      </c>
      <c r="C10" s="83" t="str">
        <f>IF(VLOOKUP(Table4[[#This Row],[T ID]],Table5[#All],5,FALSE)="No","Not in scope",VLOOKUP(Table4[[#This Row],[T ID]],Table5[#All],2,FALSE))</f>
        <v>Deliver directed malware</v>
      </c>
      <c r="D10" s="53" t="s">
        <v>77</v>
      </c>
      <c r="E10" s="83" t="str">
        <f>IF(VLOOKUP(Table4[[#This Row],[V ID]],Vulnerabilities[#All],3,FALSE)="No","Not in scope",VLOOKUP(Table4[[#This Row],[V ID]],Vulnerabilities[#All],2,FALSE))</f>
        <v>Unrestricted Wifi communication with open/untrusted sources</v>
      </c>
      <c r="F10" s="53" t="s">
        <v>38</v>
      </c>
      <c r="G10" s="84" t="str">
        <f>VLOOKUP(Table4[[#This Row],[A ID]],Assets[#All],3,FALSE)</f>
        <v>Wireless communication interfaces (Wifi, BT,etc..)</v>
      </c>
      <c r="H10" s="195" t="s">
        <v>374</v>
      </c>
      <c r="I10" s="53"/>
      <c r="J10" s="85"/>
      <c r="K10" s="85"/>
      <c r="L10" s="85"/>
      <c r="M10" s="150" t="s">
        <v>140</v>
      </c>
      <c r="N10" s="150"/>
      <c r="O10" s="150"/>
      <c r="P10" s="150"/>
      <c r="Q10" s="150"/>
      <c r="R10" s="154"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10" s="154" t="e">
        <f>(1 - ((1 - VLOOKUP(Table4[[#This Row],[Confidentiality]],'Reference - CVSSv3.0'!$B$15:$C$17,2,FALSE)) * (1 - VLOOKUP(Table4[[#This Row],[Integrity]],'Reference - CVSSv3.0'!$B$15:$C$17,2,FALSE)) *  (1 - VLOOKUP(Table4[[#This Row],[Availability]],'Reference - CVSSv3.0'!$B$15:$C$17,2,FALSE))))</f>
        <v>#N/A</v>
      </c>
      <c r="T10" s="154" t="e">
        <f>IF(Table4[[#This Row],[Scope]]="Unchanged",6.42*Table4[[#This Row],[ISC Base]],IF(Table4[[#This Row],[Scope]]="Changed",7.52*(Table4[[#This Row],[ISC Base]] - 0.029) - 3.25 * POWER(Table4[[#This Row],[ISC Base]] - 0.02,15),NA()))</f>
        <v>#N/A</v>
      </c>
      <c r="U10"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10" s="174"/>
      <c r="W10" s="175" t="e">
        <f>VLOOKUP(Table4[[#This Row],[Threat Event Initiation]],NIST_Scale_LOAI[],2,FALSE)</f>
        <v>#N/A</v>
      </c>
      <c r="X10"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10"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10" s="195"/>
      <c r="AA10" s="196"/>
      <c r="AB10" s="86"/>
      <c r="AC10" s="85"/>
      <c r="AD10" s="85"/>
      <c r="AE10" s="85"/>
      <c r="AF10" s="150"/>
      <c r="AG10" s="150"/>
      <c r="AH10" s="150"/>
      <c r="AI10" s="150"/>
      <c r="AJ10" s="150"/>
      <c r="AK10"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154" t="e">
        <f>(1 - ((1 - VLOOKUP(Table4[[#This Row],[ConfidentialityP]],'Reference - CVSSv3.0'!$B$15:$C$17,2,FALSE)) * (1 - VLOOKUP(Table4[[#This Row],[IntegrityP]],'Reference - CVSSv3.0'!$B$15:$C$17,2,FALSE)) *  (1 - VLOOKUP(Table4[[#This Row],[AvailabilityP]],'Reference - CVSSv3.0'!$B$15:$C$17,2,FALSE))))</f>
        <v>#N/A</v>
      </c>
      <c r="AM10" s="154" t="e">
        <f>IF(Table4[[#This Row],[ScopeP]]="Unchanged",6.42*Table4[[#This Row],[ISC BaseP]],IF(Table4[[#This Row],[ScopeP]]="Changed",7.52*(Table4[[#This Row],[ISC BaseP]] - 0.029) - 3.25 * POWER(Table4[[#This Row],[ISC BaseP]] - 0.02,15),NA()))</f>
        <v>#N/A</v>
      </c>
      <c r="AN10"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53"/>
    </row>
    <row r="11" spans="1:45" s="47" customFormat="1" ht="41" customHeight="1">
      <c r="A11" s="64">
        <v>8</v>
      </c>
      <c r="B11" s="51" t="s">
        <v>151</v>
      </c>
      <c r="C11" s="83" t="str">
        <f>IF(VLOOKUP(Table4[[#This Row],[T ID]],Table5[#All],5,FALSE)="No","Not in scope",VLOOKUP(Table4[[#This Row],[T ID]],Table5[#All],2,FALSE))</f>
        <v>Deliver directed malware</v>
      </c>
      <c r="D11" s="53" t="s">
        <v>78</v>
      </c>
      <c r="E11" s="83" t="str">
        <f>IF(VLOOKUP(Table4[[#This Row],[V ID]],Vulnerabilities[#All],3,FALSE)="No","Not in scope",VLOOKUP(Table4[[#This Row],[V ID]],Vulnerabilities[#All],2,FALSE))</f>
        <v>Unrestricted BT communication/transfer with multiple sources</v>
      </c>
      <c r="F11" s="53" t="s">
        <v>38</v>
      </c>
      <c r="G11" s="84" t="str">
        <f>VLOOKUP(Table4[[#This Row],[A ID]],Assets[#All],3,FALSE)</f>
        <v>Wireless communication interfaces (Wifi, BT,etc..)</v>
      </c>
      <c r="H11" s="195" t="s">
        <v>374</v>
      </c>
      <c r="I11" s="53"/>
      <c r="J11" s="85"/>
      <c r="K11" s="85"/>
      <c r="L11" s="85"/>
      <c r="M11" s="150" t="s">
        <v>140</v>
      </c>
      <c r="N11" s="150"/>
      <c r="O11" s="150"/>
      <c r="P11" s="150"/>
      <c r="Q11" s="150"/>
      <c r="R11" s="154"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11" s="154" t="e">
        <f>(1 - ((1 - VLOOKUP(Table4[[#This Row],[Confidentiality]],'Reference - CVSSv3.0'!$B$15:$C$17,2,FALSE)) * (1 - VLOOKUP(Table4[[#This Row],[Integrity]],'Reference - CVSSv3.0'!$B$15:$C$17,2,FALSE)) *  (1 - VLOOKUP(Table4[[#This Row],[Availability]],'Reference - CVSSv3.0'!$B$15:$C$17,2,FALSE))))</f>
        <v>#N/A</v>
      </c>
      <c r="T11" s="154" t="e">
        <f>IF(Table4[[#This Row],[Scope]]="Unchanged",6.42*Table4[[#This Row],[ISC Base]],IF(Table4[[#This Row],[Scope]]="Changed",7.52*(Table4[[#This Row],[ISC Base]] - 0.029) - 3.25 * POWER(Table4[[#This Row],[ISC Base]] - 0.02,15),NA()))</f>
        <v>#N/A</v>
      </c>
      <c r="U11"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11" s="174"/>
      <c r="W11" s="175" t="e">
        <f>VLOOKUP(Table4[[#This Row],[Threat Event Initiation]],NIST_Scale_LOAI[],2,FALSE)</f>
        <v>#N/A</v>
      </c>
      <c r="X11"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11"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11" s="195"/>
      <c r="AA11" s="196"/>
      <c r="AB11" s="86"/>
      <c r="AC11" s="85"/>
      <c r="AD11" s="85"/>
      <c r="AE11" s="85"/>
      <c r="AF11" s="150"/>
      <c r="AG11" s="150"/>
      <c r="AH11" s="150"/>
      <c r="AI11" s="150"/>
      <c r="AJ11" s="150"/>
      <c r="AK11"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154" t="e">
        <f>(1 - ((1 - VLOOKUP(Table4[[#This Row],[ConfidentialityP]],'Reference - CVSSv3.0'!$B$15:$C$17,2,FALSE)) * (1 - VLOOKUP(Table4[[#This Row],[IntegrityP]],'Reference - CVSSv3.0'!$B$15:$C$17,2,FALSE)) *  (1 - VLOOKUP(Table4[[#This Row],[AvailabilityP]],'Reference - CVSSv3.0'!$B$15:$C$17,2,FALSE))))</f>
        <v>#N/A</v>
      </c>
      <c r="AM11" s="154" t="e">
        <f>IF(Table4[[#This Row],[ScopeP]]="Unchanged",6.42*Table4[[#This Row],[ISC BaseP]],IF(Table4[[#This Row],[ScopeP]]="Changed",7.52*(Table4[[#This Row],[ISC BaseP]] - 0.029) - 3.25 * POWER(Table4[[#This Row],[ISC BaseP]] - 0.02,15),NA()))</f>
        <v>#N/A</v>
      </c>
      <c r="AN11"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53"/>
    </row>
    <row r="12" spans="1:45" s="47" customFormat="1" ht="42.5" customHeight="1">
      <c r="A12" s="64">
        <v>9</v>
      </c>
      <c r="B12" s="51" t="s">
        <v>151</v>
      </c>
      <c r="C12" s="83" t="str">
        <f>IF(VLOOKUP(Table4[[#This Row],[T ID]],Table5[#All],5,FALSE)="No","Not in scope",VLOOKUP(Table4[[#This Row],[T ID]],Table5[#All],2,FALSE))</f>
        <v>Deliver directed malware</v>
      </c>
      <c r="D12" s="53" t="s">
        <v>79</v>
      </c>
      <c r="E12" s="83" t="str">
        <f>IF(VLOOKUP(Table4[[#This Row],[V ID]],Vulnerabilities[#All],3,FALSE)="No","Not in scope",VLOOKUP(Table4[[#This Row],[V ID]],Vulnerabilities[#All],2,FALSE))</f>
        <v>Unauthorized device communication to network interfaces</v>
      </c>
      <c r="F12" s="53" t="s">
        <v>39</v>
      </c>
      <c r="G12" s="84" t="str">
        <f>VLOOKUP(Table4[[#This Row],[A ID]],Assets[#All],3,FALSE)</f>
        <v>Physical network interfaces</v>
      </c>
      <c r="H12" s="195" t="s">
        <v>374</v>
      </c>
      <c r="I12" s="53"/>
      <c r="J12" s="85"/>
      <c r="K12" s="85"/>
      <c r="L12" s="85"/>
      <c r="M12" s="150" t="s">
        <v>140</v>
      </c>
      <c r="N12" s="150"/>
      <c r="O12" s="150"/>
      <c r="P12" s="150"/>
      <c r="Q12" s="150"/>
      <c r="R12" s="154"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12" s="154" t="e">
        <f>(1 - ((1 - VLOOKUP(Table4[[#This Row],[Confidentiality]],'Reference - CVSSv3.0'!$B$15:$C$17,2,FALSE)) * (1 - VLOOKUP(Table4[[#This Row],[Integrity]],'Reference - CVSSv3.0'!$B$15:$C$17,2,FALSE)) *  (1 - VLOOKUP(Table4[[#This Row],[Availability]],'Reference - CVSSv3.0'!$B$15:$C$17,2,FALSE))))</f>
        <v>#N/A</v>
      </c>
      <c r="T12" s="154" t="e">
        <f>IF(Table4[[#This Row],[Scope]]="Unchanged",6.42*Table4[[#This Row],[ISC Base]],IF(Table4[[#This Row],[Scope]]="Changed",7.52*(Table4[[#This Row],[ISC Base]] - 0.029) - 3.25 * POWER(Table4[[#This Row],[ISC Base]] - 0.02,15),NA()))</f>
        <v>#N/A</v>
      </c>
      <c r="U12"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12" s="174"/>
      <c r="W12" s="175" t="e">
        <f>VLOOKUP(Table4[[#This Row],[Threat Event Initiation]],NIST_Scale_LOAI[],2,FALSE)</f>
        <v>#N/A</v>
      </c>
      <c r="X12"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12"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12" s="195"/>
      <c r="AA12" s="196"/>
      <c r="AB12" s="86"/>
      <c r="AC12" s="85"/>
      <c r="AD12" s="85"/>
      <c r="AE12" s="85"/>
      <c r="AF12" s="150"/>
      <c r="AG12" s="150"/>
      <c r="AH12" s="150"/>
      <c r="AI12" s="150"/>
      <c r="AJ12" s="150"/>
      <c r="AK12"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54" t="e">
        <f>(1 - ((1 - VLOOKUP(Table4[[#This Row],[ConfidentialityP]],'Reference - CVSSv3.0'!$B$15:$C$17,2,FALSE)) * (1 - VLOOKUP(Table4[[#This Row],[IntegrityP]],'Reference - CVSSv3.0'!$B$15:$C$17,2,FALSE)) *  (1 - VLOOKUP(Table4[[#This Row],[AvailabilityP]],'Reference - CVSSv3.0'!$B$15:$C$17,2,FALSE))))</f>
        <v>#N/A</v>
      </c>
      <c r="AM12" s="154" t="e">
        <f>IF(Table4[[#This Row],[ScopeP]]="Unchanged",6.42*Table4[[#This Row],[ISC BaseP]],IF(Table4[[#This Row],[ScopeP]]="Changed",7.52*(Table4[[#This Row],[ISC BaseP]] - 0.029) - 3.25 * POWER(Table4[[#This Row],[ISC BaseP]] - 0.02,15),NA()))</f>
        <v>#N/A</v>
      </c>
      <c r="AN12"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53"/>
    </row>
    <row r="13" spans="1:45" s="47" customFormat="1" ht="59" customHeight="1">
      <c r="A13" s="64">
        <v>10</v>
      </c>
      <c r="B13" s="53" t="s">
        <v>155</v>
      </c>
      <c r="C13" s="84" t="str">
        <f>IF(VLOOKUP(Table4[[#This Row],[T ID]],Table5[#All],5,FALSE)="No","Not in scope",VLOOKUP(Table4[[#This Row],[T ID]],Table5[#All],2,FALSE))</f>
        <v xml:space="preserve">Perform wireless perimeter network reconnaissance/scanning. </v>
      </c>
      <c r="D13" s="53"/>
      <c r="E13" s="84" t="e">
        <f>IF(VLOOKUP(Table4[[#This Row],[V ID]],Vulnerabilities[#All],3,FALSE)="No","Not in scope",VLOOKUP(Table4[[#This Row],[V ID]],Vulnerabilities[#All],2,FALSE))</f>
        <v>#N/A</v>
      </c>
      <c r="F13" s="87" t="s">
        <v>39</v>
      </c>
      <c r="G13" s="84" t="str">
        <f>VLOOKUP(Table4[[#This Row],[A ID]],Assets[#All],3,FALSE)</f>
        <v>Physical network interfaces</v>
      </c>
      <c r="H13" s="195" t="s">
        <v>158</v>
      </c>
      <c r="I13" s="53"/>
      <c r="J13" s="193" t="s">
        <v>152</v>
      </c>
      <c r="K13" s="193" t="s">
        <v>139</v>
      </c>
      <c r="L13" s="193" t="s">
        <v>139</v>
      </c>
      <c r="M13" s="150" t="s">
        <v>140</v>
      </c>
      <c r="N13" s="150" t="s">
        <v>152</v>
      </c>
      <c r="O13" s="150" t="s">
        <v>152</v>
      </c>
      <c r="P13" s="150" t="s">
        <v>153</v>
      </c>
      <c r="Q13" s="150" t="s">
        <v>142</v>
      </c>
      <c r="R13"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13" s="154">
        <f>(1 - ((1 - VLOOKUP(Table4[[#This Row],[Confidentiality]],'Reference - CVSSv3.0'!$B$15:$C$17,2,FALSE)) * (1 - VLOOKUP(Table4[[#This Row],[Integrity]],'Reference - CVSSv3.0'!$B$15:$C$17,2,FALSE)) *  (1 - VLOOKUP(Table4[[#This Row],[Availability]],'Reference - CVSSv3.0'!$B$15:$C$17,2,FALSE))))</f>
        <v>0.73230400000000007</v>
      </c>
      <c r="T13" s="154">
        <f>IF(Table4[[#This Row],[Scope]]="Unchanged",6.42*Table4[[#This Row],[ISC Base]],IF(Table4[[#This Row],[Scope]]="Changed",7.52*(Table4[[#This Row],[ISC Base]] - 0.029) - 3.25 * POWER(Table4[[#This Row],[ISC Base]] - 0.02,15),NA()))</f>
        <v>4.7013916800000004</v>
      </c>
      <c r="U13" s="154">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191" t="s">
        <v>139</v>
      </c>
      <c r="W13" s="154">
        <f>VLOOKUP(Table4[[#This Row],[Threat Event Initiation]],NIST_Scale_LOAI[],2,FALSE)</f>
        <v>0.2</v>
      </c>
      <c r="X13"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1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195" t="s">
        <v>159</v>
      </c>
      <c r="AA13" s="196" t="s">
        <v>160</v>
      </c>
      <c r="AB13" s="86" t="s">
        <v>161</v>
      </c>
      <c r="AC13" s="53"/>
      <c r="AD13" s="53"/>
      <c r="AE13" s="53"/>
      <c r="AF13" s="150"/>
      <c r="AG13" s="150"/>
      <c r="AH13" s="150"/>
      <c r="AI13" s="150"/>
      <c r="AJ13" s="150"/>
      <c r="AK13"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54" t="e">
        <f>(1 - ((1 - VLOOKUP(Table4[[#This Row],[ConfidentialityP]],'Reference - CVSSv3.0'!$B$15:$C$17,2,FALSE)) * (1 - VLOOKUP(Table4[[#This Row],[IntegrityP]],'Reference - CVSSv3.0'!$B$15:$C$17,2,FALSE)) *  (1 - VLOOKUP(Table4[[#This Row],[AvailabilityP]],'Reference - CVSSv3.0'!$B$15:$C$17,2,FALSE))))</f>
        <v>#N/A</v>
      </c>
      <c r="AM13" s="154" t="e">
        <f>IF(Table4[[#This Row],[ScopeP]]="Unchanged",6.42*Table4[[#This Row],[ISC BaseP]],IF(Table4[[#This Row],[ScopeP]]="Changed",7.52*(Table4[[#This Row],[ISC BaseP]] - 0.029) - 3.25 * POWER(Table4[[#This Row],[ISC BaseP]] - 0.02,15),NA()))</f>
        <v>#N/A</v>
      </c>
      <c r="AN13"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53"/>
    </row>
    <row r="14" spans="1:45" s="47" customFormat="1" ht="71" customHeight="1">
      <c r="A14" s="64"/>
      <c r="B14" s="53" t="s">
        <v>155</v>
      </c>
      <c r="C14" s="84" t="str">
        <f>IF(VLOOKUP(Table4[[#This Row],[T ID]],Table5[#All],5,FALSE)="No","Not in scope",VLOOKUP(Table4[[#This Row],[T ID]],Table5[#All],2,FALSE))</f>
        <v xml:space="preserve">Perform wireless perimeter network reconnaissance/scanning. </v>
      </c>
      <c r="D14" s="53"/>
      <c r="E14" s="84" t="e">
        <f>IF(VLOOKUP(Table4[[#This Row],[V ID]],Vulnerabilities[#All],3,FALSE)="No","Not in scope",VLOOKUP(Table4[[#This Row],[V ID]],Vulnerabilities[#All],2,FALSE))</f>
        <v>#N/A</v>
      </c>
      <c r="F14" s="87" t="s">
        <v>42</v>
      </c>
      <c r="G14" s="84" t="e">
        <f>VLOOKUP(Table4[[#This Row],[A ID]],Assets[#All],3,FALSE)</f>
        <v>#N/A</v>
      </c>
      <c r="H14" s="195" t="s">
        <v>162</v>
      </c>
      <c r="I14" s="53"/>
      <c r="J14" s="193" t="s">
        <v>152</v>
      </c>
      <c r="K14" s="193" t="s">
        <v>139</v>
      </c>
      <c r="L14" s="193" t="s">
        <v>139</v>
      </c>
      <c r="M14" s="150" t="s">
        <v>140</v>
      </c>
      <c r="N14" s="150" t="s">
        <v>152</v>
      </c>
      <c r="O14" s="150" t="s">
        <v>152</v>
      </c>
      <c r="P14" s="150" t="s">
        <v>153</v>
      </c>
      <c r="Q14" s="150" t="s">
        <v>142</v>
      </c>
      <c r="R14"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14" s="154">
        <f>(1 - ((1 - VLOOKUP(Table4[[#This Row],[Confidentiality]],'Reference - CVSSv3.0'!$B$15:$C$17,2,FALSE)) * (1 - VLOOKUP(Table4[[#This Row],[Integrity]],'Reference - CVSSv3.0'!$B$15:$C$17,2,FALSE)) *  (1 - VLOOKUP(Table4[[#This Row],[Availability]],'Reference - CVSSv3.0'!$B$15:$C$17,2,FALSE))))</f>
        <v>0.73230400000000007</v>
      </c>
      <c r="T14" s="154">
        <f>IF(Table4[[#This Row],[Scope]]="Unchanged",6.42*Table4[[#This Row],[ISC Base]],IF(Table4[[#This Row],[Scope]]="Changed",7.52*(Table4[[#This Row],[ISC Base]] - 0.029) - 3.25 * POWER(Table4[[#This Row],[ISC Base]] - 0.02,15),NA()))</f>
        <v>4.7013916800000004</v>
      </c>
      <c r="U14" s="154">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191" t="s">
        <v>139</v>
      </c>
      <c r="W14" s="154">
        <f>VLOOKUP(Table4[[#This Row],[Threat Event Initiation]],NIST_Scale_LOAI[],2,FALSE)</f>
        <v>0.2</v>
      </c>
      <c r="X14"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1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189" t="s">
        <v>163</v>
      </c>
      <c r="AA14" s="195" t="s">
        <v>164</v>
      </c>
      <c r="AB14" s="86" t="s">
        <v>165</v>
      </c>
      <c r="AC14" s="53"/>
      <c r="AD14" s="53"/>
      <c r="AE14" s="53"/>
      <c r="AF14" s="150"/>
      <c r="AG14" s="150"/>
      <c r="AH14" s="150"/>
      <c r="AI14" s="150"/>
      <c r="AJ14" s="150"/>
      <c r="AK14"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154" t="e">
        <f>(1 - ((1 - VLOOKUP(Table4[[#This Row],[ConfidentialityP]],'Reference - CVSSv3.0'!$B$15:$C$17,2,FALSE)) * (1 - VLOOKUP(Table4[[#This Row],[IntegrityP]],'Reference - CVSSv3.0'!$B$15:$C$17,2,FALSE)) *  (1 - VLOOKUP(Table4[[#This Row],[AvailabilityP]],'Reference - CVSSv3.0'!$B$15:$C$17,2,FALSE))))</f>
        <v>#N/A</v>
      </c>
      <c r="AM14" s="154" t="e">
        <f>IF(Table4[[#This Row],[ScopeP]]="Unchanged",6.42*Table4[[#This Row],[ISC BaseP]],IF(Table4[[#This Row],[ScopeP]]="Changed",7.52*(Table4[[#This Row],[ISC BaseP]] - 0.029) - 3.25 * POWER(Table4[[#This Row],[ISC BaseP]] - 0.02,15),NA()))</f>
        <v>#N/A</v>
      </c>
      <c r="AN14"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53"/>
    </row>
    <row r="15" spans="1:45" s="47" customFormat="1" ht="71" customHeight="1">
      <c r="A15" s="64"/>
      <c r="B15" s="53" t="s">
        <v>231</v>
      </c>
      <c r="C15" s="84" t="str">
        <f>IF(VLOOKUP(Table4[[#This Row],[T ID]],Table5[#All],5,FALSE)="No","Not in scope",VLOOKUP(Table4[[#This Row],[T ID]],Table5[#All],2,FALSE))</f>
        <v>Unauthorized modifications  to Knee Balancer Software</v>
      </c>
      <c r="D15" s="53" t="s">
        <v>60</v>
      </c>
      <c r="E15" s="84" t="str">
        <f>IF(VLOOKUP(Table4[[#This Row],[V ID]],Vulnerabilities[#All],3,FALSE)="No","Not in scope",VLOOKUP(Table4[[#This Row],[V ID]],Vulnerabilities[#All],2,FALSE))</f>
        <v>Unsafely compiled Application Binaries - App</v>
      </c>
      <c r="F15" s="87" t="s">
        <v>22</v>
      </c>
      <c r="G15" s="84" t="str">
        <f>VLOOKUP(Table4[[#This Row],[A ID]],Assets[#All],3,FALSE)</f>
        <v>Knee balancer supporting software components (binaries, frameworks, 3rd party components, etc..)</v>
      </c>
      <c r="H15" s="195" t="s">
        <v>376</v>
      </c>
      <c r="I15" s="53"/>
      <c r="J15" s="193"/>
      <c r="K15" s="193"/>
      <c r="L15" s="193"/>
      <c r="M15" s="150"/>
      <c r="N15" s="150"/>
      <c r="O15" s="150"/>
      <c r="P15" s="150"/>
      <c r="Q15" s="150"/>
      <c r="R15" s="19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15" s="154" t="e">
        <f>(1 - ((1 - VLOOKUP(Table4[[#This Row],[Confidentiality]],'Reference - CVSSv3.0'!$B$15:$C$17,2,FALSE)) * (1 - VLOOKUP(Table4[[#This Row],[Integrity]],'Reference - CVSSv3.0'!$B$15:$C$17,2,FALSE)) *  (1 - VLOOKUP(Table4[[#This Row],[Availability]],'Reference - CVSSv3.0'!$B$15:$C$17,2,FALSE))))</f>
        <v>#N/A</v>
      </c>
      <c r="T15" s="154" t="e">
        <f>IF(Table4[[#This Row],[Scope]]="Unchanged",6.42*Table4[[#This Row],[ISC Base]],IF(Table4[[#This Row],[Scope]]="Changed",7.52*(Table4[[#This Row],[ISC Base]] - 0.029) - 3.25 * POWER(Table4[[#This Row],[ISC Base]] - 0.02,15),NA()))</f>
        <v>#N/A</v>
      </c>
      <c r="U15"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15" s="191"/>
      <c r="W15" s="154" t="e">
        <f>VLOOKUP(Table4[[#This Row],[Threat Event Initiation]],NIST_Scale_LOAI[],2,FALSE)</f>
        <v>#N/A</v>
      </c>
      <c r="X15"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1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15" s="189"/>
      <c r="AA15" s="195"/>
      <c r="AB15" s="86"/>
      <c r="AC15" s="53"/>
      <c r="AD15" s="53"/>
      <c r="AE15" s="53"/>
      <c r="AF15" s="150"/>
      <c r="AG15" s="150"/>
      <c r="AH15" s="150"/>
      <c r="AI15" s="150"/>
      <c r="AJ15" s="150"/>
      <c r="AK15"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54" t="e">
        <f>(1 - ((1 - VLOOKUP(Table4[[#This Row],[ConfidentialityP]],'Reference - CVSSv3.0'!$B$15:$C$17,2,FALSE)) * (1 - VLOOKUP(Table4[[#This Row],[IntegrityP]],'Reference - CVSSv3.0'!$B$15:$C$17,2,FALSE)) *  (1 - VLOOKUP(Table4[[#This Row],[AvailabilityP]],'Reference - CVSSv3.0'!$B$15:$C$17,2,FALSE))))</f>
        <v>#N/A</v>
      </c>
      <c r="AM15" s="154" t="e">
        <f>IF(Table4[[#This Row],[ScopeP]]="Unchanged",6.42*Table4[[#This Row],[ISC BaseP]],IF(Table4[[#This Row],[ScopeP]]="Changed",7.52*(Table4[[#This Row],[ISC BaseP]] - 0.029) - 3.25 * POWER(Table4[[#This Row],[ISC BaseP]] - 0.02,15),NA()))</f>
        <v>#N/A</v>
      </c>
      <c r="AN15"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53"/>
    </row>
    <row r="16" spans="1:45" s="47" customFormat="1" ht="71" customHeight="1">
      <c r="A16" s="64"/>
      <c r="B16" s="53" t="s">
        <v>231</v>
      </c>
      <c r="C16" s="84" t="str">
        <f>IF(VLOOKUP(Table4[[#This Row],[T ID]],Table5[#All],5,FALSE)="No","Not in scope",VLOOKUP(Table4[[#This Row],[T ID]],Table5[#All],2,FALSE))</f>
        <v>Unauthorized modifications  to Knee Balancer Software</v>
      </c>
      <c r="D16" s="53" t="s">
        <v>65</v>
      </c>
      <c r="E16" s="84" t="str">
        <f>IF(VLOOKUP(Table4[[#This Row],[V ID]],Vulnerabilities[#All],3,FALSE)="No","Not in scope",VLOOKUP(Table4[[#This Row],[V ID]],Vulnerabilities[#All],2,FALSE))</f>
        <v>3rd Party Component Dependency &amp; Vulnerabilities - App</v>
      </c>
      <c r="F16" s="87" t="s">
        <v>22</v>
      </c>
      <c r="G16" s="84" t="str">
        <f>VLOOKUP(Table4[[#This Row],[A ID]],Assets[#All],3,FALSE)</f>
        <v>Knee balancer supporting software components (binaries, frameworks, 3rd party components, etc..)</v>
      </c>
      <c r="H16" s="195" t="s">
        <v>376</v>
      </c>
      <c r="I16" s="53"/>
      <c r="J16" s="193"/>
      <c r="K16" s="193"/>
      <c r="L16" s="193"/>
      <c r="M16" s="150"/>
      <c r="N16" s="150"/>
      <c r="O16" s="150"/>
      <c r="P16" s="150"/>
      <c r="Q16" s="150"/>
      <c r="R16" s="19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16" s="154" t="e">
        <f>(1 - ((1 - VLOOKUP(Table4[[#This Row],[Confidentiality]],'Reference - CVSSv3.0'!$B$15:$C$17,2,FALSE)) * (1 - VLOOKUP(Table4[[#This Row],[Integrity]],'Reference - CVSSv3.0'!$B$15:$C$17,2,FALSE)) *  (1 - VLOOKUP(Table4[[#This Row],[Availability]],'Reference - CVSSv3.0'!$B$15:$C$17,2,FALSE))))</f>
        <v>#N/A</v>
      </c>
      <c r="T16" s="154" t="e">
        <f>IF(Table4[[#This Row],[Scope]]="Unchanged",6.42*Table4[[#This Row],[ISC Base]],IF(Table4[[#This Row],[Scope]]="Changed",7.52*(Table4[[#This Row],[ISC Base]] - 0.029) - 3.25 * POWER(Table4[[#This Row],[ISC Base]] - 0.02,15),NA()))</f>
        <v>#N/A</v>
      </c>
      <c r="U16"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16" s="191"/>
      <c r="W16" s="154" t="e">
        <f>VLOOKUP(Table4[[#This Row],[Threat Event Initiation]],NIST_Scale_LOAI[],2,FALSE)</f>
        <v>#N/A</v>
      </c>
      <c r="X16"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1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16" s="189"/>
      <c r="AA16" s="195"/>
      <c r="AB16" s="86"/>
      <c r="AC16" s="53"/>
      <c r="AD16" s="53"/>
      <c r="AE16" s="53"/>
      <c r="AF16" s="150"/>
      <c r="AG16" s="150"/>
      <c r="AH16" s="150"/>
      <c r="AI16" s="150"/>
      <c r="AJ16" s="150"/>
      <c r="AK16"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54" t="e">
        <f>(1 - ((1 - VLOOKUP(Table4[[#This Row],[ConfidentialityP]],'Reference - CVSSv3.0'!$B$15:$C$17,2,FALSE)) * (1 - VLOOKUP(Table4[[#This Row],[IntegrityP]],'Reference - CVSSv3.0'!$B$15:$C$17,2,FALSE)) *  (1 - VLOOKUP(Table4[[#This Row],[AvailabilityP]],'Reference - CVSSv3.0'!$B$15:$C$17,2,FALSE))))</f>
        <v>#N/A</v>
      </c>
      <c r="AM16" s="154" t="e">
        <f>IF(Table4[[#This Row],[ScopeP]]="Unchanged",6.42*Table4[[#This Row],[ISC BaseP]],IF(Table4[[#This Row],[ScopeP]]="Changed",7.52*(Table4[[#This Row],[ISC BaseP]] - 0.029) - 3.25 * POWER(Table4[[#This Row],[ISC BaseP]] - 0.02,15),NA()))</f>
        <v>#N/A</v>
      </c>
      <c r="AN16"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53"/>
    </row>
    <row r="17" spans="1:43" s="47" customFormat="1" ht="71" customHeight="1">
      <c r="A17" s="64"/>
      <c r="B17" s="53" t="s">
        <v>231</v>
      </c>
      <c r="C17" s="84" t="str">
        <f>IF(VLOOKUP(Table4[[#This Row],[T ID]],Table5[#All],5,FALSE)="No","Not in scope",VLOOKUP(Table4[[#This Row],[T ID]],Table5[#All],2,FALSE))</f>
        <v>Unauthorized modifications  to Knee Balancer Software</v>
      </c>
      <c r="D17" s="53" t="s">
        <v>66</v>
      </c>
      <c r="E17" s="84" t="str">
        <f>IF(VLOOKUP(Table4[[#This Row],[V ID]],Vulnerabilities[#All],3,FALSE)="No","Not in scope",VLOOKUP(Table4[[#This Row],[V ID]],Vulnerabilities[#All],2,FALSE))</f>
        <v>Corrupting the binaries/injecting malicious source code - App</v>
      </c>
      <c r="F17" s="87" t="s">
        <v>22</v>
      </c>
      <c r="G17" s="84" t="str">
        <f>VLOOKUP(Table4[[#This Row],[A ID]],Assets[#All],3,FALSE)</f>
        <v>Knee balancer supporting software components (binaries, frameworks, 3rd party components, etc..)</v>
      </c>
      <c r="H17" s="195" t="s">
        <v>376</v>
      </c>
      <c r="I17" s="53"/>
      <c r="J17" s="193"/>
      <c r="K17" s="193"/>
      <c r="L17" s="193"/>
      <c r="M17" s="150"/>
      <c r="N17" s="150"/>
      <c r="O17" s="150"/>
      <c r="P17" s="150"/>
      <c r="Q17" s="150"/>
      <c r="R17" s="19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17" s="154" t="e">
        <f>(1 - ((1 - VLOOKUP(Table4[[#This Row],[Confidentiality]],'Reference - CVSSv3.0'!$B$15:$C$17,2,FALSE)) * (1 - VLOOKUP(Table4[[#This Row],[Integrity]],'Reference - CVSSv3.0'!$B$15:$C$17,2,FALSE)) *  (1 - VLOOKUP(Table4[[#This Row],[Availability]],'Reference - CVSSv3.0'!$B$15:$C$17,2,FALSE))))</f>
        <v>#N/A</v>
      </c>
      <c r="T17" s="154" t="e">
        <f>IF(Table4[[#This Row],[Scope]]="Unchanged",6.42*Table4[[#This Row],[ISC Base]],IF(Table4[[#This Row],[Scope]]="Changed",7.52*(Table4[[#This Row],[ISC Base]] - 0.029) - 3.25 * POWER(Table4[[#This Row],[ISC Base]] - 0.02,15),NA()))</f>
        <v>#N/A</v>
      </c>
      <c r="U17"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17" s="191"/>
      <c r="W17" s="154" t="e">
        <f>VLOOKUP(Table4[[#This Row],[Threat Event Initiation]],NIST_Scale_LOAI[],2,FALSE)</f>
        <v>#N/A</v>
      </c>
      <c r="X17"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1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17" s="189"/>
      <c r="AA17" s="195"/>
      <c r="AB17" s="86"/>
      <c r="AC17" s="53"/>
      <c r="AD17" s="53"/>
      <c r="AE17" s="53"/>
      <c r="AF17" s="150"/>
      <c r="AG17" s="150"/>
      <c r="AH17" s="150"/>
      <c r="AI17" s="150"/>
      <c r="AJ17" s="150"/>
      <c r="AK17"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154" t="e">
        <f>(1 - ((1 - VLOOKUP(Table4[[#This Row],[ConfidentialityP]],'Reference - CVSSv3.0'!$B$15:$C$17,2,FALSE)) * (1 - VLOOKUP(Table4[[#This Row],[IntegrityP]],'Reference - CVSSv3.0'!$B$15:$C$17,2,FALSE)) *  (1 - VLOOKUP(Table4[[#This Row],[AvailabilityP]],'Reference - CVSSv3.0'!$B$15:$C$17,2,FALSE))))</f>
        <v>#N/A</v>
      </c>
      <c r="AM17" s="154" t="e">
        <f>IF(Table4[[#This Row],[ScopeP]]="Unchanged",6.42*Table4[[#This Row],[ISC BaseP]],IF(Table4[[#This Row],[ScopeP]]="Changed",7.52*(Table4[[#This Row],[ISC BaseP]] - 0.029) - 3.25 * POWER(Table4[[#This Row],[ISC BaseP]] - 0.02,15),NA()))</f>
        <v>#N/A</v>
      </c>
      <c r="AN17"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53"/>
    </row>
    <row r="18" spans="1:43" s="47" customFormat="1" ht="71" customHeight="1">
      <c r="A18" s="64"/>
      <c r="B18" s="53" t="s">
        <v>231</v>
      </c>
      <c r="C18" s="84" t="str">
        <f>IF(VLOOKUP(Table4[[#This Row],[T ID]],Table5[#All],5,FALSE)="No","Not in scope",VLOOKUP(Table4[[#This Row],[T ID]],Table5[#All],2,FALSE))</f>
        <v>Unauthorized modifications  to Knee Balancer Software</v>
      </c>
      <c r="D18" s="53" t="s">
        <v>67</v>
      </c>
      <c r="E18" s="84" t="str">
        <f>IF(VLOOKUP(Table4[[#This Row],[V ID]],Vulnerabilities[#All],3,FALSE)="No","Not in scope",VLOOKUP(Table4[[#This Row],[V ID]],Vulnerabilities[#All],2,FALSE))</f>
        <v>Static Analysis for developed code &amp; SCA for SOUP - App</v>
      </c>
      <c r="F18" s="87" t="s">
        <v>22</v>
      </c>
      <c r="G18" s="84" t="str">
        <f>VLOOKUP(Table4[[#This Row],[A ID]],Assets[#All],3,FALSE)</f>
        <v>Knee balancer supporting software components (binaries, frameworks, 3rd party components, etc..)</v>
      </c>
      <c r="H18" s="195" t="s">
        <v>376</v>
      </c>
      <c r="I18" s="53"/>
      <c r="J18" s="193"/>
      <c r="K18" s="193"/>
      <c r="L18" s="193"/>
      <c r="M18" s="150"/>
      <c r="N18" s="150"/>
      <c r="O18" s="150"/>
      <c r="P18" s="150"/>
      <c r="Q18" s="150"/>
      <c r="R18" s="19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18" s="154" t="e">
        <f>(1 - ((1 - VLOOKUP(Table4[[#This Row],[Confidentiality]],'Reference - CVSSv3.0'!$B$15:$C$17,2,FALSE)) * (1 - VLOOKUP(Table4[[#This Row],[Integrity]],'Reference - CVSSv3.0'!$B$15:$C$17,2,FALSE)) *  (1 - VLOOKUP(Table4[[#This Row],[Availability]],'Reference - CVSSv3.0'!$B$15:$C$17,2,FALSE))))</f>
        <v>#N/A</v>
      </c>
      <c r="T18" s="154" t="e">
        <f>IF(Table4[[#This Row],[Scope]]="Unchanged",6.42*Table4[[#This Row],[ISC Base]],IF(Table4[[#This Row],[Scope]]="Changed",7.52*(Table4[[#This Row],[ISC Base]] - 0.029) - 3.25 * POWER(Table4[[#This Row],[ISC Base]] - 0.02,15),NA()))</f>
        <v>#N/A</v>
      </c>
      <c r="U18"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18" s="191"/>
      <c r="W18" s="154" t="e">
        <f>VLOOKUP(Table4[[#This Row],[Threat Event Initiation]],NIST_Scale_LOAI[],2,FALSE)</f>
        <v>#N/A</v>
      </c>
      <c r="X18"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1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18" s="189"/>
      <c r="AA18" s="195"/>
      <c r="AB18" s="86"/>
      <c r="AC18" s="53"/>
      <c r="AD18" s="53"/>
      <c r="AE18" s="53"/>
      <c r="AF18" s="150"/>
      <c r="AG18" s="150"/>
      <c r="AH18" s="150"/>
      <c r="AI18" s="150"/>
      <c r="AJ18" s="150"/>
      <c r="AK18"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154" t="e">
        <f>(1 - ((1 - VLOOKUP(Table4[[#This Row],[ConfidentialityP]],'Reference - CVSSv3.0'!$B$15:$C$17,2,FALSE)) * (1 - VLOOKUP(Table4[[#This Row],[IntegrityP]],'Reference - CVSSv3.0'!$B$15:$C$17,2,FALSE)) *  (1 - VLOOKUP(Table4[[#This Row],[AvailabilityP]],'Reference - CVSSv3.0'!$B$15:$C$17,2,FALSE))))</f>
        <v>#N/A</v>
      </c>
      <c r="AM18" s="154" t="e">
        <f>IF(Table4[[#This Row],[ScopeP]]="Unchanged",6.42*Table4[[#This Row],[ISC BaseP]],IF(Table4[[#This Row],[ScopeP]]="Changed",7.52*(Table4[[#This Row],[ISC BaseP]] - 0.029) - 3.25 * POWER(Table4[[#This Row],[ISC BaseP]] - 0.02,15),NA()))</f>
        <v>#N/A</v>
      </c>
      <c r="AN18"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53"/>
    </row>
    <row r="19" spans="1:43" s="47" customFormat="1" ht="135" customHeight="1">
      <c r="A19" s="64"/>
      <c r="B19" s="53" t="s">
        <v>166</v>
      </c>
      <c r="C19" s="84" t="str">
        <f>IF(VLOOKUP(Table4[[#This Row],[T ID]],Table5[#All],5,FALSE)="No","Not in scope",VLOOKUP(Table4[[#This Row],[T ID]],Table5[#All],2,FALSE))</f>
        <v>Unauthorized access to Knee Balancer App</v>
      </c>
      <c r="D19" s="53" t="s">
        <v>66</v>
      </c>
      <c r="E19" s="84" t="str">
        <f>IF(VLOOKUP(Table4[[#This Row],[V ID]],Vulnerabilities[#All],3,FALSE)="No","Not in scope",VLOOKUP(Table4[[#This Row],[V ID]],Vulnerabilities[#All],2,FALSE))</f>
        <v>Corrupting the binaries/injecting malicious source code - App</v>
      </c>
      <c r="F19" s="87" t="s">
        <v>18</v>
      </c>
      <c r="G19" s="84" t="str">
        <f>VLOOKUP(Table4[[#This Row],[A ID]],Assets[#All],3,FALSE)</f>
        <v>Patient Identifiable data</v>
      </c>
      <c r="H19" s="195" t="s">
        <v>377</v>
      </c>
      <c r="I19" s="53"/>
      <c r="J19" s="193" t="s">
        <v>139</v>
      </c>
      <c r="K19" s="193" t="s">
        <v>139</v>
      </c>
      <c r="L19" s="193" t="s">
        <v>139</v>
      </c>
      <c r="M19" s="150" t="s">
        <v>154</v>
      </c>
      <c r="N19" s="150" t="s">
        <v>139</v>
      </c>
      <c r="O19" s="150" t="s">
        <v>152</v>
      </c>
      <c r="P19" s="150" t="s">
        <v>153</v>
      </c>
      <c r="Q19" s="150" t="s">
        <v>142</v>
      </c>
      <c r="R19"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19" s="154">
        <f>(1 - ((1 - VLOOKUP(Table4[[#This Row],[Confidentiality]],'Reference - CVSSv3.0'!$B$15:$C$17,2,FALSE)) * (1 - VLOOKUP(Table4[[#This Row],[Integrity]],'Reference - CVSSv3.0'!$B$15:$C$17,2,FALSE)) *  (1 - VLOOKUP(Table4[[#This Row],[Availability]],'Reference - CVSSv3.0'!$B$15:$C$17,2,FALSE))))</f>
        <v>0.52544799999999992</v>
      </c>
      <c r="T19" s="154">
        <f>IF(Table4[[#This Row],[Scope]]="Unchanged",6.42*Table4[[#This Row],[ISC Base]],IF(Table4[[#This Row],[Scope]]="Changed",7.52*(Table4[[#This Row],[ISC Base]] - 0.029) - 3.25 * POWER(Table4[[#This Row],[ISC Base]] - 0.02,15),NA()))</f>
        <v>3.3733761599999994</v>
      </c>
      <c r="U19" s="154">
        <f>IF(Table4[[#This Row],[Impact Sub Score]]&lt;=0,0,IF(Table4[[#This Row],[Scope]]="Unchanged",ROUNDUP(MIN((Table4[[#This Row],[Impact Sub Score]]+Table4[[#This Row],[Exploitability Sub Score]]),10),1),IF(Table4[[#This Row],[Scope]]="Changed",ROUNDUP(MIN((1.08*(Table4[[#This Row],[Impact Sub Score]]+Table4[[#This Row],[Exploitability Sub Score]])),10),1),NA())))</f>
        <v>3.6</v>
      </c>
      <c r="V19" s="191" t="s">
        <v>139</v>
      </c>
      <c r="W19" s="154">
        <f>VLOOKUP(Table4[[#This Row],[Threat Event Initiation]],NIST_Scale_LOAI[],2,FALSE)</f>
        <v>0.2</v>
      </c>
      <c r="X19"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1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5" t="s">
        <v>167</v>
      </c>
      <c r="AA19" s="195" t="s">
        <v>168</v>
      </c>
      <c r="AB19" s="86" t="s">
        <v>169</v>
      </c>
      <c r="AC19" s="53"/>
      <c r="AD19" s="53"/>
      <c r="AE19" s="53"/>
      <c r="AF19" s="150"/>
      <c r="AG19" s="150"/>
      <c r="AH19" s="150"/>
      <c r="AI19" s="150"/>
      <c r="AJ19" s="150"/>
      <c r="AK19"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154" t="e">
        <f>(1 - ((1 - VLOOKUP(Table4[[#This Row],[ConfidentialityP]],'Reference - CVSSv3.0'!$B$15:$C$17,2,FALSE)) * (1 - VLOOKUP(Table4[[#This Row],[IntegrityP]],'Reference - CVSSv3.0'!$B$15:$C$17,2,FALSE)) *  (1 - VLOOKUP(Table4[[#This Row],[AvailabilityP]],'Reference - CVSSv3.0'!$B$15:$C$17,2,FALSE))))</f>
        <v>#N/A</v>
      </c>
      <c r="AM19" s="154" t="e">
        <f>IF(Table4[[#This Row],[ScopeP]]="Unchanged",6.42*Table4[[#This Row],[ISC BaseP]],IF(Table4[[#This Row],[ScopeP]]="Changed",7.52*(Table4[[#This Row],[ISC BaseP]] - 0.029) - 3.25 * POWER(Table4[[#This Row],[ISC BaseP]] - 0.02,15),NA()))</f>
        <v>#N/A</v>
      </c>
      <c r="AN19"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53"/>
    </row>
    <row r="20" spans="1:43" s="47" customFormat="1" ht="109" customHeight="1">
      <c r="A20" s="64"/>
      <c r="B20" s="53" t="s">
        <v>166</v>
      </c>
      <c r="C20" s="84" t="str">
        <f>IF(VLOOKUP(Table4[[#This Row],[T ID]],Table5[#All],5,FALSE)="No","Not in scope",VLOOKUP(Table4[[#This Row],[T ID]],Table5[#All],2,FALSE))</f>
        <v>Unauthorized access to Knee Balancer App</v>
      </c>
      <c r="D20" s="53" t="s">
        <v>67</v>
      </c>
      <c r="E20" s="84" t="str">
        <f>IF(VLOOKUP(Table4[[#This Row],[V ID]],Vulnerabilities[#All],3,FALSE)="No","Not in scope",VLOOKUP(Table4[[#This Row],[V ID]],Vulnerabilities[#All],2,FALSE))</f>
        <v>Static Analysis for developed code &amp; SCA for SOUP - App</v>
      </c>
      <c r="F20" s="87" t="s">
        <v>18</v>
      </c>
      <c r="G20" s="84" t="str">
        <f>VLOOKUP(Table4[[#This Row],[A ID]],Assets[#All],3,FALSE)</f>
        <v>Patient Identifiable data</v>
      </c>
      <c r="H20" s="195" t="s">
        <v>377</v>
      </c>
      <c r="I20" s="53"/>
      <c r="J20" s="193" t="s">
        <v>139</v>
      </c>
      <c r="K20" s="193" t="s">
        <v>139</v>
      </c>
      <c r="L20" s="193" t="s">
        <v>139</v>
      </c>
      <c r="M20" s="150" t="s">
        <v>150</v>
      </c>
      <c r="N20" s="150" t="s">
        <v>139</v>
      </c>
      <c r="O20" s="150" t="s">
        <v>152</v>
      </c>
      <c r="P20" s="150" t="s">
        <v>153</v>
      </c>
      <c r="Q20" s="150" t="s">
        <v>142</v>
      </c>
      <c r="R20"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0" s="154">
        <f>(1 - ((1 - VLOOKUP(Table4[[#This Row],[Confidentiality]],'Reference - CVSSv3.0'!$B$15:$C$17,2,FALSE)) * (1 - VLOOKUP(Table4[[#This Row],[Integrity]],'Reference - CVSSv3.0'!$B$15:$C$17,2,FALSE)) *  (1 - VLOOKUP(Table4[[#This Row],[Availability]],'Reference - CVSSv3.0'!$B$15:$C$17,2,FALSE))))</f>
        <v>0.52544799999999992</v>
      </c>
      <c r="T20" s="154">
        <f>IF(Table4[[#This Row],[Scope]]="Unchanged",6.42*Table4[[#This Row],[ISC Base]],IF(Table4[[#This Row],[Scope]]="Changed",7.52*(Table4[[#This Row],[ISC Base]] - 0.029) - 3.25 * POWER(Table4[[#This Row],[ISC Base]] - 0.02,15),NA()))</f>
        <v>3.3733761599999994</v>
      </c>
      <c r="U20" s="154">
        <f>IF(Table4[[#This Row],[Impact Sub Score]]&lt;=0,0,IF(Table4[[#This Row],[Scope]]="Unchanged",ROUNDUP(MIN((Table4[[#This Row],[Impact Sub Score]]+Table4[[#This Row],[Exploitability Sub Score]]),10),1),IF(Table4[[#This Row],[Scope]]="Changed",ROUNDUP(MIN((1.08*(Table4[[#This Row],[Impact Sub Score]]+Table4[[#This Row],[Exploitability Sub Score]])),10),1),NA())))</f>
        <v>4</v>
      </c>
      <c r="V20" s="191" t="s">
        <v>139</v>
      </c>
      <c r="W20" s="154">
        <f>VLOOKUP(Table4[[#This Row],[Threat Event Initiation]],NIST_Scale_LOAI[],2,FALSE)</f>
        <v>0.2</v>
      </c>
      <c r="X20"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5" t="s">
        <v>170</v>
      </c>
      <c r="AA20" s="195" t="s">
        <v>171</v>
      </c>
      <c r="AB20" s="86" t="s">
        <v>172</v>
      </c>
      <c r="AC20" s="53"/>
      <c r="AD20" s="53"/>
      <c r="AE20" s="53"/>
      <c r="AF20" s="150"/>
      <c r="AG20" s="150"/>
      <c r="AH20" s="150"/>
      <c r="AI20" s="150"/>
      <c r="AJ20" s="150"/>
      <c r="AK20"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154" t="e">
        <f>(1 - ((1 - VLOOKUP(Table4[[#This Row],[ConfidentialityP]],'Reference - CVSSv3.0'!$B$15:$C$17,2,FALSE)) * (1 - VLOOKUP(Table4[[#This Row],[IntegrityP]],'Reference - CVSSv3.0'!$B$15:$C$17,2,FALSE)) *  (1 - VLOOKUP(Table4[[#This Row],[AvailabilityP]],'Reference - CVSSv3.0'!$B$15:$C$17,2,FALSE))))</f>
        <v>#N/A</v>
      </c>
      <c r="AM20" s="154" t="e">
        <f>IF(Table4[[#This Row],[ScopeP]]="Unchanged",6.42*Table4[[#This Row],[ISC BaseP]],IF(Table4[[#This Row],[ScopeP]]="Changed",7.52*(Table4[[#This Row],[ISC BaseP]] - 0.029) - 3.25 * POWER(Table4[[#This Row],[ISC BaseP]] - 0.02,15),NA()))</f>
        <v>#N/A</v>
      </c>
      <c r="AN20"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53"/>
    </row>
    <row r="21" spans="1:43" s="47" customFormat="1" ht="93.5" customHeight="1">
      <c r="A21" s="64"/>
      <c r="B21" s="53" t="s">
        <v>166</v>
      </c>
      <c r="C21" s="84" t="str">
        <f>IF(VLOOKUP(Table4[[#This Row],[T ID]],Table5[#All],5,FALSE)="No","Not in scope",VLOOKUP(Table4[[#This Row],[T ID]],Table5[#All],2,FALSE))</f>
        <v>Unauthorized access to Knee Balancer App</v>
      </c>
      <c r="D21" s="53" t="s">
        <v>74</v>
      </c>
      <c r="E21" s="84" t="str">
        <f>IF(VLOOKUP(Table4[[#This Row],[V ID]],Vulnerabilities[#All],3,FALSE)="No","Not in scope",VLOOKUP(Table4[[#This Row],[V ID]],Vulnerabilities[#All],2,FALSE))</f>
        <v>Untrusted 3rd party applications installation from appstore</v>
      </c>
      <c r="F21" s="87" t="s">
        <v>38</v>
      </c>
      <c r="G21" s="84" t="str">
        <f>VLOOKUP(Table4[[#This Row],[A ID]],Assets[#All],3,FALSE)</f>
        <v>Wireless communication interfaces (Wifi, BT,etc..)</v>
      </c>
      <c r="H21" s="195" t="s">
        <v>377</v>
      </c>
      <c r="I21" s="53"/>
      <c r="J21" s="193" t="s">
        <v>139</v>
      </c>
      <c r="K21" s="193" t="s">
        <v>139</v>
      </c>
      <c r="L21" s="193" t="s">
        <v>139</v>
      </c>
      <c r="M21" s="150" t="s">
        <v>150</v>
      </c>
      <c r="N21" s="150" t="s">
        <v>139</v>
      </c>
      <c r="O21" s="150" t="s">
        <v>152</v>
      </c>
      <c r="P21" s="150" t="s">
        <v>153</v>
      </c>
      <c r="Q21" s="150" t="s">
        <v>142</v>
      </c>
      <c r="R21"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1" s="154">
        <f>(1 - ((1 - VLOOKUP(Table4[[#This Row],[Confidentiality]],'Reference - CVSSv3.0'!$B$15:$C$17,2,FALSE)) * (1 - VLOOKUP(Table4[[#This Row],[Integrity]],'Reference - CVSSv3.0'!$B$15:$C$17,2,FALSE)) *  (1 - VLOOKUP(Table4[[#This Row],[Availability]],'Reference - CVSSv3.0'!$B$15:$C$17,2,FALSE))))</f>
        <v>0.52544799999999992</v>
      </c>
      <c r="T21" s="154">
        <f>IF(Table4[[#This Row],[Scope]]="Unchanged",6.42*Table4[[#This Row],[ISC Base]],IF(Table4[[#This Row],[Scope]]="Changed",7.52*(Table4[[#This Row],[ISC Base]] - 0.029) - 3.25 * POWER(Table4[[#This Row],[ISC Base]] - 0.02,15),NA()))</f>
        <v>3.3733761599999994</v>
      </c>
      <c r="U21" s="154">
        <f>IF(Table4[[#This Row],[Impact Sub Score]]&lt;=0,0,IF(Table4[[#This Row],[Scope]]="Unchanged",ROUNDUP(MIN((Table4[[#This Row],[Impact Sub Score]]+Table4[[#This Row],[Exploitability Sub Score]]),10),1),IF(Table4[[#This Row],[Scope]]="Changed",ROUNDUP(MIN((1.08*(Table4[[#This Row],[Impact Sub Score]]+Table4[[#This Row],[Exploitability Sub Score]])),10),1),NA())))</f>
        <v>4</v>
      </c>
      <c r="V21" s="191" t="s">
        <v>139</v>
      </c>
      <c r="W21" s="154">
        <f>VLOOKUP(Table4[[#This Row],[Threat Event Initiation]],NIST_Scale_LOAI[],2,FALSE)</f>
        <v>0.2</v>
      </c>
      <c r="X21"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5" t="s">
        <v>173</v>
      </c>
      <c r="AA21" s="195" t="s">
        <v>174</v>
      </c>
      <c r="AB21" s="86" t="s">
        <v>175</v>
      </c>
      <c r="AC21" s="53"/>
      <c r="AD21" s="53"/>
      <c r="AE21" s="53"/>
      <c r="AF21" s="150"/>
      <c r="AG21" s="150"/>
      <c r="AH21" s="150"/>
      <c r="AI21" s="150"/>
      <c r="AJ21" s="150"/>
      <c r="AK21"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154" t="e">
        <f>(1 - ((1 - VLOOKUP(Table4[[#This Row],[ConfidentialityP]],'Reference - CVSSv3.0'!$B$15:$C$17,2,FALSE)) * (1 - VLOOKUP(Table4[[#This Row],[IntegrityP]],'Reference - CVSSv3.0'!$B$15:$C$17,2,FALSE)) *  (1 - VLOOKUP(Table4[[#This Row],[AvailabilityP]],'Reference - CVSSv3.0'!$B$15:$C$17,2,FALSE))))</f>
        <v>#N/A</v>
      </c>
      <c r="AM21" s="154" t="e">
        <f>IF(Table4[[#This Row],[ScopeP]]="Unchanged",6.42*Table4[[#This Row],[ISC BaseP]],IF(Table4[[#This Row],[ScopeP]]="Changed",7.52*(Table4[[#This Row],[ISC BaseP]] - 0.029) - 3.25 * POWER(Table4[[#This Row],[ISC BaseP]] - 0.02,15),NA()))</f>
        <v>#N/A</v>
      </c>
      <c r="AN21"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53"/>
    </row>
    <row r="22" spans="1:43" s="47" customFormat="1" ht="70.5" customHeight="1">
      <c r="A22" s="64"/>
      <c r="B22" s="53" t="s">
        <v>166</v>
      </c>
      <c r="C22" s="84" t="str">
        <f>IF(VLOOKUP(Table4[[#This Row],[T ID]],Table5[#All],5,FALSE)="No","Not in scope",VLOOKUP(Table4[[#This Row],[T ID]],Table5[#All],2,FALSE))</f>
        <v>Unauthorized access to Knee Balancer App</v>
      </c>
      <c r="D22" s="53" t="s">
        <v>66</v>
      </c>
      <c r="E22" s="84" t="str">
        <f>IF(VLOOKUP(Table4[[#This Row],[V ID]],Vulnerabilities[#All],3,FALSE)="No","Not in scope",VLOOKUP(Table4[[#This Row],[V ID]],Vulnerabilities[#All],2,FALSE))</f>
        <v>Corrupting the binaries/injecting malicious source code - App</v>
      </c>
      <c r="F22" s="87" t="s">
        <v>16</v>
      </c>
      <c r="G22" s="84" t="str">
        <f>VLOOKUP(Table4[[#This Row],[A ID]],Assets[#All],3,FALSE)</f>
        <v>Knee balancer application</v>
      </c>
      <c r="H22" s="195" t="s">
        <v>377</v>
      </c>
      <c r="I22" s="53"/>
      <c r="J22" s="193" t="s">
        <v>139</v>
      </c>
      <c r="K22" s="193" t="s">
        <v>139</v>
      </c>
      <c r="L22" s="193" t="s">
        <v>139</v>
      </c>
      <c r="M22" s="150" t="s">
        <v>150</v>
      </c>
      <c r="N22" s="150" t="s">
        <v>139</v>
      </c>
      <c r="O22" s="150" t="s">
        <v>152</v>
      </c>
      <c r="P22" s="150" t="s">
        <v>153</v>
      </c>
      <c r="Q22" s="150" t="s">
        <v>142</v>
      </c>
      <c r="R22"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2" s="154">
        <f>(1 - ((1 - VLOOKUP(Table4[[#This Row],[Confidentiality]],'Reference - CVSSv3.0'!$B$15:$C$17,2,FALSE)) * (1 - VLOOKUP(Table4[[#This Row],[Integrity]],'Reference - CVSSv3.0'!$B$15:$C$17,2,FALSE)) *  (1 - VLOOKUP(Table4[[#This Row],[Availability]],'Reference - CVSSv3.0'!$B$15:$C$17,2,FALSE))))</f>
        <v>0.52544799999999992</v>
      </c>
      <c r="T22" s="154">
        <f>IF(Table4[[#This Row],[Scope]]="Unchanged",6.42*Table4[[#This Row],[ISC Base]],IF(Table4[[#This Row],[Scope]]="Changed",7.52*(Table4[[#This Row],[ISC Base]] - 0.029) - 3.25 * POWER(Table4[[#This Row],[ISC Base]] - 0.02,15),NA()))</f>
        <v>3.3733761599999994</v>
      </c>
      <c r="U22" s="154">
        <f>IF(Table4[[#This Row],[Impact Sub Score]]&lt;=0,0,IF(Table4[[#This Row],[Scope]]="Unchanged",ROUNDUP(MIN((Table4[[#This Row],[Impact Sub Score]]+Table4[[#This Row],[Exploitability Sub Score]]),10),1),IF(Table4[[#This Row],[Scope]]="Changed",ROUNDUP(MIN((1.08*(Table4[[#This Row],[Impact Sub Score]]+Table4[[#This Row],[Exploitability Sub Score]])),10),1),NA())))</f>
        <v>4</v>
      </c>
      <c r="V22" s="191" t="s">
        <v>139</v>
      </c>
      <c r="W22" s="154">
        <f>VLOOKUP(Table4[[#This Row],[Threat Event Initiation]],NIST_Scale_LOAI[],2,FALSE)</f>
        <v>0.2</v>
      </c>
      <c r="X22"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5" t="s">
        <v>176</v>
      </c>
      <c r="AA22" s="196" t="s">
        <v>177</v>
      </c>
      <c r="AB22" s="86" t="s">
        <v>178</v>
      </c>
      <c r="AC22" s="53"/>
      <c r="AD22" s="53"/>
      <c r="AE22" s="53"/>
      <c r="AF22" s="150"/>
      <c r="AG22" s="150"/>
      <c r="AH22" s="150"/>
      <c r="AI22" s="150"/>
      <c r="AJ22" s="150"/>
      <c r="AK22"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154" t="e">
        <f>(1 - ((1 - VLOOKUP(Table4[[#This Row],[ConfidentialityP]],'Reference - CVSSv3.0'!$B$15:$C$17,2,FALSE)) * (1 - VLOOKUP(Table4[[#This Row],[IntegrityP]],'Reference - CVSSv3.0'!$B$15:$C$17,2,FALSE)) *  (1 - VLOOKUP(Table4[[#This Row],[AvailabilityP]],'Reference - CVSSv3.0'!$B$15:$C$17,2,FALSE))))</f>
        <v>#N/A</v>
      </c>
      <c r="AM22" s="154" t="e">
        <f>IF(Table4[[#This Row],[ScopeP]]="Unchanged",6.42*Table4[[#This Row],[ISC BaseP]],IF(Table4[[#This Row],[ScopeP]]="Changed",7.52*(Table4[[#This Row],[ISC BaseP]] - 0.029) - 3.25 * POWER(Table4[[#This Row],[ISC BaseP]] - 0.02,15),NA()))</f>
        <v>#N/A</v>
      </c>
      <c r="AN22"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53"/>
    </row>
    <row r="23" spans="1:43" s="47" customFormat="1" ht="70.5" customHeight="1">
      <c r="A23" s="64"/>
      <c r="B23" s="53" t="s">
        <v>166</v>
      </c>
      <c r="C23" s="84" t="str">
        <f>IF(VLOOKUP(Table4[[#This Row],[T ID]],Table5[#All],5,FALSE)="No","Not in scope",VLOOKUP(Table4[[#This Row],[T ID]],Table5[#All],2,FALSE))</f>
        <v>Unauthorized access to Knee Balancer App</v>
      </c>
      <c r="D23" s="53" t="s">
        <v>72</v>
      </c>
      <c r="E23" s="84" t="str">
        <f>IF(VLOOKUP(Table4[[#This Row],[V ID]],Vulnerabilities[#All],3,FALSE)="No","Not in scope",VLOOKUP(Table4[[#This Row],[V ID]],Vulnerabilities[#All],2,FALSE))</f>
        <v>Insecure Storage of Sensitive Information</v>
      </c>
      <c r="F23" s="87" t="s">
        <v>16</v>
      </c>
      <c r="G23" s="84" t="str">
        <f>VLOOKUP(Table4[[#This Row],[A ID]],Assets[#All],3,FALSE)</f>
        <v>Knee balancer application</v>
      </c>
      <c r="H23" s="195" t="s">
        <v>377</v>
      </c>
      <c r="I23" s="53"/>
      <c r="J23" s="193"/>
      <c r="K23" s="193"/>
      <c r="L23" s="193"/>
      <c r="M23" s="150"/>
      <c r="N23" s="150"/>
      <c r="O23" s="150"/>
      <c r="P23" s="150"/>
      <c r="Q23" s="150"/>
      <c r="R23" s="190"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23" s="154" t="e">
        <f>(1 - ((1 - VLOOKUP(Table4[[#This Row],[Confidentiality]],'Reference - CVSSv3.0'!$B$15:$C$17,2,FALSE)) * (1 - VLOOKUP(Table4[[#This Row],[Integrity]],'Reference - CVSSv3.0'!$B$15:$C$17,2,FALSE)) *  (1 - VLOOKUP(Table4[[#This Row],[Availability]],'Reference - CVSSv3.0'!$B$15:$C$17,2,FALSE))))</f>
        <v>#N/A</v>
      </c>
      <c r="T23" s="154" t="e">
        <f>IF(Table4[[#This Row],[Scope]]="Unchanged",6.42*Table4[[#This Row],[ISC Base]],IF(Table4[[#This Row],[Scope]]="Changed",7.52*(Table4[[#This Row],[ISC Base]] - 0.029) - 3.25 * POWER(Table4[[#This Row],[ISC Base]] - 0.02,15),NA()))</f>
        <v>#N/A</v>
      </c>
      <c r="U23" s="154" t="e">
        <f>IF(Table4[[#This Row],[Impact Sub Score]]&lt;=0,0,IF(Table4[[#This Row],[Scope]]="Unchanged",ROUNDUP(MIN((Table4[[#This Row],[Impact Sub Score]]+Table4[[#This Row],[Exploitability Sub Score]]),10),1),IF(Table4[[#This Row],[Scope]]="Changed",ROUNDUP(MIN((1.08*(Table4[[#This Row],[Impact Sub Score]]+Table4[[#This Row],[Exploitability Sub Score]])),10),1),NA())))</f>
        <v>#N/A</v>
      </c>
      <c r="V23" s="191"/>
      <c r="W23" s="154" t="e">
        <f>VLOOKUP(Table4[[#This Row],[Threat Event Initiation]],NIST_Scale_LOAI[],2,FALSE)</f>
        <v>#N/A</v>
      </c>
      <c r="X23" s="154"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2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23" s="195"/>
      <c r="AA23" s="196"/>
      <c r="AB23" s="86"/>
      <c r="AC23" s="53"/>
      <c r="AD23" s="53"/>
      <c r="AE23" s="53"/>
      <c r="AF23" s="150"/>
      <c r="AG23" s="150"/>
      <c r="AH23" s="150"/>
      <c r="AI23" s="150"/>
      <c r="AJ23" s="150"/>
      <c r="AK23"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154" t="e">
        <f>(1 - ((1 - VLOOKUP(Table4[[#This Row],[ConfidentialityP]],'Reference - CVSSv3.0'!$B$15:$C$17,2,FALSE)) * (1 - VLOOKUP(Table4[[#This Row],[IntegrityP]],'Reference - CVSSv3.0'!$B$15:$C$17,2,FALSE)) *  (1 - VLOOKUP(Table4[[#This Row],[AvailabilityP]],'Reference - CVSSv3.0'!$B$15:$C$17,2,FALSE))))</f>
        <v>#N/A</v>
      </c>
      <c r="AM23" s="154" t="e">
        <f>IF(Table4[[#This Row],[ScopeP]]="Unchanged",6.42*Table4[[#This Row],[ISC BaseP]],IF(Table4[[#This Row],[ScopeP]]="Changed",7.52*(Table4[[#This Row],[ISC BaseP]] - 0.029) - 3.25 * POWER(Table4[[#This Row],[ISC BaseP]] - 0.02,15),NA()))</f>
        <v>#N/A</v>
      </c>
      <c r="AN23"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53"/>
    </row>
    <row r="24" spans="1:43" s="47" customFormat="1" ht="58" customHeight="1">
      <c r="A24" s="64"/>
      <c r="B24" s="53" t="s">
        <v>179</v>
      </c>
      <c r="C24" s="84" t="str">
        <f>IF(VLOOKUP(Table4[[#This Row],[T ID]],Table5[#All],5,FALSE)="No","Not in scope",VLOOKUP(Table4[[#This Row],[T ID]],Table5[#All],2,FALSE))</f>
        <v>Unauthorized access/modification to Pre-OP data/Treatment plan</v>
      </c>
      <c r="D24" s="53" t="s">
        <v>53</v>
      </c>
      <c r="E24" s="84" t="str">
        <f>IF(VLOOKUP(Table4[[#This Row],[V ID]],Vulnerabilities[#All],3,FALSE)="No","Not in scope",VLOOKUP(Table4[[#This Row],[V ID]],Vulnerabilities[#All],2,FALSE))</f>
        <v>Ineffective management of user credentials</v>
      </c>
      <c r="F24" s="87" t="s">
        <v>16</v>
      </c>
      <c r="G24" s="84" t="str">
        <f>VLOOKUP(Table4[[#This Row],[A ID]],Assets[#All],3,FALSE)</f>
        <v>Knee balancer application</v>
      </c>
      <c r="H24" s="195" t="s">
        <v>384</v>
      </c>
      <c r="I24" s="53"/>
      <c r="J24" s="193" t="s">
        <v>152</v>
      </c>
      <c r="K24" s="193" t="s">
        <v>139</v>
      </c>
      <c r="L24" s="193" t="s">
        <v>139</v>
      </c>
      <c r="M24" s="150" t="s">
        <v>150</v>
      </c>
      <c r="N24" s="150" t="s">
        <v>139</v>
      </c>
      <c r="O24" s="150" t="s">
        <v>152</v>
      </c>
      <c r="P24" s="150" t="s">
        <v>153</v>
      </c>
      <c r="Q24" s="150" t="s">
        <v>142</v>
      </c>
      <c r="R24"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4" s="154">
        <f>(1 - ((1 - VLOOKUP(Table4[[#This Row],[Confidentiality]],'Reference - CVSSv3.0'!$B$15:$C$17,2,FALSE)) * (1 - VLOOKUP(Table4[[#This Row],[Integrity]],'Reference - CVSSv3.0'!$B$15:$C$17,2,FALSE)) *  (1 - VLOOKUP(Table4[[#This Row],[Availability]],'Reference - CVSSv3.0'!$B$15:$C$17,2,FALSE))))</f>
        <v>0.73230400000000007</v>
      </c>
      <c r="T24" s="154">
        <f>IF(Table4[[#This Row],[Scope]]="Unchanged",6.42*Table4[[#This Row],[ISC Base]],IF(Table4[[#This Row],[Scope]]="Changed",7.52*(Table4[[#This Row],[ISC Base]] - 0.029) - 3.25 * POWER(Table4[[#This Row],[ISC Base]] - 0.02,15),NA()))</f>
        <v>4.7013916800000004</v>
      </c>
      <c r="U24" s="154">
        <f>IF(Table4[[#This Row],[Impact Sub Score]]&lt;=0,0,IF(Table4[[#This Row],[Scope]]="Unchanged",ROUNDUP(MIN((Table4[[#This Row],[Impact Sub Score]]+Table4[[#This Row],[Exploitability Sub Score]]),10),1),IF(Table4[[#This Row],[Scope]]="Changed",ROUNDUP(MIN((1.08*(Table4[[#This Row],[Impact Sub Score]]+Table4[[#This Row],[Exploitability Sub Score]])),10),1),NA())))</f>
        <v>5.3</v>
      </c>
      <c r="V24" s="191" t="s">
        <v>139</v>
      </c>
      <c r="W24" s="154">
        <f>VLOOKUP(Table4[[#This Row],[Threat Event Initiation]],NIST_Scale_LOAI[],2,FALSE)</f>
        <v>0.2</v>
      </c>
      <c r="X24"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2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195" t="s">
        <v>180</v>
      </c>
      <c r="AA24" s="195" t="s">
        <v>174</v>
      </c>
      <c r="AB24" s="86" t="s">
        <v>181</v>
      </c>
      <c r="AC24" s="53"/>
      <c r="AD24" s="53"/>
      <c r="AE24" s="53"/>
      <c r="AF24" s="150"/>
      <c r="AG24" s="150"/>
      <c r="AH24" s="150"/>
      <c r="AI24" s="150"/>
      <c r="AJ24" s="150"/>
      <c r="AK24"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154" t="e">
        <f>(1 - ((1 - VLOOKUP(Table4[[#This Row],[ConfidentialityP]],'Reference - CVSSv3.0'!$B$15:$C$17,2,FALSE)) * (1 - VLOOKUP(Table4[[#This Row],[IntegrityP]],'Reference - CVSSv3.0'!$B$15:$C$17,2,FALSE)) *  (1 - VLOOKUP(Table4[[#This Row],[AvailabilityP]],'Reference - CVSSv3.0'!$B$15:$C$17,2,FALSE))))</f>
        <v>#N/A</v>
      </c>
      <c r="AM24" s="154" t="e">
        <f>IF(Table4[[#This Row],[ScopeP]]="Unchanged",6.42*Table4[[#This Row],[ISC BaseP]],IF(Table4[[#This Row],[ScopeP]]="Changed",7.52*(Table4[[#This Row],[ISC BaseP]] - 0.029) - 3.25 * POWER(Table4[[#This Row],[ISC BaseP]] - 0.02,15),NA()))</f>
        <v>#N/A</v>
      </c>
      <c r="AN24"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53"/>
    </row>
    <row r="25" spans="1:43" s="47" customFormat="1" ht="84">
      <c r="A25" s="64"/>
      <c r="B25" s="53" t="s">
        <v>179</v>
      </c>
      <c r="C25" s="84" t="str">
        <f>IF(VLOOKUP(Table4[[#This Row],[T ID]],Table5[#All],5,FALSE)="No","Not in scope",VLOOKUP(Table4[[#This Row],[T ID]],Table5[#All],2,FALSE))</f>
        <v>Unauthorized access/modification to Pre-OP data/Treatment plan</v>
      </c>
      <c r="D25" s="53" t="s">
        <v>56</v>
      </c>
      <c r="E25" s="84" t="str">
        <f>IF(VLOOKUP(Table4[[#This Row],[V ID]],Vulnerabilities[#All],3,FALSE)="No","Not in scope",VLOOKUP(Table4[[#This Row],[V ID]],Vulnerabilities[#All],2,FALSE))</f>
        <v>Improper Authentication (single factor, no captcha, etc..)</v>
      </c>
      <c r="F25" s="87" t="s">
        <v>16</v>
      </c>
      <c r="G25" s="84" t="str">
        <f>VLOOKUP(Table4[[#This Row],[A ID]],Assets[#All],3,FALSE)</f>
        <v>Knee balancer application</v>
      </c>
      <c r="H25" s="195" t="s">
        <v>384</v>
      </c>
      <c r="I25" s="53"/>
      <c r="J25" s="193" t="s">
        <v>152</v>
      </c>
      <c r="K25" s="193" t="s">
        <v>139</v>
      </c>
      <c r="L25" s="193" t="s">
        <v>139</v>
      </c>
      <c r="M25" s="150" t="s">
        <v>150</v>
      </c>
      <c r="N25" s="150" t="s">
        <v>139</v>
      </c>
      <c r="O25" s="150" t="s">
        <v>139</v>
      </c>
      <c r="P25" s="150" t="s">
        <v>153</v>
      </c>
      <c r="Q25" s="150" t="s">
        <v>142</v>
      </c>
      <c r="R25"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5" s="154">
        <f>(1 - ((1 - VLOOKUP(Table4[[#This Row],[Confidentiality]],'Reference - CVSSv3.0'!$B$15:$C$17,2,FALSE)) * (1 - VLOOKUP(Table4[[#This Row],[Integrity]],'Reference - CVSSv3.0'!$B$15:$C$17,2,FALSE)) *  (1 - VLOOKUP(Table4[[#This Row],[Availability]],'Reference - CVSSv3.0'!$B$15:$C$17,2,FALSE))))</f>
        <v>0.73230400000000007</v>
      </c>
      <c r="T25" s="154">
        <f>IF(Table4[[#This Row],[Scope]]="Unchanged",6.42*Table4[[#This Row],[ISC Base]],IF(Table4[[#This Row],[Scope]]="Changed",7.52*(Table4[[#This Row],[ISC Base]] - 0.029) - 3.25 * POWER(Table4[[#This Row],[ISC Base]] - 0.02,15),NA()))</f>
        <v>4.7013916800000004</v>
      </c>
      <c r="U25" s="154">
        <f>IF(Table4[[#This Row],[Impact Sub Score]]&lt;=0,0,IF(Table4[[#This Row],[Scope]]="Unchanged",ROUNDUP(MIN((Table4[[#This Row],[Impact Sub Score]]+Table4[[#This Row],[Exploitability Sub Score]]),10),1),IF(Table4[[#This Row],[Scope]]="Changed",ROUNDUP(MIN((1.08*(Table4[[#This Row],[Impact Sub Score]]+Table4[[#This Row],[Exploitability Sub Score]])),10),1),NA())))</f>
        <v>6.1</v>
      </c>
      <c r="V25" s="191" t="s">
        <v>182</v>
      </c>
      <c r="W25" s="154">
        <f>VLOOKUP(Table4[[#This Row],[Threat Event Initiation]],NIST_Scale_LOAI[],2,FALSE)</f>
        <v>0.5</v>
      </c>
      <c r="X25"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2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195" t="s">
        <v>183</v>
      </c>
      <c r="AA25" s="195" t="s">
        <v>184</v>
      </c>
      <c r="AB25" s="86" t="s">
        <v>185</v>
      </c>
      <c r="AC25" s="53"/>
      <c r="AD25" s="53"/>
      <c r="AE25" s="53"/>
      <c r="AF25" s="150"/>
      <c r="AG25" s="150"/>
      <c r="AH25" s="150"/>
      <c r="AI25" s="150"/>
      <c r="AJ25" s="150"/>
      <c r="AK25"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154" t="e">
        <f>(1 - ((1 - VLOOKUP(Table4[[#This Row],[ConfidentialityP]],'Reference - CVSSv3.0'!$B$15:$C$17,2,FALSE)) * (1 - VLOOKUP(Table4[[#This Row],[IntegrityP]],'Reference - CVSSv3.0'!$B$15:$C$17,2,FALSE)) *  (1 - VLOOKUP(Table4[[#This Row],[AvailabilityP]],'Reference - CVSSv3.0'!$B$15:$C$17,2,FALSE))))</f>
        <v>#N/A</v>
      </c>
      <c r="AM25" s="154" t="e">
        <f>IF(Table4[[#This Row],[ScopeP]]="Unchanged",6.42*Table4[[#This Row],[ISC BaseP]],IF(Table4[[#This Row],[ScopeP]]="Changed",7.52*(Table4[[#This Row],[ISC BaseP]] - 0.029) - 3.25 * POWER(Table4[[#This Row],[ISC BaseP]] - 0.02,15),NA()))</f>
        <v>#N/A</v>
      </c>
      <c r="AN25"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53"/>
    </row>
    <row r="26" spans="1:43" s="47" customFormat="1" ht="50" customHeight="1">
      <c r="A26" s="64"/>
      <c r="B26" s="53" t="s">
        <v>179</v>
      </c>
      <c r="C26" s="84" t="str">
        <f>IF(VLOOKUP(Table4[[#This Row],[T ID]],Table5[#All],5,FALSE)="No","Not in scope",VLOOKUP(Table4[[#This Row],[T ID]],Table5[#All],2,FALSE))</f>
        <v>Unauthorized access/modification to Pre-OP data/Treatment plan</v>
      </c>
      <c r="D26" s="53" t="s">
        <v>57</v>
      </c>
      <c r="E26" s="84" t="str">
        <f>IF(VLOOKUP(Table4[[#This Row],[V ID]],Vulnerabilities[#All],3,FALSE)="No","Not in scope",VLOOKUP(Table4[[#This Row],[V ID]],Vulnerabilities[#All],2,FALSE))</f>
        <v>Improper Input Validation (allowed range)</v>
      </c>
      <c r="F26" s="87" t="s">
        <v>12</v>
      </c>
      <c r="G26" s="84" t="str">
        <f>VLOOKUP(Table4[[#This Row],[A ID]],Assets[#All],3,FALSE)</f>
        <v>Mobile Device (ipad, iphone V8-13)</v>
      </c>
      <c r="H26" s="195" t="s">
        <v>384</v>
      </c>
      <c r="I26" s="53"/>
      <c r="J26" s="193" t="s">
        <v>152</v>
      </c>
      <c r="K26" s="193" t="s">
        <v>139</v>
      </c>
      <c r="L26" s="193" t="s">
        <v>139</v>
      </c>
      <c r="M26" s="150" t="s">
        <v>150</v>
      </c>
      <c r="N26" s="150" t="s">
        <v>139</v>
      </c>
      <c r="O26" s="150" t="s">
        <v>139</v>
      </c>
      <c r="P26" s="150" t="s">
        <v>153</v>
      </c>
      <c r="Q26" s="150" t="s">
        <v>142</v>
      </c>
      <c r="R26"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6" s="154">
        <f>(1 - ((1 - VLOOKUP(Table4[[#This Row],[Confidentiality]],'Reference - CVSSv3.0'!$B$15:$C$17,2,FALSE)) * (1 - VLOOKUP(Table4[[#This Row],[Integrity]],'Reference - CVSSv3.0'!$B$15:$C$17,2,FALSE)) *  (1 - VLOOKUP(Table4[[#This Row],[Availability]],'Reference - CVSSv3.0'!$B$15:$C$17,2,FALSE))))</f>
        <v>0.73230400000000007</v>
      </c>
      <c r="T26" s="154">
        <f>IF(Table4[[#This Row],[Scope]]="Unchanged",6.42*Table4[[#This Row],[ISC Base]],IF(Table4[[#This Row],[Scope]]="Changed",7.52*(Table4[[#This Row],[ISC Base]] - 0.029) - 3.25 * POWER(Table4[[#This Row],[ISC Base]] - 0.02,15),NA()))</f>
        <v>4.7013916800000004</v>
      </c>
      <c r="U26" s="154">
        <f>IF(Table4[[#This Row],[Impact Sub Score]]&lt;=0,0,IF(Table4[[#This Row],[Scope]]="Unchanged",ROUNDUP(MIN((Table4[[#This Row],[Impact Sub Score]]+Table4[[#This Row],[Exploitability Sub Score]]),10),1),IF(Table4[[#This Row],[Scope]]="Changed",ROUNDUP(MIN((1.08*(Table4[[#This Row],[Impact Sub Score]]+Table4[[#This Row],[Exploitability Sub Score]])),10),1),NA())))</f>
        <v>6.1</v>
      </c>
      <c r="V26" s="191" t="s">
        <v>139</v>
      </c>
      <c r="W26" s="154">
        <f>VLOOKUP(Table4[[#This Row],[Threat Event Initiation]],NIST_Scale_LOAI[],2,FALSE)</f>
        <v>0.2</v>
      </c>
      <c r="X26"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195" t="s">
        <v>186</v>
      </c>
      <c r="AA26" s="195" t="s">
        <v>187</v>
      </c>
      <c r="AB26" s="86" t="s">
        <v>188</v>
      </c>
      <c r="AC26" s="53"/>
      <c r="AD26" s="53"/>
      <c r="AE26" s="53"/>
      <c r="AF26" s="150"/>
      <c r="AG26" s="150"/>
      <c r="AH26" s="150"/>
      <c r="AI26" s="150"/>
      <c r="AJ26" s="150"/>
      <c r="AK26"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154" t="e">
        <f>(1 - ((1 - VLOOKUP(Table4[[#This Row],[ConfidentialityP]],'Reference - CVSSv3.0'!$B$15:$C$17,2,FALSE)) * (1 - VLOOKUP(Table4[[#This Row],[IntegrityP]],'Reference - CVSSv3.0'!$B$15:$C$17,2,FALSE)) *  (1 - VLOOKUP(Table4[[#This Row],[AvailabilityP]],'Reference - CVSSv3.0'!$B$15:$C$17,2,FALSE))))</f>
        <v>#N/A</v>
      </c>
      <c r="AM26" s="154" t="e">
        <f>IF(Table4[[#This Row],[ScopeP]]="Unchanged",6.42*Table4[[#This Row],[ISC BaseP]],IF(Table4[[#This Row],[ScopeP]]="Changed",7.52*(Table4[[#This Row],[ISC BaseP]] - 0.029) - 3.25 * POWER(Table4[[#This Row],[ISC BaseP]] - 0.02,15),NA()))</f>
        <v>#N/A</v>
      </c>
      <c r="AN26"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53"/>
    </row>
    <row r="27" spans="1:43" s="47" customFormat="1" ht="69.5" customHeight="1">
      <c r="A27" s="64"/>
      <c r="B27" s="53" t="s">
        <v>179</v>
      </c>
      <c r="C27" s="84" t="str">
        <f>IF(VLOOKUP(Table4[[#This Row],[T ID]],Table5[#All],5,FALSE)="No","Not in scope",VLOOKUP(Table4[[#This Row],[T ID]],Table5[#All],2,FALSE))</f>
        <v>Unauthorized access/modification to Pre-OP data/Treatment plan</v>
      </c>
      <c r="D27" s="53" t="s">
        <v>72</v>
      </c>
      <c r="E27" s="84" t="str">
        <f>IF(VLOOKUP(Table4[[#This Row],[V ID]],Vulnerabilities[#All],3,FALSE)="No","Not in scope",VLOOKUP(Table4[[#This Row],[V ID]],Vulnerabilities[#All],2,FALSE))</f>
        <v>Insecure Storage of Sensitive Information</v>
      </c>
      <c r="F27" s="87" t="s">
        <v>12</v>
      </c>
      <c r="G27" s="84" t="str">
        <f>VLOOKUP(Table4[[#This Row],[A ID]],Assets[#All],3,FALSE)</f>
        <v>Mobile Device (ipad, iphone V8-13)</v>
      </c>
      <c r="H27" s="195" t="s">
        <v>384</v>
      </c>
      <c r="I27" s="53"/>
      <c r="J27" s="193" t="s">
        <v>152</v>
      </c>
      <c r="K27" s="193" t="s">
        <v>139</v>
      </c>
      <c r="L27" s="193" t="s">
        <v>139</v>
      </c>
      <c r="M27" s="150" t="s">
        <v>140</v>
      </c>
      <c r="N27" s="150" t="s">
        <v>152</v>
      </c>
      <c r="O27" s="150" t="s">
        <v>152</v>
      </c>
      <c r="P27" s="150" t="s">
        <v>153</v>
      </c>
      <c r="Q27" s="150" t="s">
        <v>142</v>
      </c>
      <c r="R27"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27" s="154">
        <f>(1 - ((1 - VLOOKUP(Table4[[#This Row],[Confidentiality]],'Reference - CVSSv3.0'!$B$15:$C$17,2,FALSE)) * (1 - VLOOKUP(Table4[[#This Row],[Integrity]],'Reference - CVSSv3.0'!$B$15:$C$17,2,FALSE)) *  (1 - VLOOKUP(Table4[[#This Row],[Availability]],'Reference - CVSSv3.0'!$B$15:$C$17,2,FALSE))))</f>
        <v>0.73230400000000007</v>
      </c>
      <c r="T27" s="154">
        <f>IF(Table4[[#This Row],[Scope]]="Unchanged",6.42*Table4[[#This Row],[ISC Base]],IF(Table4[[#This Row],[Scope]]="Changed",7.52*(Table4[[#This Row],[ISC Base]] - 0.029) - 3.25 * POWER(Table4[[#This Row],[ISC Base]] - 0.02,15),NA()))</f>
        <v>4.7013916800000004</v>
      </c>
      <c r="U27" s="154">
        <f>IF(Table4[[#This Row],[Impact Sub Score]]&lt;=0,0,IF(Table4[[#This Row],[Scope]]="Unchanged",ROUNDUP(MIN((Table4[[#This Row],[Impact Sub Score]]+Table4[[#This Row],[Exploitability Sub Score]]),10),1),IF(Table4[[#This Row],[Scope]]="Changed",ROUNDUP(MIN((1.08*(Table4[[#This Row],[Impact Sub Score]]+Table4[[#This Row],[Exploitability Sub Score]])),10),1),NA())))</f>
        <v>5.3</v>
      </c>
      <c r="V27" s="191" t="s">
        <v>139</v>
      </c>
      <c r="W27" s="154">
        <f>VLOOKUP(Table4[[#This Row],[Threat Event Initiation]],NIST_Scale_LOAI[],2,FALSE)</f>
        <v>0.2</v>
      </c>
      <c r="X27"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2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197" t="s">
        <v>189</v>
      </c>
      <c r="AA27" s="195" t="s">
        <v>190</v>
      </c>
      <c r="AB27" s="86" t="s">
        <v>191</v>
      </c>
      <c r="AC27" s="53"/>
      <c r="AD27" s="53"/>
      <c r="AE27" s="53"/>
      <c r="AF27" s="150"/>
      <c r="AG27" s="150"/>
      <c r="AH27" s="150"/>
      <c r="AI27" s="150"/>
      <c r="AJ27" s="150"/>
      <c r="AK27"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154" t="e">
        <f>(1 - ((1 - VLOOKUP(Table4[[#This Row],[ConfidentialityP]],'Reference - CVSSv3.0'!$B$15:$C$17,2,FALSE)) * (1 - VLOOKUP(Table4[[#This Row],[IntegrityP]],'Reference - CVSSv3.0'!$B$15:$C$17,2,FALSE)) *  (1 - VLOOKUP(Table4[[#This Row],[AvailabilityP]],'Reference - CVSSv3.0'!$B$15:$C$17,2,FALSE))))</f>
        <v>#N/A</v>
      </c>
      <c r="AM27" s="154" t="e">
        <f>IF(Table4[[#This Row],[ScopeP]]="Unchanged",6.42*Table4[[#This Row],[ISC BaseP]],IF(Table4[[#This Row],[ScopeP]]="Changed",7.52*(Table4[[#This Row],[ISC BaseP]] - 0.029) - 3.25 * POWER(Table4[[#This Row],[ISC BaseP]] - 0.02,15),NA()))</f>
        <v>#N/A</v>
      </c>
      <c r="AN27"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53"/>
    </row>
    <row r="28" spans="1:43" s="47" customFormat="1" ht="65.5" customHeight="1">
      <c r="A28" s="64"/>
      <c r="B28" s="53" t="s">
        <v>192</v>
      </c>
      <c r="C28" s="84" t="str">
        <f>IF(VLOOKUP(Table4[[#This Row],[T ID]],Table5[#All],5,FALSE)="No","Not in scope",VLOOKUP(Table4[[#This Row],[T ID]],Table5[#All],2,FALSE))</f>
        <v>Unauthorized access/modification to PHI/Health data</v>
      </c>
      <c r="D28" s="53" t="s">
        <v>68</v>
      </c>
      <c r="E28" s="84" t="str">
        <f>IF(VLOOKUP(Table4[[#This Row],[V ID]],Vulnerabilities[#All],3,FALSE)="No","Not in scope",VLOOKUP(Table4[[#This Row],[V ID]],Vulnerabilities[#All],2,FALSE))</f>
        <v>Unencrypted data at rest in all possible locations (Device, Cloud)</v>
      </c>
      <c r="F28" s="87" t="s">
        <v>18</v>
      </c>
      <c r="G28" s="84" t="str">
        <f>VLOOKUP(Table4[[#This Row],[A ID]],Assets[#All],3,FALSE)</f>
        <v>Patient Identifiable data</v>
      </c>
      <c r="H28" s="195" t="s">
        <v>378</v>
      </c>
      <c r="I28" s="53"/>
      <c r="J28" s="193" t="s">
        <v>152</v>
      </c>
      <c r="K28" s="193" t="s">
        <v>139</v>
      </c>
      <c r="L28" s="193" t="s">
        <v>139</v>
      </c>
      <c r="M28" s="150" t="s">
        <v>154</v>
      </c>
      <c r="N28" s="150" t="s">
        <v>139</v>
      </c>
      <c r="O28" s="150" t="s">
        <v>139</v>
      </c>
      <c r="P28" s="150" t="s">
        <v>153</v>
      </c>
      <c r="Q28" s="150" t="s">
        <v>142</v>
      </c>
      <c r="R28"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154">
        <f>(1 - ((1 - VLOOKUP(Table4[[#This Row],[Confidentiality]],'Reference - CVSSv3.0'!$B$15:$C$17,2,FALSE)) * (1 - VLOOKUP(Table4[[#This Row],[Integrity]],'Reference - CVSSv3.0'!$B$15:$C$17,2,FALSE)) *  (1 - VLOOKUP(Table4[[#This Row],[Availability]],'Reference - CVSSv3.0'!$B$15:$C$17,2,FALSE))))</f>
        <v>0.73230400000000007</v>
      </c>
      <c r="T28" s="154">
        <f>IF(Table4[[#This Row],[Scope]]="Unchanged",6.42*Table4[[#This Row],[ISC Base]],IF(Table4[[#This Row],[Scope]]="Changed",7.52*(Table4[[#This Row],[ISC Base]] - 0.029) - 3.25 * POWER(Table4[[#This Row],[ISC Base]] - 0.02,15),NA()))</f>
        <v>4.7013916800000004</v>
      </c>
      <c r="U28" s="154">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28" s="191" t="s">
        <v>182</v>
      </c>
      <c r="W28" s="154">
        <f>VLOOKUP(Table4[[#This Row],[Threat Event Initiation]],NIST_Scale_LOAI[],2,FALSE)</f>
        <v>0.5</v>
      </c>
      <c r="X28"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189" t="s">
        <v>193</v>
      </c>
      <c r="AA28" s="195" t="s">
        <v>194</v>
      </c>
      <c r="AB28" s="86" t="s">
        <v>195</v>
      </c>
      <c r="AC28" s="53"/>
      <c r="AD28" s="53"/>
      <c r="AE28" s="53"/>
      <c r="AF28" s="150"/>
      <c r="AG28" s="150"/>
      <c r="AH28" s="150"/>
      <c r="AI28" s="150"/>
      <c r="AJ28" s="150"/>
      <c r="AK28"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154" t="e">
        <f>(1 - ((1 - VLOOKUP(Table4[[#This Row],[ConfidentialityP]],'Reference - CVSSv3.0'!$B$15:$C$17,2,FALSE)) * (1 - VLOOKUP(Table4[[#This Row],[IntegrityP]],'Reference - CVSSv3.0'!$B$15:$C$17,2,FALSE)) *  (1 - VLOOKUP(Table4[[#This Row],[AvailabilityP]],'Reference - CVSSv3.0'!$B$15:$C$17,2,FALSE))))</f>
        <v>#N/A</v>
      </c>
      <c r="AM28" s="154" t="e">
        <f>IF(Table4[[#This Row],[ScopeP]]="Unchanged",6.42*Table4[[#This Row],[ISC BaseP]],IF(Table4[[#This Row],[ScopeP]]="Changed",7.52*(Table4[[#This Row],[ISC BaseP]] - 0.029) - 3.25 * POWER(Table4[[#This Row],[ISC BaseP]] - 0.02,15),NA()))</f>
        <v>#N/A</v>
      </c>
      <c r="AN28"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53"/>
    </row>
    <row r="29" spans="1:43" s="47" customFormat="1" ht="54" customHeight="1">
      <c r="A29" s="64"/>
      <c r="B29" s="53" t="s">
        <v>192</v>
      </c>
      <c r="C29" s="84" t="str">
        <f>IF(VLOOKUP(Table4[[#This Row],[T ID]],Table5[#All],5,FALSE)="No","Not in scope",VLOOKUP(Table4[[#This Row],[T ID]],Table5[#All],2,FALSE))</f>
        <v>Unauthorized access/modification to PHI/Health data</v>
      </c>
      <c r="D29" s="53" t="s">
        <v>72</v>
      </c>
      <c r="E29" s="84" t="str">
        <f>IF(VLOOKUP(Table4[[#This Row],[V ID]],Vulnerabilities[#All],3,FALSE)="No","Not in scope",VLOOKUP(Table4[[#This Row],[V ID]],Vulnerabilities[#All],2,FALSE))</f>
        <v>Insecure Storage of Sensitive Information</v>
      </c>
      <c r="F29" s="87" t="s">
        <v>18</v>
      </c>
      <c r="G29" s="84" t="str">
        <f>VLOOKUP(Table4[[#This Row],[A ID]],Assets[#All],3,FALSE)</f>
        <v>Patient Identifiable data</v>
      </c>
      <c r="H29" s="195" t="s">
        <v>378</v>
      </c>
      <c r="I29" s="53"/>
      <c r="J29" s="193" t="s">
        <v>152</v>
      </c>
      <c r="K29" s="193" t="s">
        <v>139</v>
      </c>
      <c r="L29" s="193" t="s">
        <v>139</v>
      </c>
      <c r="M29" s="150" t="s">
        <v>154</v>
      </c>
      <c r="N29" s="150" t="s">
        <v>139</v>
      </c>
      <c r="O29" s="150" t="s">
        <v>139</v>
      </c>
      <c r="P29" s="150" t="s">
        <v>153</v>
      </c>
      <c r="Q29" s="150" t="s">
        <v>142</v>
      </c>
      <c r="R29"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154">
        <f>(1 - ((1 - VLOOKUP(Table4[[#This Row],[Confidentiality]],'Reference - CVSSv3.0'!$B$15:$C$17,2,FALSE)) * (1 - VLOOKUP(Table4[[#This Row],[Integrity]],'Reference - CVSSv3.0'!$B$15:$C$17,2,FALSE)) *  (1 - VLOOKUP(Table4[[#This Row],[Availability]],'Reference - CVSSv3.0'!$B$15:$C$17,2,FALSE))))</f>
        <v>0.73230400000000007</v>
      </c>
      <c r="T29" s="154">
        <f>IF(Table4[[#This Row],[Scope]]="Unchanged",6.42*Table4[[#This Row],[ISC Base]],IF(Table4[[#This Row],[Scope]]="Changed",7.52*(Table4[[#This Row],[ISC Base]] - 0.029) - 3.25 * POWER(Table4[[#This Row],[ISC Base]] - 0.02,15),NA()))</f>
        <v>4.7013916800000004</v>
      </c>
      <c r="U29" s="154">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29" s="191" t="s">
        <v>139</v>
      </c>
      <c r="W29" s="154">
        <f>VLOOKUP(Table4[[#This Row],[Threat Event Initiation]],NIST_Scale_LOAI[],2,FALSE)</f>
        <v>0.2</v>
      </c>
      <c r="X29"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2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9" s="195" t="s">
        <v>196</v>
      </c>
      <c r="AA29" s="195" t="s">
        <v>197</v>
      </c>
      <c r="AB29" s="86" t="s">
        <v>198</v>
      </c>
      <c r="AC29" s="53"/>
      <c r="AD29" s="53"/>
      <c r="AE29" s="53"/>
      <c r="AF29" s="150"/>
      <c r="AG29" s="150"/>
      <c r="AH29" s="150"/>
      <c r="AI29" s="150"/>
      <c r="AJ29" s="150"/>
      <c r="AK29"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154" t="e">
        <f>(1 - ((1 - VLOOKUP(Table4[[#This Row],[ConfidentialityP]],'Reference - CVSSv3.0'!$B$15:$C$17,2,FALSE)) * (1 - VLOOKUP(Table4[[#This Row],[IntegrityP]],'Reference - CVSSv3.0'!$B$15:$C$17,2,FALSE)) *  (1 - VLOOKUP(Table4[[#This Row],[AvailabilityP]],'Reference - CVSSv3.0'!$B$15:$C$17,2,FALSE))))</f>
        <v>#N/A</v>
      </c>
      <c r="AM29" s="154" t="e">
        <f>IF(Table4[[#This Row],[ScopeP]]="Unchanged",6.42*Table4[[#This Row],[ISC BaseP]],IF(Table4[[#This Row],[ScopeP]]="Changed",7.52*(Table4[[#This Row],[ISC BaseP]] - 0.029) - 3.25 * POWER(Table4[[#This Row],[ISC BaseP]] - 0.02,15),NA()))</f>
        <v>#N/A</v>
      </c>
      <c r="AN29"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53"/>
    </row>
    <row r="30" spans="1:43" s="47" customFormat="1" ht="75.5" customHeight="1">
      <c r="A30" s="64"/>
      <c r="B30" s="53" t="s">
        <v>199</v>
      </c>
      <c r="C30" s="84" t="str">
        <f>IF(VLOOKUP(Table4[[#This Row],[T ID]],Table5[#All],5,FALSE)="No","Not in scope",VLOOKUP(Table4[[#This Row],[T ID]],Table5[#All],2,FALSE))</f>
        <v>Unauthorized access to app sensitive data (device's keys/certificates/crypto algorithms)</v>
      </c>
      <c r="D30" s="53" t="s">
        <v>68</v>
      </c>
      <c r="E30" s="84" t="str">
        <f>IF(VLOOKUP(Table4[[#This Row],[V ID]],Vulnerabilities[#All],3,FALSE)="No","Not in scope",VLOOKUP(Table4[[#This Row],[V ID]],Vulnerabilities[#All],2,FALSE))</f>
        <v>Unencrypted data at rest in all possible locations (Device, Cloud)</v>
      </c>
      <c r="F30" s="87" t="s">
        <v>18</v>
      </c>
      <c r="G30" s="84" t="str">
        <f>VLOOKUP(Table4[[#This Row],[A ID]],Assets[#All],3,FALSE)</f>
        <v>Patient Identifiable data</v>
      </c>
      <c r="H30" s="195" t="s">
        <v>380</v>
      </c>
      <c r="I30" s="53"/>
      <c r="J30" s="193" t="s">
        <v>152</v>
      </c>
      <c r="K30" s="193" t="s">
        <v>139</v>
      </c>
      <c r="L30" s="193" t="s">
        <v>141</v>
      </c>
      <c r="M30" s="150" t="s">
        <v>154</v>
      </c>
      <c r="N30" s="150" t="s">
        <v>139</v>
      </c>
      <c r="O30" s="150" t="s">
        <v>139</v>
      </c>
      <c r="P30" s="150" t="s">
        <v>153</v>
      </c>
      <c r="Q30" s="150" t="s">
        <v>142</v>
      </c>
      <c r="R30"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154">
        <f>(1 - ((1 - VLOOKUP(Table4[[#This Row],[Confidentiality]],'Reference - CVSSv3.0'!$B$15:$C$17,2,FALSE)) * (1 - VLOOKUP(Table4[[#This Row],[Integrity]],'Reference - CVSSv3.0'!$B$15:$C$17,2,FALSE)) *  (1 - VLOOKUP(Table4[[#This Row],[Availability]],'Reference - CVSSv3.0'!$B$15:$C$17,2,FALSE))))</f>
        <v>0.65680000000000005</v>
      </c>
      <c r="T30" s="154">
        <f>IF(Table4[[#This Row],[Scope]]="Unchanged",6.42*Table4[[#This Row],[ISC Base]],IF(Table4[[#This Row],[Scope]]="Changed",7.52*(Table4[[#This Row],[ISC Base]] - 0.029) - 3.25 * POWER(Table4[[#This Row],[ISC Base]] - 0.02,15),NA()))</f>
        <v>4.2166560000000004</v>
      </c>
      <c r="U30" s="154">
        <f>IF(Table4[[#This Row],[Impact Sub Score]]&lt;=0,0,IF(Table4[[#This Row],[Scope]]="Unchanged",ROUNDUP(MIN((Table4[[#This Row],[Impact Sub Score]]+Table4[[#This Row],[Exploitability Sub Score]]),10),1),IF(Table4[[#This Row],[Scope]]="Changed",ROUNDUP(MIN((1.08*(Table4[[#This Row],[Impact Sub Score]]+Table4[[#This Row],[Exploitability Sub Score]])),10),1),NA())))</f>
        <v>4.8</v>
      </c>
      <c r="V30" s="191" t="s">
        <v>139</v>
      </c>
      <c r="W30" s="154">
        <f>VLOOKUP(Table4[[#This Row],[Threat Event Initiation]],NIST_Scale_LOAI[],2,FALSE)</f>
        <v>0.2</v>
      </c>
      <c r="X30"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195" t="s">
        <v>200</v>
      </c>
      <c r="AA30" s="195" t="s">
        <v>201</v>
      </c>
      <c r="AB30" s="86" t="s">
        <v>202</v>
      </c>
      <c r="AC30" s="53"/>
      <c r="AD30" s="53"/>
      <c r="AE30" s="53"/>
      <c r="AF30" s="150"/>
      <c r="AG30" s="150"/>
      <c r="AH30" s="150"/>
      <c r="AI30" s="150"/>
      <c r="AJ30" s="150"/>
      <c r="AK30"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154" t="e">
        <f>(1 - ((1 - VLOOKUP(Table4[[#This Row],[ConfidentialityP]],'Reference - CVSSv3.0'!$B$15:$C$17,2,FALSE)) * (1 - VLOOKUP(Table4[[#This Row],[IntegrityP]],'Reference - CVSSv3.0'!$B$15:$C$17,2,FALSE)) *  (1 - VLOOKUP(Table4[[#This Row],[AvailabilityP]],'Reference - CVSSv3.0'!$B$15:$C$17,2,FALSE))))</f>
        <v>#N/A</v>
      </c>
      <c r="AM30" s="154" t="e">
        <f>IF(Table4[[#This Row],[ScopeP]]="Unchanged",6.42*Table4[[#This Row],[ISC BaseP]],IF(Table4[[#This Row],[ScopeP]]="Changed",7.52*(Table4[[#This Row],[ISC BaseP]] - 0.029) - 3.25 * POWER(Table4[[#This Row],[ISC BaseP]] - 0.02,15),NA()))</f>
        <v>#N/A</v>
      </c>
      <c r="AN30"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53"/>
    </row>
    <row r="31" spans="1:43" s="47" customFormat="1" ht="49" customHeight="1">
      <c r="A31" s="64"/>
      <c r="B31" s="53" t="s">
        <v>199</v>
      </c>
      <c r="C31" s="84" t="str">
        <f>IF(VLOOKUP(Table4[[#This Row],[T ID]],Table5[#All],5,FALSE)="No","Not in scope",VLOOKUP(Table4[[#This Row],[T ID]],Table5[#All],2,FALSE))</f>
        <v>Unauthorized access to app sensitive data (device's keys/certificates/crypto algorithms)</v>
      </c>
      <c r="D31" s="53" t="s">
        <v>72</v>
      </c>
      <c r="E31" s="84" t="str">
        <f>IF(VLOOKUP(Table4[[#This Row],[V ID]],Vulnerabilities[#All],3,FALSE)="No","Not in scope",VLOOKUP(Table4[[#This Row],[V ID]],Vulnerabilities[#All],2,FALSE))</f>
        <v>Insecure Storage of Sensitive Information</v>
      </c>
      <c r="F31" s="87" t="s">
        <v>18</v>
      </c>
      <c r="G31" s="84" t="str">
        <f>VLOOKUP(Table4[[#This Row],[A ID]],Assets[#All],3,FALSE)</f>
        <v>Patient Identifiable data</v>
      </c>
      <c r="H31" s="195" t="s">
        <v>380</v>
      </c>
      <c r="I31" s="53"/>
      <c r="J31" s="193" t="s">
        <v>152</v>
      </c>
      <c r="K31" s="193" t="s">
        <v>139</v>
      </c>
      <c r="L31" s="193" t="s">
        <v>141</v>
      </c>
      <c r="M31" s="150" t="s">
        <v>154</v>
      </c>
      <c r="N31" s="150" t="s">
        <v>152</v>
      </c>
      <c r="O31" s="150" t="s">
        <v>139</v>
      </c>
      <c r="P31" s="150" t="s">
        <v>153</v>
      </c>
      <c r="Q31" s="150" t="s">
        <v>142</v>
      </c>
      <c r="R31"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31" s="154">
        <f>(1 - ((1 - VLOOKUP(Table4[[#This Row],[Confidentiality]],'Reference - CVSSv3.0'!$B$15:$C$17,2,FALSE)) * (1 - VLOOKUP(Table4[[#This Row],[Integrity]],'Reference - CVSSv3.0'!$B$15:$C$17,2,FALSE)) *  (1 - VLOOKUP(Table4[[#This Row],[Availability]],'Reference - CVSSv3.0'!$B$15:$C$17,2,FALSE))))</f>
        <v>0.65680000000000005</v>
      </c>
      <c r="T31" s="154">
        <f>IF(Table4[[#This Row],[Scope]]="Unchanged",6.42*Table4[[#This Row],[ISC Base]],IF(Table4[[#This Row],[Scope]]="Changed",7.52*(Table4[[#This Row],[ISC Base]] - 0.029) - 3.25 * POWER(Table4[[#This Row],[ISC Base]] - 0.02,15),NA()))</f>
        <v>4.2166560000000004</v>
      </c>
      <c r="U31" s="154">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191" t="s">
        <v>139</v>
      </c>
      <c r="W31" s="154">
        <f>VLOOKUP(Table4[[#This Row],[Threat Event Initiation]],NIST_Scale_LOAI[],2,FALSE)</f>
        <v>0.2</v>
      </c>
      <c r="X31"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5" t="s">
        <v>156</v>
      </c>
      <c r="AA31" s="195" t="s">
        <v>157</v>
      </c>
      <c r="AB31" s="86" t="s">
        <v>203</v>
      </c>
      <c r="AC31" s="53"/>
      <c r="AD31" s="53"/>
      <c r="AE31" s="53"/>
      <c r="AF31" s="150"/>
      <c r="AG31" s="150"/>
      <c r="AH31" s="150"/>
      <c r="AI31" s="150"/>
      <c r="AJ31" s="150"/>
      <c r="AK31"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154" t="e">
        <f>(1 - ((1 - VLOOKUP(Table4[[#This Row],[ConfidentialityP]],'Reference - CVSSv3.0'!$B$15:$C$17,2,FALSE)) * (1 - VLOOKUP(Table4[[#This Row],[IntegrityP]],'Reference - CVSSv3.0'!$B$15:$C$17,2,FALSE)) *  (1 - VLOOKUP(Table4[[#This Row],[AvailabilityP]],'Reference - CVSSv3.0'!$B$15:$C$17,2,FALSE))))</f>
        <v>#N/A</v>
      </c>
      <c r="AM31" s="154" t="e">
        <f>IF(Table4[[#This Row],[ScopeP]]="Unchanged",6.42*Table4[[#This Row],[ISC BaseP]],IF(Table4[[#This Row],[ScopeP]]="Changed",7.52*(Table4[[#This Row],[ISC BaseP]] - 0.029) - 3.25 * POWER(Table4[[#This Row],[ISC BaseP]] - 0.02,15),NA()))</f>
        <v>#N/A</v>
      </c>
      <c r="AN31"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53"/>
    </row>
    <row r="32" spans="1:43" s="47" customFormat="1" ht="62" customHeight="1">
      <c r="A32" s="64"/>
      <c r="B32" s="53" t="s">
        <v>204</v>
      </c>
      <c r="C32" s="84" t="str">
        <f>IF(VLOOKUP(Table4[[#This Row],[T ID]],Table5[#All],5,FALSE)="No","Not in scope",VLOOKUP(Table4[[#This Row],[T ID]],Table5[#All],2,FALSE))</f>
        <v>Brute force login attempts</v>
      </c>
      <c r="D32" s="53" t="s">
        <v>70</v>
      </c>
      <c r="E32" s="84" t="str">
        <f>IF(VLOOKUP(Table4[[#This Row],[V ID]],Vulnerabilities[#All],3,FALSE)="No","Not in scope",VLOOKUP(Table4[[#This Row],[V ID]],Vulnerabilities[#All],2,FALSE))</f>
        <v>Weak Encryption Implementaion for data at rest and in motion tactical and design wise or Inadequate encryption strength</v>
      </c>
      <c r="F32" s="87" t="s">
        <v>37</v>
      </c>
      <c r="G32" s="84" t="str">
        <f>VLOOKUP(Table4[[#This Row],[A ID]],Assets[#All],3,FALSE)</f>
        <v>Security keys, tokens, certificates</v>
      </c>
      <c r="H32" s="195" t="s">
        <v>381</v>
      </c>
      <c r="I32" s="53"/>
      <c r="J32" s="85" t="s">
        <v>152</v>
      </c>
      <c r="K32" s="85" t="s">
        <v>139</v>
      </c>
      <c r="L32" s="85" t="s">
        <v>141</v>
      </c>
      <c r="M32" s="150" t="s">
        <v>154</v>
      </c>
      <c r="N32" s="150" t="s">
        <v>139</v>
      </c>
      <c r="O32" s="150" t="s">
        <v>152</v>
      </c>
      <c r="P32" s="150" t="s">
        <v>153</v>
      </c>
      <c r="Q32" s="150" t="s">
        <v>142</v>
      </c>
      <c r="R32"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32" s="154">
        <f>(1 - ((1 - VLOOKUP(Table4[[#This Row],[Confidentiality]],'Reference - CVSSv3.0'!$B$15:$C$17,2,FALSE)) * (1 - VLOOKUP(Table4[[#This Row],[Integrity]],'Reference - CVSSv3.0'!$B$15:$C$17,2,FALSE)) *  (1 - VLOOKUP(Table4[[#This Row],[Availability]],'Reference - CVSSv3.0'!$B$15:$C$17,2,FALSE))))</f>
        <v>0.65680000000000005</v>
      </c>
      <c r="T32" s="154">
        <f>IF(Table4[[#This Row],[Scope]]="Unchanged",6.42*Table4[[#This Row],[ISC Base]],IF(Table4[[#This Row],[Scope]]="Changed",7.52*(Table4[[#This Row],[ISC Base]] - 0.029) - 3.25 * POWER(Table4[[#This Row],[ISC Base]] - 0.02,15),NA()))</f>
        <v>4.2166560000000004</v>
      </c>
      <c r="U32" s="154">
        <f>IF(Table4[[#This Row],[Impact Sub Score]]&lt;=0,0,IF(Table4[[#This Row],[Scope]]="Unchanged",ROUNDUP(MIN((Table4[[#This Row],[Impact Sub Score]]+Table4[[#This Row],[Exploitability Sub Score]]),10),1),IF(Table4[[#This Row],[Scope]]="Changed",ROUNDUP(MIN((1.08*(Table4[[#This Row],[Impact Sub Score]]+Table4[[#This Row],[Exploitability Sub Score]])),10),1),NA())))</f>
        <v>4.5</v>
      </c>
      <c r="V32" s="191" t="s">
        <v>182</v>
      </c>
      <c r="W32" s="154">
        <f>VLOOKUP(Table4[[#This Row],[Threat Event Initiation]],NIST_Scale_LOAI[],2,FALSE)</f>
        <v>0.5</v>
      </c>
      <c r="X32"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195" t="s">
        <v>205</v>
      </c>
      <c r="AA32" s="195" t="s">
        <v>206</v>
      </c>
      <c r="AB32" s="86" t="s">
        <v>207</v>
      </c>
      <c r="AC32" s="53"/>
      <c r="AD32" s="53"/>
      <c r="AE32" s="53"/>
      <c r="AF32" s="150"/>
      <c r="AG32" s="150"/>
      <c r="AH32" s="150"/>
      <c r="AI32" s="150"/>
      <c r="AJ32" s="150"/>
      <c r="AK32"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154" t="e">
        <f>(1 - ((1 - VLOOKUP(Table4[[#This Row],[ConfidentialityP]],'Reference - CVSSv3.0'!$B$15:$C$17,2,FALSE)) * (1 - VLOOKUP(Table4[[#This Row],[IntegrityP]],'Reference - CVSSv3.0'!$B$15:$C$17,2,FALSE)) *  (1 - VLOOKUP(Table4[[#This Row],[AvailabilityP]],'Reference - CVSSv3.0'!$B$15:$C$17,2,FALSE))))</f>
        <v>#N/A</v>
      </c>
      <c r="AM32" s="154" t="e">
        <f>IF(Table4[[#This Row],[ScopeP]]="Unchanged",6.42*Table4[[#This Row],[ISC BaseP]],IF(Table4[[#This Row],[ScopeP]]="Changed",7.52*(Table4[[#This Row],[ISC BaseP]] - 0.029) - 3.25 * POWER(Table4[[#This Row],[ISC BaseP]] - 0.02,15),NA()))</f>
        <v>#N/A</v>
      </c>
      <c r="AN32"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53"/>
    </row>
    <row r="33" spans="1:43" s="47" customFormat="1" ht="60" customHeight="1">
      <c r="A33" s="64"/>
      <c r="B33" s="53" t="s">
        <v>204</v>
      </c>
      <c r="C33" s="84" t="str">
        <f>IF(VLOOKUP(Table4[[#This Row],[T ID]],Table5[#All],5,FALSE)="No","Not in scope",VLOOKUP(Table4[[#This Row],[T ID]],Table5[#All],2,FALSE))</f>
        <v>Brute force login attempts</v>
      </c>
      <c r="D33" s="53" t="s">
        <v>72</v>
      </c>
      <c r="E33" s="84" t="str">
        <f>IF(VLOOKUP(Table4[[#This Row],[V ID]],Vulnerabilities[#All],3,FALSE)="No","Not in scope",VLOOKUP(Table4[[#This Row],[V ID]],Vulnerabilities[#All],2,FALSE))</f>
        <v>Insecure Storage of Sensitive Information</v>
      </c>
      <c r="F33" s="87" t="s">
        <v>37</v>
      </c>
      <c r="G33" s="84" t="str">
        <f>VLOOKUP(Table4[[#This Row],[A ID]],Assets[#All],3,FALSE)</f>
        <v>Security keys, tokens, certificates</v>
      </c>
      <c r="H33" s="195" t="s">
        <v>381</v>
      </c>
      <c r="I33" s="53"/>
      <c r="J33" s="85" t="s">
        <v>152</v>
      </c>
      <c r="K33" s="85" t="s">
        <v>139</v>
      </c>
      <c r="L33" s="85" t="s">
        <v>141</v>
      </c>
      <c r="M33" s="150" t="s">
        <v>154</v>
      </c>
      <c r="N33" s="150" t="s">
        <v>152</v>
      </c>
      <c r="O33" s="150" t="s">
        <v>152</v>
      </c>
      <c r="P33" s="150" t="s">
        <v>153</v>
      </c>
      <c r="Q33" s="150" t="s">
        <v>142</v>
      </c>
      <c r="R33" s="19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0.12109046400000002</v>
      </c>
      <c r="S33" s="154">
        <f>(1 - ((1 - VLOOKUP(Table4[[#This Row],[Confidentiality]],'Reference - CVSSv3.0'!$B$15:$C$17,2,FALSE)) * (1 - VLOOKUP(Table4[[#This Row],[Integrity]],'Reference - CVSSv3.0'!$B$15:$C$17,2,FALSE)) *  (1 - VLOOKUP(Table4[[#This Row],[Availability]],'Reference - CVSSv3.0'!$B$15:$C$17,2,FALSE))))</f>
        <v>0.65680000000000005</v>
      </c>
      <c r="T33" s="154">
        <f>IF(Table4[[#This Row],[Scope]]="Unchanged",6.42*Table4[[#This Row],[ISC Base]],IF(Table4[[#This Row],[Scope]]="Changed",7.52*(Table4[[#This Row],[ISC Base]] - 0.029) - 3.25 * POWER(Table4[[#This Row],[ISC Base]] - 0.02,15),NA()))</f>
        <v>4.2166560000000004</v>
      </c>
      <c r="U33" s="154">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33" s="191" t="s">
        <v>182</v>
      </c>
      <c r="W33" s="154">
        <f>VLOOKUP(Table4[[#This Row],[Threat Event Initiation]],NIST_Scale_LOAI[],2,FALSE)</f>
        <v>0.5</v>
      </c>
      <c r="X33" s="15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195" t="s">
        <v>208</v>
      </c>
      <c r="AA33" s="195" t="s">
        <v>209</v>
      </c>
      <c r="AB33" s="86" t="s">
        <v>210</v>
      </c>
      <c r="AC33" s="53"/>
      <c r="AD33" s="53"/>
      <c r="AE33" s="53"/>
      <c r="AF33" s="150"/>
      <c r="AG33" s="150"/>
      <c r="AH33" s="150"/>
      <c r="AI33" s="150"/>
      <c r="AJ33" s="150"/>
      <c r="AK33" s="15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154" t="e">
        <f>(1 - ((1 - VLOOKUP(Table4[[#This Row],[ConfidentialityP]],'Reference - CVSSv3.0'!$B$15:$C$17,2,FALSE)) * (1 - VLOOKUP(Table4[[#This Row],[IntegrityP]],'Reference - CVSSv3.0'!$B$15:$C$17,2,FALSE)) *  (1 - VLOOKUP(Table4[[#This Row],[AvailabilityP]],'Reference - CVSSv3.0'!$B$15:$C$17,2,FALSE))))</f>
        <v>#N/A</v>
      </c>
      <c r="AM33" s="154" t="e">
        <f>IF(Table4[[#This Row],[ScopeP]]="Unchanged",6.42*Table4[[#This Row],[ISC BaseP]],IF(Table4[[#This Row],[ScopeP]]="Changed",7.52*(Table4[[#This Row],[ISC BaseP]] - 0.029) - 3.25 * POWER(Table4[[#This Row],[ISC BaseP]] - 0.02,15),NA()))</f>
        <v>#N/A</v>
      </c>
      <c r="AN33" s="15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15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9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53"/>
    </row>
    <row r="34" spans="1:43" ht="28">
      <c r="A34" s="218"/>
      <c r="B34" s="219" t="s">
        <v>211</v>
      </c>
      <c r="C34" s="220" t="str">
        <f>IF(VLOOKUP(Table4[[#This Row],[T ID]],Table5[#All],5,FALSE)="No","Not in scope",VLOOKUP(Table4[[#This Row],[T ID]],Table5[#All],2,FALSE))</f>
        <v>Unprotected access to device settings (uninstalling applications, etc..)</v>
      </c>
      <c r="D34" s="219" t="s">
        <v>56</v>
      </c>
      <c r="E34" s="220" t="str">
        <f>IF(VLOOKUP(Table4[[#This Row],[V ID]],Vulnerabilities[#All],3,FALSE)="No","Not in scope",VLOOKUP(Table4[[#This Row],[V ID]],Vulnerabilities[#All],2,FALSE))</f>
        <v>Improper Authentication (single factor, no captcha, etc..)</v>
      </c>
      <c r="F34" s="221" t="s">
        <v>16</v>
      </c>
      <c r="G34" s="220" t="str">
        <f>VLOOKUP(Table4[[#This Row],[A ID]],Assets[#All],3,FALSE)</f>
        <v>Knee balancer application</v>
      </c>
      <c r="H34" s="195" t="s">
        <v>382</v>
      </c>
      <c r="I34" s="219"/>
      <c r="J34" s="222"/>
      <c r="K34" s="222"/>
      <c r="L34" s="222"/>
      <c r="M34" s="223"/>
      <c r="N34" s="223"/>
      <c r="O34" s="223"/>
      <c r="P34" s="223"/>
      <c r="Q34" s="223"/>
      <c r="R34" s="224"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34" s="225" t="e">
        <f>(1 - ((1 - VLOOKUP(Table4[[#This Row],[Confidentiality]],'Reference - CVSSv3.0'!$B$15:$C$17,2,FALSE)) * (1 - VLOOKUP(Table4[[#This Row],[Integrity]],'Reference - CVSSv3.0'!$B$15:$C$17,2,FALSE)) *  (1 - VLOOKUP(Table4[[#This Row],[Availability]],'Reference - CVSSv3.0'!$B$15:$C$17,2,FALSE))))</f>
        <v>#N/A</v>
      </c>
      <c r="T34" s="225" t="e">
        <f>IF(Table4[[#This Row],[Scope]]="Unchanged",6.42*Table4[[#This Row],[ISC Base]],IF(Table4[[#This Row],[Scope]]="Changed",7.52*(Table4[[#This Row],[ISC Base]] - 0.029) - 3.25 * POWER(Table4[[#This Row],[ISC Base]] - 0.02,15),NA()))</f>
        <v>#N/A</v>
      </c>
      <c r="U34" s="225" t="e">
        <f>IF(Table4[[#This Row],[Impact Sub Score]]&lt;=0,0,IF(Table4[[#This Row],[Scope]]="Unchanged",ROUNDUP(MIN((Table4[[#This Row],[Impact Sub Score]]+Table4[[#This Row],[Exploitability Sub Score]]),10),1),IF(Table4[[#This Row],[Scope]]="Changed",ROUNDUP(MIN((1.08*(Table4[[#This Row],[Impact Sub Score]]+Table4[[#This Row],[Exploitability Sub Score]])),10),1),NA())))</f>
        <v>#N/A</v>
      </c>
      <c r="V34" s="226"/>
      <c r="W34" s="225" t="e">
        <f>VLOOKUP(Table4[[#This Row],[Threat Event Initiation]],NIST_Scale_LOAI[],2,FALSE)</f>
        <v>#N/A</v>
      </c>
      <c r="X34" s="225"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34" s="22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34" s="219"/>
      <c r="AA34" s="219"/>
      <c r="AB34" s="228"/>
      <c r="AC34" s="219"/>
      <c r="AD34" s="219"/>
      <c r="AE34" s="219"/>
      <c r="AF34" s="223"/>
      <c r="AG34" s="223"/>
      <c r="AH34" s="223"/>
      <c r="AI34" s="223"/>
      <c r="AJ34" s="229"/>
      <c r="AK34" s="22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25" t="e">
        <f>(1 - ((1 - VLOOKUP(Table4[[#This Row],[ConfidentialityP]],'Reference - CVSSv3.0'!$B$15:$C$17,2,FALSE)) * (1 - VLOOKUP(Table4[[#This Row],[IntegrityP]],'Reference - CVSSv3.0'!$B$15:$C$17,2,FALSE)) *  (1 - VLOOKUP(Table4[[#This Row],[AvailabilityP]],'Reference - CVSSv3.0'!$B$15:$C$17,2,FALSE))))</f>
        <v>#N/A</v>
      </c>
      <c r="AM34" s="225" t="e">
        <f>IF(Table4[[#This Row],[ScopeP]]="Unchanged",6.42*Table4[[#This Row],[ISC BaseP]],IF(Table4[[#This Row],[ScopeP]]="Changed",7.52*(Table4[[#This Row],[ISC BaseP]] - 0.029) - 3.25 * POWER(Table4[[#This Row],[ISC BaseP]] - 0.02,15),NA()))</f>
        <v>#N/A</v>
      </c>
      <c r="AN34" s="22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2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3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19"/>
    </row>
    <row r="35" spans="1:43" ht="56">
      <c r="A35" s="218"/>
      <c r="B35" s="219" t="s">
        <v>212</v>
      </c>
      <c r="C35" s="220" t="str">
        <f>IF(VLOOKUP(Table4[[#This Row],[T ID]],Table5[#All],5,FALSE)="No","Not in scope",VLOOKUP(Table4[[#This Row],[T ID]],Table5[#All],2,FALSE))</f>
        <v>Unrestricted wireless communication with multiple sources</v>
      </c>
      <c r="D35" s="219" t="s">
        <v>88</v>
      </c>
      <c r="E35" s="220" t="str">
        <f>IF(VLOOKUP(Table4[[#This Row],[V ID]],Vulnerabilities[#All],3,FALSE)="No","Not in scope",VLOOKUP(Table4[[#This Row],[V ID]],Vulnerabilities[#All],2,FALSE))</f>
        <v>External Control of System or Configuration Setting</v>
      </c>
      <c r="F35" s="221" t="s">
        <v>12</v>
      </c>
      <c r="G35" s="220" t="str">
        <f>VLOOKUP(Table4[[#This Row],[A ID]],Assets[#All],3,FALSE)</f>
        <v>Mobile Device (ipad, iphone V8-13)</v>
      </c>
      <c r="H35" s="195" t="s">
        <v>383</v>
      </c>
      <c r="I35" s="219"/>
      <c r="J35" s="222"/>
      <c r="K35" s="222"/>
      <c r="L35" s="222"/>
      <c r="M35" s="223"/>
      <c r="N35" s="223"/>
      <c r="O35" s="223"/>
      <c r="P35" s="223"/>
      <c r="Q35" s="223"/>
      <c r="R35" s="224"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35" s="225" t="e">
        <f>(1 - ((1 - VLOOKUP(Table4[[#This Row],[Confidentiality]],'Reference - CVSSv3.0'!$B$15:$C$17,2,FALSE)) * (1 - VLOOKUP(Table4[[#This Row],[Integrity]],'Reference - CVSSv3.0'!$B$15:$C$17,2,FALSE)) *  (1 - VLOOKUP(Table4[[#This Row],[Availability]],'Reference - CVSSv3.0'!$B$15:$C$17,2,FALSE))))</f>
        <v>#N/A</v>
      </c>
      <c r="T35" s="225" t="e">
        <f>IF(Table4[[#This Row],[Scope]]="Unchanged",6.42*Table4[[#This Row],[ISC Base]],IF(Table4[[#This Row],[Scope]]="Changed",7.52*(Table4[[#This Row],[ISC Base]] - 0.029) - 3.25 * POWER(Table4[[#This Row],[ISC Base]] - 0.02,15),NA()))</f>
        <v>#N/A</v>
      </c>
      <c r="U35" s="225" t="e">
        <f>IF(Table4[[#This Row],[Impact Sub Score]]&lt;=0,0,IF(Table4[[#This Row],[Scope]]="Unchanged",ROUNDUP(MIN((Table4[[#This Row],[Impact Sub Score]]+Table4[[#This Row],[Exploitability Sub Score]]),10),1),IF(Table4[[#This Row],[Scope]]="Changed",ROUNDUP(MIN((1.08*(Table4[[#This Row],[Impact Sub Score]]+Table4[[#This Row],[Exploitability Sub Score]])),10),1),NA())))</f>
        <v>#N/A</v>
      </c>
      <c r="V35" s="226"/>
      <c r="W35" s="225" t="e">
        <f>VLOOKUP(Table4[[#This Row],[Threat Event Initiation]],NIST_Scale_LOAI[],2,FALSE)</f>
        <v>#N/A</v>
      </c>
      <c r="X35" s="225"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35" s="22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35" s="219"/>
      <c r="AA35" s="219"/>
      <c r="AB35" s="228"/>
      <c r="AC35" s="219"/>
      <c r="AD35" s="219"/>
      <c r="AE35" s="219"/>
      <c r="AF35" s="223"/>
      <c r="AG35" s="223"/>
      <c r="AH35" s="223"/>
      <c r="AI35" s="223"/>
      <c r="AJ35" s="229"/>
      <c r="AK35" s="22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25" t="e">
        <f>(1 - ((1 - VLOOKUP(Table4[[#This Row],[ConfidentialityP]],'Reference - CVSSv3.0'!$B$15:$C$17,2,FALSE)) * (1 - VLOOKUP(Table4[[#This Row],[IntegrityP]],'Reference - CVSSv3.0'!$B$15:$C$17,2,FALSE)) *  (1 - VLOOKUP(Table4[[#This Row],[AvailabilityP]],'Reference - CVSSv3.0'!$B$15:$C$17,2,FALSE))))</f>
        <v>#N/A</v>
      </c>
      <c r="AM35" s="225" t="e">
        <f>IF(Table4[[#This Row],[ScopeP]]="Unchanged",6.42*Table4[[#This Row],[ISC BaseP]],IF(Table4[[#This Row],[ScopeP]]="Changed",7.52*(Table4[[#This Row],[ISC BaseP]] - 0.029) - 3.25 * POWER(Table4[[#This Row],[ISC BaseP]] - 0.02,15),NA()))</f>
        <v>#N/A</v>
      </c>
      <c r="AN35" s="22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2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3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19"/>
    </row>
    <row r="36" spans="1:43" ht="56">
      <c r="A36" s="218"/>
      <c r="B36" s="219" t="s">
        <v>212</v>
      </c>
      <c r="C36" s="220" t="str">
        <f>IF(VLOOKUP(Table4[[#This Row],[T ID]],Table5[#All],5,FALSE)="No","Not in scope",VLOOKUP(Table4[[#This Row],[T ID]],Table5[#All],2,FALSE))</f>
        <v>Unrestricted wireless communication with multiple sources</v>
      </c>
      <c r="D36" s="219" t="s">
        <v>88</v>
      </c>
      <c r="E36" s="220" t="str">
        <f>IF(VLOOKUP(Table4[[#This Row],[V ID]],Vulnerabilities[#All],3,FALSE)="No","Not in scope",VLOOKUP(Table4[[#This Row],[V ID]],Vulnerabilities[#All],2,FALSE))</f>
        <v>External Control of System or Configuration Setting</v>
      </c>
      <c r="F36" s="221" t="s">
        <v>16</v>
      </c>
      <c r="G36" s="220" t="str">
        <f>VLOOKUP(Table4[[#This Row],[A ID]],Assets[#All],3,FALSE)</f>
        <v>Knee balancer application</v>
      </c>
      <c r="H36" s="195" t="s">
        <v>383</v>
      </c>
      <c r="I36" s="219"/>
      <c r="J36" s="222"/>
      <c r="K36" s="222"/>
      <c r="L36" s="222"/>
      <c r="M36" s="223"/>
      <c r="N36" s="223"/>
      <c r="O36" s="223"/>
      <c r="P36" s="223"/>
      <c r="Q36" s="223"/>
      <c r="R36" s="224"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36" s="225" t="e">
        <f>(1 - ((1 - VLOOKUP(Table4[[#This Row],[Confidentiality]],'Reference - CVSSv3.0'!$B$15:$C$17,2,FALSE)) * (1 - VLOOKUP(Table4[[#This Row],[Integrity]],'Reference - CVSSv3.0'!$B$15:$C$17,2,FALSE)) *  (1 - VLOOKUP(Table4[[#This Row],[Availability]],'Reference - CVSSv3.0'!$B$15:$C$17,2,FALSE))))</f>
        <v>#N/A</v>
      </c>
      <c r="T36" s="225" t="e">
        <f>IF(Table4[[#This Row],[Scope]]="Unchanged",6.42*Table4[[#This Row],[ISC Base]],IF(Table4[[#This Row],[Scope]]="Changed",7.52*(Table4[[#This Row],[ISC Base]] - 0.029) - 3.25 * POWER(Table4[[#This Row],[ISC Base]] - 0.02,15),NA()))</f>
        <v>#N/A</v>
      </c>
      <c r="U36" s="225" t="e">
        <f>IF(Table4[[#This Row],[Impact Sub Score]]&lt;=0,0,IF(Table4[[#This Row],[Scope]]="Unchanged",ROUNDUP(MIN((Table4[[#This Row],[Impact Sub Score]]+Table4[[#This Row],[Exploitability Sub Score]]),10),1),IF(Table4[[#This Row],[Scope]]="Changed",ROUNDUP(MIN((1.08*(Table4[[#This Row],[Impact Sub Score]]+Table4[[#This Row],[Exploitability Sub Score]])),10),1),NA())))</f>
        <v>#N/A</v>
      </c>
      <c r="V36" s="226"/>
      <c r="W36" s="225" t="e">
        <f>VLOOKUP(Table4[[#This Row],[Threat Event Initiation]],NIST_Scale_LOAI[],2,FALSE)</f>
        <v>#N/A</v>
      </c>
      <c r="X36" s="225"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36" s="22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36" s="219"/>
      <c r="AA36" s="219"/>
      <c r="AB36" s="228"/>
      <c r="AC36" s="219"/>
      <c r="AD36" s="219"/>
      <c r="AE36" s="219"/>
      <c r="AF36" s="223"/>
      <c r="AG36" s="223"/>
      <c r="AH36" s="223"/>
      <c r="AI36" s="223"/>
      <c r="AJ36" s="229"/>
      <c r="AK36" s="22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25" t="e">
        <f>(1 - ((1 - VLOOKUP(Table4[[#This Row],[ConfidentialityP]],'Reference - CVSSv3.0'!$B$15:$C$17,2,FALSE)) * (1 - VLOOKUP(Table4[[#This Row],[IntegrityP]],'Reference - CVSSv3.0'!$B$15:$C$17,2,FALSE)) *  (1 - VLOOKUP(Table4[[#This Row],[AvailabilityP]],'Reference - CVSSv3.0'!$B$15:$C$17,2,FALSE))))</f>
        <v>#N/A</v>
      </c>
      <c r="AM36" s="225" t="e">
        <f>IF(Table4[[#This Row],[ScopeP]]="Unchanged",6.42*Table4[[#This Row],[ISC BaseP]],IF(Table4[[#This Row],[ScopeP]]="Changed",7.52*(Table4[[#This Row],[ISC BaseP]] - 0.029) - 3.25 * POWER(Table4[[#This Row],[ISC BaseP]] - 0.02,15),NA()))</f>
        <v>#N/A</v>
      </c>
      <c r="AN36" s="22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2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3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19"/>
    </row>
    <row r="37" spans="1:43" ht="56">
      <c r="A37" s="218"/>
      <c r="B37" s="219" t="s">
        <v>212</v>
      </c>
      <c r="C37" s="220" t="str">
        <f>IF(VLOOKUP(Table4[[#This Row],[T ID]],Table5[#All],5,FALSE)="No","Not in scope",VLOOKUP(Table4[[#This Row],[T ID]],Table5[#All],2,FALSE))</f>
        <v>Unrestricted wireless communication with multiple sources</v>
      </c>
      <c r="D37" s="219" t="s">
        <v>330</v>
      </c>
      <c r="E37" s="220" t="str">
        <f>IF(VLOOKUP(Table4[[#This Row],[V ID]],Vulnerabilities[#All],3,FALSE)="No","Not in scope",VLOOKUP(Table4[[#This Row],[V ID]],Vulnerabilities[#All],2,FALSE))</f>
        <v>Unsecured configuration of wireless devices</v>
      </c>
      <c r="F37" s="221" t="s">
        <v>12</v>
      </c>
      <c r="G37" s="220" t="str">
        <f>VLOOKUP(Table4[[#This Row],[A ID]],Assets[#All],3,FALSE)</f>
        <v>Mobile Device (ipad, iphone V8-13)</v>
      </c>
      <c r="H37" s="195" t="s">
        <v>383</v>
      </c>
      <c r="I37" s="219"/>
      <c r="J37" s="222"/>
      <c r="K37" s="222"/>
      <c r="L37" s="222"/>
      <c r="M37" s="223"/>
      <c r="N37" s="223"/>
      <c r="O37" s="223"/>
      <c r="P37" s="223"/>
      <c r="Q37" s="223"/>
      <c r="R37" s="224"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37" s="225" t="e">
        <f>(1 - ((1 - VLOOKUP(Table4[[#This Row],[Confidentiality]],'Reference - CVSSv3.0'!$B$15:$C$17,2,FALSE)) * (1 - VLOOKUP(Table4[[#This Row],[Integrity]],'Reference - CVSSv3.0'!$B$15:$C$17,2,FALSE)) *  (1 - VLOOKUP(Table4[[#This Row],[Availability]],'Reference - CVSSv3.0'!$B$15:$C$17,2,FALSE))))</f>
        <v>#N/A</v>
      </c>
      <c r="T37" s="225" t="e">
        <f>IF(Table4[[#This Row],[Scope]]="Unchanged",6.42*Table4[[#This Row],[ISC Base]],IF(Table4[[#This Row],[Scope]]="Changed",7.52*(Table4[[#This Row],[ISC Base]] - 0.029) - 3.25 * POWER(Table4[[#This Row],[ISC Base]] - 0.02,15),NA()))</f>
        <v>#N/A</v>
      </c>
      <c r="U37" s="225" t="e">
        <f>IF(Table4[[#This Row],[Impact Sub Score]]&lt;=0,0,IF(Table4[[#This Row],[Scope]]="Unchanged",ROUNDUP(MIN((Table4[[#This Row],[Impact Sub Score]]+Table4[[#This Row],[Exploitability Sub Score]]),10),1),IF(Table4[[#This Row],[Scope]]="Changed",ROUNDUP(MIN((1.08*(Table4[[#This Row],[Impact Sub Score]]+Table4[[#This Row],[Exploitability Sub Score]])),10),1),NA())))</f>
        <v>#N/A</v>
      </c>
      <c r="V37" s="226"/>
      <c r="W37" s="225" t="e">
        <f>VLOOKUP(Table4[[#This Row],[Threat Event Initiation]],NIST_Scale_LOAI[],2,FALSE)</f>
        <v>#N/A</v>
      </c>
      <c r="X37" s="225"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37" s="22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37" s="219"/>
      <c r="AA37" s="219"/>
      <c r="AB37" s="228"/>
      <c r="AC37" s="219"/>
      <c r="AD37" s="219"/>
      <c r="AE37" s="219"/>
      <c r="AF37" s="223"/>
      <c r="AG37" s="223"/>
      <c r="AH37" s="223"/>
      <c r="AI37" s="223"/>
      <c r="AJ37" s="229"/>
      <c r="AK37" s="22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25" t="e">
        <f>(1 - ((1 - VLOOKUP(Table4[[#This Row],[ConfidentialityP]],'Reference - CVSSv3.0'!$B$15:$C$17,2,FALSE)) * (1 - VLOOKUP(Table4[[#This Row],[IntegrityP]],'Reference - CVSSv3.0'!$B$15:$C$17,2,FALSE)) *  (1 - VLOOKUP(Table4[[#This Row],[AvailabilityP]],'Reference - CVSSv3.0'!$B$15:$C$17,2,FALSE))))</f>
        <v>#N/A</v>
      </c>
      <c r="AM37" s="225" t="e">
        <f>IF(Table4[[#This Row],[ScopeP]]="Unchanged",6.42*Table4[[#This Row],[ISC BaseP]],IF(Table4[[#This Row],[ScopeP]]="Changed",7.52*(Table4[[#This Row],[ISC BaseP]] - 0.029) - 3.25 * POWER(Table4[[#This Row],[ISC BaseP]] - 0.02,15),NA()))</f>
        <v>#N/A</v>
      </c>
      <c r="AN37" s="22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2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3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19"/>
    </row>
    <row r="38" spans="1:43" ht="56">
      <c r="A38" s="218"/>
      <c r="B38" s="219" t="s">
        <v>212</v>
      </c>
      <c r="C38" s="220" t="str">
        <f>IF(VLOOKUP(Table4[[#This Row],[T ID]],Table5[#All],5,FALSE)="No","Not in scope",VLOOKUP(Table4[[#This Row],[T ID]],Table5[#All],2,FALSE))</f>
        <v>Unrestricted wireless communication with multiple sources</v>
      </c>
      <c r="D38" s="219" t="s">
        <v>330</v>
      </c>
      <c r="E38" s="220" t="str">
        <f>IF(VLOOKUP(Table4[[#This Row],[V ID]],Vulnerabilities[#All],3,FALSE)="No","Not in scope",VLOOKUP(Table4[[#This Row],[V ID]],Vulnerabilities[#All],2,FALSE))</f>
        <v>Unsecured configuration of wireless devices</v>
      </c>
      <c r="F38" s="221" t="s">
        <v>16</v>
      </c>
      <c r="G38" s="220" t="str">
        <f>VLOOKUP(Table4[[#This Row],[A ID]],Assets[#All],3,FALSE)</f>
        <v>Knee balancer application</v>
      </c>
      <c r="H38" s="195" t="s">
        <v>383</v>
      </c>
      <c r="I38" s="219"/>
      <c r="J38" s="222"/>
      <c r="K38" s="222"/>
      <c r="L38" s="222"/>
      <c r="M38" s="223"/>
      <c r="N38" s="223"/>
      <c r="O38" s="223"/>
      <c r="P38" s="223"/>
      <c r="Q38" s="223"/>
      <c r="R38" s="224"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38" s="225" t="e">
        <f>(1 - ((1 - VLOOKUP(Table4[[#This Row],[Confidentiality]],'Reference - CVSSv3.0'!$B$15:$C$17,2,FALSE)) * (1 - VLOOKUP(Table4[[#This Row],[Integrity]],'Reference - CVSSv3.0'!$B$15:$C$17,2,FALSE)) *  (1 - VLOOKUP(Table4[[#This Row],[Availability]],'Reference - CVSSv3.0'!$B$15:$C$17,2,FALSE))))</f>
        <v>#N/A</v>
      </c>
      <c r="T38" s="225" t="e">
        <f>IF(Table4[[#This Row],[Scope]]="Unchanged",6.42*Table4[[#This Row],[ISC Base]],IF(Table4[[#This Row],[Scope]]="Changed",7.52*(Table4[[#This Row],[ISC Base]] - 0.029) - 3.25 * POWER(Table4[[#This Row],[ISC Base]] - 0.02,15),NA()))</f>
        <v>#N/A</v>
      </c>
      <c r="U38" s="225" t="e">
        <f>IF(Table4[[#This Row],[Impact Sub Score]]&lt;=0,0,IF(Table4[[#This Row],[Scope]]="Unchanged",ROUNDUP(MIN((Table4[[#This Row],[Impact Sub Score]]+Table4[[#This Row],[Exploitability Sub Score]]),10),1),IF(Table4[[#This Row],[Scope]]="Changed",ROUNDUP(MIN((1.08*(Table4[[#This Row],[Impact Sub Score]]+Table4[[#This Row],[Exploitability Sub Score]])),10),1),NA())))</f>
        <v>#N/A</v>
      </c>
      <c r="V38" s="226"/>
      <c r="W38" s="225" t="e">
        <f>VLOOKUP(Table4[[#This Row],[Threat Event Initiation]],NIST_Scale_LOAI[],2,FALSE)</f>
        <v>#N/A</v>
      </c>
      <c r="X38" s="225"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38" s="22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38" s="219"/>
      <c r="AA38" s="219"/>
      <c r="AB38" s="228"/>
      <c r="AC38" s="219"/>
      <c r="AD38" s="219"/>
      <c r="AE38" s="219"/>
      <c r="AF38" s="223"/>
      <c r="AG38" s="223"/>
      <c r="AH38" s="223"/>
      <c r="AI38" s="223"/>
      <c r="AJ38" s="229"/>
      <c r="AK38" s="22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25" t="e">
        <f>(1 - ((1 - VLOOKUP(Table4[[#This Row],[ConfidentialityP]],'Reference - CVSSv3.0'!$B$15:$C$17,2,FALSE)) * (1 - VLOOKUP(Table4[[#This Row],[IntegrityP]],'Reference - CVSSv3.0'!$B$15:$C$17,2,FALSE)) *  (1 - VLOOKUP(Table4[[#This Row],[AvailabilityP]],'Reference - CVSSv3.0'!$B$15:$C$17,2,FALSE))))</f>
        <v>#N/A</v>
      </c>
      <c r="AM38" s="225" t="e">
        <f>IF(Table4[[#This Row],[ScopeP]]="Unchanged",6.42*Table4[[#This Row],[ISC BaseP]],IF(Table4[[#This Row],[ScopeP]]="Changed",7.52*(Table4[[#This Row],[ISC BaseP]] - 0.029) - 3.25 * POWER(Table4[[#This Row],[ISC BaseP]] - 0.02,15),NA()))</f>
        <v>#N/A</v>
      </c>
      <c r="AN38" s="22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2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3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19"/>
    </row>
    <row r="43" spans="1:43">
      <c r="G43" t="s">
        <v>213</v>
      </c>
      <c r="Z43" s="199" t="s">
        <v>214</v>
      </c>
    </row>
    <row r="44" spans="1:43" ht="65.25" customHeight="1">
      <c r="Z44" s="199" t="s">
        <v>215</v>
      </c>
    </row>
    <row r="45" spans="1:43" ht="29">
      <c r="Z45" s="200" t="s">
        <v>216</v>
      </c>
    </row>
    <row r="46" spans="1:43">
      <c r="Z46" t="s">
        <v>217</v>
      </c>
    </row>
  </sheetData>
  <mergeCells count="4">
    <mergeCell ref="AC3:AQ3"/>
    <mergeCell ref="Z3:AB3"/>
    <mergeCell ref="F3:I3"/>
    <mergeCell ref="J3:Y3"/>
  </mergeCells>
  <conditionalFormatting sqref="Y5:Y38 AP5:AP38">
    <cfRule type="cellIs" dxfId="19" priority="26" operator="equal">
      <formula>"Critical"</formula>
    </cfRule>
    <cfRule type="cellIs" dxfId="18" priority="27" operator="equal">
      <formula>"HIGH"</formula>
    </cfRule>
    <cfRule type="cellIs" dxfId="17" priority="28" operator="equal">
      <formula>"Medium"</formula>
    </cfRule>
    <cfRule type="cellIs" dxfId="16" priority="29" operator="equal">
      <formula>"None"</formula>
    </cfRule>
    <cfRule type="cellIs" dxfId="15"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300-000000000000}"/>
    <dataValidation allowBlank="1" showInputMessage="1" showErrorMessage="1" prompt="This metric measures the impact to integrity of a successfully exploited vulnerability. Integrity refers to the trustworthiness and veracity of information." sqref="K4 AD4" xr:uid="{00000000-0002-0000-03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dataValidation allowBlank="1" showInputMessage="1" showErrorMessage="1" prompt="A scope change is the ability for a vulnerability in one software component to impact resources beyond its means, or privilege." sqref="Q4 AJ4" xr:uid="{00000000-0002-0000-0300-000007000000}"/>
    <dataValidation allowBlank="1" showInputMessage="1" showErrorMessage="1" prompt="Threat event initiation is assessed by taking into consideration the characteristics of the threat sources of concern including capability, intent, and targeting." sqref="V4" xr:uid="{00000000-0002-0000-0300-000008000000}"/>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300-000009000000}">
          <x14:formula1>
            <xm:f>'Reference - CVSSv3.0'!$B$21:$B$23</xm:f>
          </x14:formula1>
          <xm:sqref>Q5:Q38 AJ5:AJ38</xm:sqref>
        </x14:dataValidation>
        <x14:dataValidation type="list" allowBlank="1" showInputMessage="1" showErrorMessage="1" xr:uid="{00000000-0002-0000-0300-00000A000000}">
          <x14:formula1>
            <xm:f>'Reference - CVSSv3.0'!$B$15:$B$18</xm:f>
          </x14:formula1>
          <xm:sqref>J5:L38 AC5:AE38</xm:sqref>
        </x14:dataValidation>
        <x14:dataValidation type="list" allowBlank="1" showInputMessage="1" showErrorMessage="1" xr:uid="{00000000-0002-0000-0300-00000B000000}">
          <x14:formula1>
            <xm:f>'Reference - CVSSv3.0'!$B$6:$B$10</xm:f>
          </x14:formula1>
          <xm:sqref>M5:M38 AF5:AF38</xm:sqref>
        </x14:dataValidation>
        <x14:dataValidation type="list" allowBlank="1" showInputMessage="1" showErrorMessage="1" xr:uid="{00000000-0002-0000-0300-00000C000000}">
          <x14:formula1>
            <xm:f>'Reference - CVSSv3.0'!$E$6:$E$8</xm:f>
          </x14:formula1>
          <xm:sqref>N5:N38 AG5:AG38</xm:sqref>
        </x14:dataValidation>
        <x14:dataValidation type="list" allowBlank="1" showInputMessage="1" showErrorMessage="1" xr:uid="{00000000-0002-0000-0300-00000D000000}">
          <x14:formula1>
            <xm:f>'Reference - CVSSv3.0'!$H$6:$H$9</xm:f>
          </x14:formula1>
          <xm:sqref>O5:O38 AH5:AH38</xm:sqref>
        </x14:dataValidation>
        <x14:dataValidation type="list" allowBlank="1" showInputMessage="1" showErrorMessage="1" xr:uid="{00000000-0002-0000-0300-00000E000000}">
          <x14:formula1>
            <xm:f>'Reference - CVSSv3.0'!$L$6:$L$8</xm:f>
          </x14:formula1>
          <xm:sqref>P5:P38 AI5:AI38</xm:sqref>
        </x14:dataValidation>
        <x14:dataValidation type="list" allowBlank="1" showInputMessage="1" showErrorMessage="1" xr:uid="{00000000-0002-0000-0300-00000F000000}">
          <x14:formula1>
            <xm:f>'Reference - CVSSv3.0'!$Q$5:$Q$10</xm:f>
          </x14:formula1>
          <xm:sqref>V5:V38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7"/>
  <sheetViews>
    <sheetView zoomScaleNormal="100" workbookViewId="0">
      <selection activeCell="E5" sqref="E5:E9"/>
    </sheetView>
  </sheetViews>
  <sheetFormatPr defaultColWidth="9.1796875" defaultRowHeight="14.5"/>
  <cols>
    <col min="1" max="1" width="9.1796875" style="23" customWidth="1"/>
    <col min="2" max="2" width="4.81640625" style="23" customWidth="1"/>
    <col min="3" max="3" width="25.54296875" style="24" customWidth="1"/>
    <col min="4" max="4" width="5" style="23" customWidth="1"/>
    <col min="5" max="5" width="22" style="23" customWidth="1"/>
    <col min="6" max="6" width="6.26953125" style="23" customWidth="1"/>
    <col min="7" max="7" width="28.7265625" style="23" customWidth="1"/>
    <col min="8" max="8" width="38" style="23" customWidth="1"/>
    <col min="9" max="9" width="25.453125" style="23" customWidth="1"/>
    <col min="10" max="10" width="15" style="23" customWidth="1"/>
    <col min="11" max="11" width="35.7265625" style="23" customWidth="1"/>
    <col min="12" max="12" width="15" style="23" customWidth="1"/>
    <col min="13" max="13" width="36.81640625" style="23" customWidth="1"/>
    <col min="14" max="16384" width="9.1796875" style="23"/>
  </cols>
  <sheetData>
    <row r="1" spans="1:14" s="47" customFormat="1">
      <c r="A1" s="27" t="s">
        <v>240</v>
      </c>
      <c r="B1" s="69"/>
      <c r="C1" s="69"/>
      <c r="D1" s="69"/>
      <c r="E1" s="69"/>
      <c r="F1" s="69"/>
      <c r="G1" s="69"/>
      <c r="H1" s="69"/>
      <c r="I1" s="69"/>
      <c r="J1" s="69"/>
      <c r="K1" s="69"/>
      <c r="L1" s="69"/>
      <c r="M1" s="69"/>
      <c r="N1"/>
    </row>
    <row r="2" spans="1:14" s="47" customFormat="1">
      <c r="A2" s="27"/>
      <c r="B2" s="69"/>
      <c r="C2" s="69"/>
      <c r="D2" s="69"/>
      <c r="E2" s="69"/>
      <c r="F2" s="69"/>
      <c r="G2" s="69"/>
      <c r="H2" s="69"/>
      <c r="I2" s="69"/>
      <c r="J2" s="69"/>
      <c r="K2" s="69"/>
      <c r="L2" s="69"/>
      <c r="M2" s="69"/>
      <c r="N2"/>
    </row>
    <row r="3" spans="1:14" s="47" customFormat="1">
      <c r="A3" s="69" t="s">
        <v>91</v>
      </c>
      <c r="B3" s="69"/>
      <c r="C3" s="69"/>
      <c r="D3" s="69"/>
      <c r="E3" s="69"/>
      <c r="F3" s="69"/>
      <c r="G3" s="69"/>
      <c r="H3" s="69"/>
      <c r="I3" s="69"/>
      <c r="J3" s="69"/>
      <c r="K3" s="69"/>
      <c r="L3" s="69"/>
      <c r="M3" s="69"/>
      <c r="N3"/>
    </row>
    <row r="4" spans="1:14" s="47" customFormat="1" ht="28">
      <c r="A4" s="161" t="s">
        <v>96</v>
      </c>
      <c r="B4" s="162" t="s">
        <v>97</v>
      </c>
      <c r="C4" s="163" t="s">
        <v>98</v>
      </c>
      <c r="D4" s="164" t="s">
        <v>99</v>
      </c>
      <c r="E4" s="165" t="s">
        <v>100</v>
      </c>
      <c r="F4" s="166" t="s">
        <v>101</v>
      </c>
      <c r="G4" s="167" t="s">
        <v>241</v>
      </c>
      <c r="H4" s="167" t="s">
        <v>102</v>
      </c>
      <c r="I4" s="168" t="s">
        <v>103</v>
      </c>
      <c r="J4" s="169" t="s">
        <v>242</v>
      </c>
      <c r="K4" s="170" t="s">
        <v>120</v>
      </c>
      <c r="L4" s="171" t="s">
        <v>243</v>
      </c>
      <c r="M4" s="172" t="s">
        <v>137</v>
      </c>
      <c r="N4"/>
    </row>
    <row r="5" spans="1:14" s="47" customFormat="1" ht="70">
      <c r="A5" s="65">
        <f>Table4[[#This Row],[
ID '#]]</f>
        <v>1</v>
      </c>
      <c r="B5" s="51" t="str">
        <f>IF(Table4[[#This Row],[A ID]]&gt;0,Table4[[#This Row],[T ID]],"")</f>
        <v>T01</v>
      </c>
      <c r="C5" s="195" t="str">
        <f>Table4[[#This Row],[Threat Event(s)]]</f>
        <v>Deliver undirected malware</v>
      </c>
      <c r="D5" s="51" t="str">
        <f>IF(Table4[[#This Row],[V ID]]&gt;0,Table4[[#This Row],[V ID]],"")</f>
        <v>V33</v>
      </c>
      <c r="E5" s="195" t="str">
        <f>Table4[[#This Row],[Vulnerabilities]]</f>
        <v>Unrestricted Wifi communication with open/untrusted sources</v>
      </c>
      <c r="F5" s="53" t="str">
        <f>IF(Table4[[#This Row],[A ID]]&gt;0,Table4[[#This Row],[A ID]],"")</f>
        <v>A13</v>
      </c>
      <c r="G5" s="195" t="str">
        <f>Table4[[#This Row],[Asset]]</f>
        <v>Wireless communication interfaces (Wifi, BT,etc..)</v>
      </c>
      <c r="H5" s="195" t="str">
        <f>IF(Table4[[#This Row],[Impact Description]]&gt;0,Table4[[#This Row],[Impact Description]],"")</f>
        <v>As Knee Balancer is running on a mobile device, it is important to secure the wireless interfaces on the host such as BT, Wifi. Without restrictions any device can be connected with the host</v>
      </c>
      <c r="I5" s="53" t="str">
        <f>IF(Table4[[#This Row],[Safety Impact 
(Risk ID'# or N/A)]]&gt;0,Table4[[#This Row],[Safety Impact 
(Risk ID'# or N/A)]],"")</f>
        <v/>
      </c>
      <c r="J5" s="85" t="str">
        <f>Table4[[#This Row],[Security 
Risk 
Level]]</f>
        <v>MEDIUM</v>
      </c>
      <c r="K5" s="195" t="str">
        <f>IF(Table4[[#This Row],[Security Risk Control Measures]]&gt;0,Table4[[#This Row],[Security Risk Control Measures]],"")</f>
        <v>1. Virus Scan
2. Firewall
3. Windows security update install
4. Application should be updated with the latest version of dependencies.</v>
      </c>
      <c r="L5" s="85" t="str">
        <f>Table4[[#This Row],[Security Risk LevelP]]</f>
        <v/>
      </c>
      <c r="M5" s="53" t="str">
        <f>IF(Table4[[#This Row],[Residual Security Risk Acceptability Justification]]&gt;0,Table4[[#This Row],[Residual Security Risk Acceptability Justification]],"")</f>
        <v/>
      </c>
      <c r="N5"/>
    </row>
    <row r="6" spans="1:14" s="47" customFormat="1" ht="70">
      <c r="A6" s="64">
        <f>Table4[[#This Row],[
ID '#]]</f>
        <v>2</v>
      </c>
      <c r="B6" s="51" t="str">
        <f>IF(Table4[[#This Row],[A ID]]&gt;0,Table4[[#This Row],[T ID]],"")</f>
        <v>T01</v>
      </c>
      <c r="C6" s="195" t="str">
        <f>Table4[[#This Row],[Threat Event(s)]]</f>
        <v>Deliver undirected malware</v>
      </c>
      <c r="D6" s="53" t="str">
        <f>IF(Table4[[#This Row],[V ID]]&gt;0,Table4[[#This Row],[V ID]],"")</f>
        <v>V34</v>
      </c>
      <c r="E6" s="195" t="str">
        <f>Table4[[#This Row],[Vulnerabilities]]</f>
        <v>Unrestricted BT communication/transfer with multiple sources</v>
      </c>
      <c r="F6" s="53" t="str">
        <f>IF(Table4[[#This Row],[A ID]]&gt;0,Table4[[#This Row],[A ID]],"")</f>
        <v>A13</v>
      </c>
      <c r="G6" s="195" t="str">
        <f>Table4[[#This Row],[Asset]]</f>
        <v>Wireless communication interfaces (Wifi, BT,etc..)</v>
      </c>
      <c r="H6" s="195" t="str">
        <f>IF(Table4[[#This Row],[Impact Description]]&gt;0,Table4[[#This Row],[Impact Description]],"")</f>
        <v>As Knee Balancer is running on a mobile device, it is important to secure the wireless interfaces on the host such as BT, Wifi. Without restrictions any device can be connected with the host</v>
      </c>
      <c r="I6" s="53" t="str">
        <f>IF(Table4[[#This Row],[Safety Impact 
(Risk ID'# or N/A)]]&gt;0,Table4[[#This Row],[Safety Impact 
(Risk ID'# or N/A)]],"")</f>
        <v/>
      </c>
      <c r="J6" s="85" t="str">
        <f>Table4[[#This Row],[Security 
Risk 
Level]]</f>
        <v/>
      </c>
      <c r="K6" s="195" t="str">
        <f>IF(Table4[[#This Row],[Security Risk Control Measures]]&gt;0,Table4[[#This Row],[Security Risk Control Measures]],"")</f>
        <v/>
      </c>
      <c r="L6" s="85" t="str">
        <f>Table4[[#This Row],[Security Risk LevelP]]</f>
        <v/>
      </c>
      <c r="M6" s="53" t="str">
        <f>IF(Table4[[#This Row],[Residual Security Risk Acceptability Justification]]&gt;0,Table4[[#This Row],[Residual Security Risk Acceptability Justification]],"")</f>
        <v/>
      </c>
      <c r="N6"/>
    </row>
    <row r="7" spans="1:14" s="47" customFormat="1" ht="70">
      <c r="A7" s="64">
        <f>Table4[[#This Row],[
ID '#]]</f>
        <v>3</v>
      </c>
      <c r="B7" s="51" t="str">
        <f>IF(Table4[[#This Row],[A ID]]&gt;0,Table4[[#This Row],[T ID]],"")</f>
        <v>T01</v>
      </c>
      <c r="C7" s="195" t="str">
        <f>Table4[[#This Row],[Threat Event(s)]]</f>
        <v>Deliver undirected malware</v>
      </c>
      <c r="D7" s="53" t="str">
        <f>IF(Table4[[#This Row],[V ID]]&gt;0,Table4[[#This Row],[V ID]],"")</f>
        <v>V35</v>
      </c>
      <c r="E7" s="195" t="str">
        <f>Table4[[#This Row],[Vulnerabilities]]</f>
        <v>Unauthorized device communication to network interfaces</v>
      </c>
      <c r="F7" s="53" t="str">
        <f>IF(Table4[[#This Row],[A ID]]&gt;0,Table4[[#This Row],[A ID]],"")</f>
        <v>A14</v>
      </c>
      <c r="G7" s="195" t="str">
        <f>Table4[[#This Row],[Asset]]</f>
        <v>Physical network interfaces</v>
      </c>
      <c r="H7" s="195" t="str">
        <f>IF(Table4[[#This Row],[Impact Description]]&gt;0,Table4[[#This Row],[Impact Description]],"")</f>
        <v>As Knee Balancer is running on a mobile device, it is important to secure the wireless interfaces on the host such as BT, Wifi. Without restrictions any device can be connected with the host</v>
      </c>
      <c r="I7" s="53" t="str">
        <f>IF(Table4[[#This Row],[Safety Impact 
(Risk ID'# or N/A)]]&gt;0,Table4[[#This Row],[Safety Impact 
(Risk ID'# or N/A)]],"")</f>
        <v/>
      </c>
      <c r="J7" s="85" t="str">
        <f>Table4[[#This Row],[Security 
Risk 
Level]]</f>
        <v/>
      </c>
      <c r="K7" s="53" t="str">
        <f>IF(Table4[[#This Row],[Security Risk Control Measures]]&gt;0,Table4[[#This Row],[Security Risk Control Measures]],"")</f>
        <v/>
      </c>
      <c r="L7" s="85" t="str">
        <f>Table4[[#This Row],[Security Risk LevelP]]</f>
        <v/>
      </c>
      <c r="M7" s="53" t="str">
        <f>IF(Table4[[#This Row],[Residual Security Risk Acceptability Justification]]&gt;0,Table4[[#This Row],[Residual Security Risk Acceptability Justification]],"")</f>
        <v/>
      </c>
      <c r="N7"/>
    </row>
    <row r="8" spans="1:14" s="47" customFormat="1" ht="70">
      <c r="A8" s="64">
        <f>Table4[[#This Row],[
ID '#]]</f>
        <v>5</v>
      </c>
      <c r="B8" s="51" t="str">
        <f>IF(Table4[[#This Row],[A ID]]&gt;0,Table4[[#This Row],[T ID]],"")</f>
        <v>T01</v>
      </c>
      <c r="C8" s="195" t="str">
        <f>Table4[[#This Row],[Threat Event(s)]]</f>
        <v>Deliver undirected malware</v>
      </c>
      <c r="D8" s="53" t="str">
        <f>IF(Table4[[#This Row],[V ID]]&gt;0,Table4[[#This Row],[V ID]],"")</f>
        <v>V15</v>
      </c>
      <c r="E8" s="195" t="str">
        <f>Table4[[#This Row],[Vulnerabilities]]</f>
        <v>3rd Party Component Dependency &amp; Vulnerabilities - App</v>
      </c>
      <c r="F8" s="53" t="str">
        <f>IF(Table4[[#This Row],[A ID]]&gt;0,Table4[[#This Row],[A ID]],"")</f>
        <v>A04</v>
      </c>
      <c r="G8" s="195" t="str">
        <f>Table4[[#This Row],[Asset]]</f>
        <v>Patient Identifiable data</v>
      </c>
      <c r="H8" s="195" t="str">
        <f>IF(Table4[[#This Row],[Impact Description]]&gt;0,Table4[[#This Row],[Impact Description]],"")</f>
        <v>As Knee Balancer is running on a mobile device, it is important to secure the wireless interfaces on the host such as BT, Wifi. Without restrictions any device can be connected with the host</v>
      </c>
      <c r="I8" s="53" t="str">
        <f>IF(Table4[[#This Row],[Safety Impact 
(Risk ID'# or N/A)]]&gt;0,Table4[[#This Row],[Safety Impact 
(Risk ID'# or N/A)]],"")</f>
        <v/>
      </c>
      <c r="J8" s="85" t="str">
        <f>Table4[[#This Row],[Security 
Risk 
Level]]</f>
        <v>MEDIUM</v>
      </c>
      <c r="K8" s="53" t="str">
        <f>IF(Table4[[#This Row],[Security Risk Control Measures]]&gt;0,Table4[[#This Row],[Security Risk Control Measures]],"")</f>
        <v xml:space="preserve">1. The 3rd party modules and dependencies should be updated with latest versions.
2. Application upgrade should verify if all required dependencies are updated in system.
3. Application upgrade should detect any upgrade or change in dependecies on user system and show dependency issue message to application user.
</v>
      </c>
      <c r="L8" s="85" t="str">
        <f>Table4[[#This Row],[Security Risk LevelP]]</f>
        <v/>
      </c>
      <c r="M8" s="53" t="str">
        <f>IF(Table4[[#This Row],[Residual Security Risk Acceptability Justification]]&gt;0,Table4[[#This Row],[Residual Security Risk Acceptability Justification]],"")</f>
        <v/>
      </c>
      <c r="N8"/>
    </row>
    <row r="9" spans="1:14" s="47" customFormat="1" ht="70">
      <c r="A9" s="64">
        <f>Table4[[#This Row],[
ID '#]]</f>
        <v>6</v>
      </c>
      <c r="B9" s="51" t="str">
        <f>IF(Table4[[#This Row],[A ID]]&gt;0,Table4[[#This Row],[T ID]],"")</f>
        <v>T01</v>
      </c>
      <c r="C9" s="195" t="str">
        <f>Table4[[#This Row],[Threat Event(s)]]</f>
        <v>Deliver undirected malware</v>
      </c>
      <c r="D9" s="53" t="str">
        <f>IF(Table4[[#This Row],[V ID]]&gt;0,Table4[[#This Row],[V ID]],"")</f>
        <v>V18</v>
      </c>
      <c r="E9" s="195" t="str">
        <f>Table4[[#This Row],[Vulnerabilities]]</f>
        <v>3rd party installed applications from app store</v>
      </c>
      <c r="F9" s="53" t="str">
        <f>IF(Table4[[#This Row],[A ID]]&gt;0,Table4[[#This Row],[A ID]],"")</f>
        <v>A13</v>
      </c>
      <c r="G9" s="195" t="str">
        <f>Table4[[#This Row],[Asset]]</f>
        <v>Wireless communication interfaces (Wifi, BT,etc..)</v>
      </c>
      <c r="H9" s="195" t="str">
        <f>IF(Table4[[#This Row],[Impact Description]]&gt;0,Table4[[#This Row],[Impact Description]],"")</f>
        <v>As Knee Balancer is running on a mobile device, it is important to secure the wireless interfaces on the host such as BT, Wifi. Without restrictions any device can be connected with the host</v>
      </c>
      <c r="I9" s="53" t="str">
        <f>IF(Table4[[#This Row],[Safety Impact 
(Risk ID'# or N/A)]]&gt;0,Table4[[#This Row],[Safety Impact 
(Risk ID'# or N/A)]],"")</f>
        <v/>
      </c>
      <c r="J9" s="85" t="str">
        <f>Table4[[#This Row],[Security 
Risk 
Level]]</f>
        <v/>
      </c>
      <c r="K9" s="53" t="str">
        <f>IF(Table4[[#This Row],[Security Risk Control Measures]]&gt;0,Table4[[#This Row],[Security Risk Control Measures]],"")</f>
        <v/>
      </c>
      <c r="L9" s="150" t="str">
        <f>Table4[[#This Row],[Security Risk LevelP]]</f>
        <v/>
      </c>
      <c r="M9" s="53" t="str">
        <f>IF(Table4[[#This Row],[Residual Security Risk Acceptability Justification]]&gt;0,Table4[[#This Row],[Residual Security Risk Acceptability Justification]],"")</f>
        <v/>
      </c>
      <c r="N9"/>
    </row>
    <row r="10" spans="1:14" s="47" customFormat="1">
      <c r="A10"/>
      <c r="B10"/>
      <c r="C10"/>
      <c r="D10"/>
      <c r="E10"/>
      <c r="F10"/>
      <c r="G10"/>
      <c r="H10"/>
      <c r="I10"/>
      <c r="J10"/>
      <c r="K10"/>
      <c r="L10"/>
      <c r="M10"/>
      <c r="N10"/>
    </row>
    <row r="11" spans="1:14" s="47" customFormat="1">
      <c r="A11" s="23"/>
      <c r="B11" s="23"/>
      <c r="C11" s="24"/>
      <c r="D11" s="23"/>
      <c r="E11" s="23"/>
      <c r="F11" s="23"/>
      <c r="G11" s="23"/>
    </row>
    <row r="12" spans="1:14" s="47" customFormat="1" ht="14">
      <c r="A12" s="26" t="s">
        <v>45</v>
      </c>
      <c r="C12" s="58"/>
    </row>
    <row r="13" spans="1:14" s="47" customFormat="1" ht="32.25" customHeight="1">
      <c r="B13" s="232" t="s">
        <v>46</v>
      </c>
      <c r="C13" s="232"/>
      <c r="D13" s="232"/>
      <c r="E13" s="232"/>
      <c r="F13" s="232"/>
      <c r="G13" s="232"/>
      <c r="H13" s="232"/>
    </row>
    <row r="14" spans="1:14" s="47" customFormat="1">
      <c r="A14" s="23"/>
      <c r="B14" s="23"/>
      <c r="C14" s="24"/>
      <c r="D14" s="23"/>
      <c r="E14" s="23"/>
      <c r="F14" s="23"/>
      <c r="G14" s="23"/>
    </row>
    <row r="15" spans="1:14" s="47" customFormat="1">
      <c r="A15" s="23"/>
      <c r="B15" s="23"/>
      <c r="C15" s="24"/>
      <c r="D15" s="23"/>
      <c r="E15" s="23"/>
      <c r="F15" s="23"/>
      <c r="G15" s="23"/>
    </row>
    <row r="16" spans="1:14" s="47" customFormat="1">
      <c r="A16" s="23"/>
      <c r="B16" s="23"/>
      <c r="C16" s="24"/>
      <c r="D16" s="23"/>
      <c r="E16" s="23"/>
      <c r="F16" s="23"/>
      <c r="G16" s="23"/>
    </row>
    <row r="17" spans="1:8" s="47" customFormat="1" ht="32.25" customHeight="1">
      <c r="A17" s="23"/>
      <c r="B17" s="23"/>
      <c r="C17" s="24"/>
      <c r="D17" s="23"/>
      <c r="E17" s="23"/>
      <c r="F17" s="23"/>
      <c r="G17" s="23"/>
      <c r="H17" s="198"/>
    </row>
  </sheetData>
  <mergeCells count="1">
    <mergeCell ref="B13:H13"/>
  </mergeCells>
  <conditionalFormatting sqref="L6:L9">
    <cfRule type="cellIs" dxfId="14" priority="1" operator="equal">
      <formula>"Critical"</formula>
    </cfRule>
    <cfRule type="cellIs" dxfId="13" priority="2" operator="equal">
      <formula>"HIGH"</formula>
    </cfRule>
    <cfRule type="cellIs" dxfId="12" priority="3" operator="equal">
      <formula>"Medium"</formula>
    </cfRule>
    <cfRule type="cellIs" dxfId="11" priority="4" operator="equal">
      <formula>"None"</formula>
    </cfRule>
    <cfRule type="cellIs" dxfId="10" priority="5" operator="equal">
      <formula>"Low"</formula>
    </cfRule>
  </conditionalFormatting>
  <conditionalFormatting sqref="J5:J9">
    <cfRule type="cellIs" dxfId="9" priority="11" operator="equal">
      <formula>"Critical"</formula>
    </cfRule>
    <cfRule type="cellIs" dxfId="8" priority="12" operator="equal">
      <formula>"HIGH"</formula>
    </cfRule>
    <cfRule type="cellIs" dxfId="7" priority="13" operator="equal">
      <formula>"Medium"</formula>
    </cfRule>
    <cfRule type="cellIs" dxfId="6" priority="14" operator="equal">
      <formula>"None"</formula>
    </cfRule>
    <cfRule type="cellIs" dxfId="5" priority="15" operator="equal">
      <formula>"Low"</formula>
    </cfRule>
  </conditionalFormatting>
  <conditionalFormatting sqref="L5">
    <cfRule type="cellIs" dxfId="4" priority="6" operator="equal">
      <formula>"Critical"</formula>
    </cfRule>
    <cfRule type="cellIs" dxfId="3" priority="7" operator="equal">
      <formula>"HIGH"</formula>
    </cfRule>
    <cfRule type="cellIs" dxfId="2" priority="8" operator="equal">
      <formula>"Medium"</formula>
    </cfRule>
    <cfRule type="cellIs" dxfId="1" priority="9" operator="equal">
      <formula>"None"</formula>
    </cfRule>
    <cfRule type="cellIs" dxfId="0" priority="10"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Normal="100" workbookViewId="0">
      <selection activeCell="D8" sqref="D8"/>
    </sheetView>
  </sheetViews>
  <sheetFormatPr defaultColWidth="9.1796875" defaultRowHeight="14.5"/>
  <cols>
    <col min="1" max="1" width="2.26953125" customWidth="1"/>
    <col min="2" max="2" width="15.26953125" customWidth="1"/>
    <col min="4" max="4" width="5.26953125" customWidth="1"/>
    <col min="7" max="7" width="5.453125" customWidth="1"/>
    <col min="11" max="11" width="5.26953125" customWidth="1"/>
    <col min="14" max="14" width="5.1796875" customWidth="1"/>
    <col min="16" max="16" width="13.81640625" customWidth="1"/>
    <col min="17" max="17" width="11" customWidth="1"/>
    <col min="18" max="18" width="17" customWidth="1"/>
  </cols>
  <sheetData>
    <row r="1" spans="2:18" s="69" customFormat="1" ht="27.75" customHeight="1">
      <c r="B1" s="88" t="s">
        <v>244</v>
      </c>
    </row>
    <row r="2" spans="2:18" s="69" customFormat="1" thickBot="1"/>
    <row r="3" spans="2:18" s="69" customFormat="1" ht="18" thickBot="1">
      <c r="B3" s="243" t="s">
        <v>245</v>
      </c>
      <c r="C3" s="244"/>
      <c r="D3" s="244"/>
      <c r="E3" s="244"/>
      <c r="F3" s="244"/>
      <c r="G3" s="244"/>
      <c r="H3" s="244"/>
      <c r="I3" s="244"/>
      <c r="J3" s="244"/>
      <c r="K3" s="244"/>
      <c r="L3" s="244"/>
      <c r="M3" s="244"/>
      <c r="N3" s="245"/>
      <c r="P3" s="243" t="s">
        <v>246</v>
      </c>
      <c r="Q3" s="244"/>
      <c r="R3" s="245"/>
    </row>
    <row r="4" spans="2:18" s="69" customFormat="1" ht="15.5" thickBot="1">
      <c r="B4" s="250" t="s">
        <v>107</v>
      </c>
      <c r="C4" s="251"/>
      <c r="D4" s="252"/>
      <c r="E4" s="250" t="s">
        <v>108</v>
      </c>
      <c r="F4" s="251"/>
      <c r="G4" s="252"/>
      <c r="H4" s="250" t="s">
        <v>247</v>
      </c>
      <c r="I4" s="251"/>
      <c r="J4" s="251"/>
      <c r="K4" s="252"/>
      <c r="L4" s="253" t="s">
        <v>110</v>
      </c>
      <c r="M4" s="254"/>
      <c r="N4" s="255"/>
      <c r="P4" s="89"/>
      <c r="Q4" s="90" t="s">
        <v>248</v>
      </c>
      <c r="R4" s="91" t="s">
        <v>249</v>
      </c>
    </row>
    <row r="5" spans="2:18" s="69" customFormat="1" ht="15.5" thickBot="1">
      <c r="B5" s="92" t="s">
        <v>250</v>
      </c>
      <c r="C5" s="92" t="s">
        <v>251</v>
      </c>
      <c r="D5" s="92" t="s">
        <v>252</v>
      </c>
      <c r="E5" s="92" t="s">
        <v>253</v>
      </c>
      <c r="F5" s="92" t="s">
        <v>251</v>
      </c>
      <c r="G5" s="92" t="s">
        <v>252</v>
      </c>
      <c r="H5" s="92" t="s">
        <v>250</v>
      </c>
      <c r="I5" s="257" t="s">
        <v>251</v>
      </c>
      <c r="J5" s="258"/>
      <c r="K5" s="92" t="s">
        <v>252</v>
      </c>
      <c r="L5" s="92" t="s">
        <v>250</v>
      </c>
      <c r="M5" s="92" t="s">
        <v>251</v>
      </c>
      <c r="N5" s="92" t="s">
        <v>252</v>
      </c>
      <c r="P5" s="93"/>
      <c r="Q5" s="94" t="s">
        <v>254</v>
      </c>
      <c r="R5" s="95">
        <v>0.04</v>
      </c>
    </row>
    <row r="6" spans="2:18" s="69" customFormat="1" ht="15">
      <c r="B6" s="96" t="s">
        <v>140</v>
      </c>
      <c r="C6" s="97">
        <v>0.85</v>
      </c>
      <c r="D6" s="98" t="s">
        <v>255</v>
      </c>
      <c r="E6" s="96" t="s">
        <v>139</v>
      </c>
      <c r="F6" s="97">
        <v>0.77</v>
      </c>
      <c r="G6" s="98" t="s">
        <v>256</v>
      </c>
      <c r="H6" s="96" t="s">
        <v>141</v>
      </c>
      <c r="I6" s="99">
        <v>0.85</v>
      </c>
      <c r="J6" s="100">
        <v>0.85</v>
      </c>
      <c r="K6" s="98" t="s">
        <v>255</v>
      </c>
      <c r="L6" s="96" t="s">
        <v>141</v>
      </c>
      <c r="M6" s="101">
        <v>0.85</v>
      </c>
      <c r="N6" s="102" t="s">
        <v>255</v>
      </c>
      <c r="P6" s="93"/>
      <c r="Q6" s="103" t="s">
        <v>139</v>
      </c>
      <c r="R6" s="104">
        <v>0.2</v>
      </c>
    </row>
    <row r="7" spans="2:18" s="69" customFormat="1" ht="15">
      <c r="B7" s="96" t="s">
        <v>257</v>
      </c>
      <c r="C7" s="105">
        <v>0.62</v>
      </c>
      <c r="D7" s="98" t="s">
        <v>258</v>
      </c>
      <c r="E7" s="96" t="s">
        <v>152</v>
      </c>
      <c r="F7" s="105">
        <v>0.44</v>
      </c>
      <c r="G7" s="98" t="s">
        <v>259</v>
      </c>
      <c r="H7" s="96" t="s">
        <v>139</v>
      </c>
      <c r="I7" s="106">
        <v>0.62</v>
      </c>
      <c r="J7" s="100">
        <v>0.68</v>
      </c>
      <c r="K7" s="98" t="s">
        <v>256</v>
      </c>
      <c r="L7" s="96" t="s">
        <v>153</v>
      </c>
      <c r="M7" s="107">
        <v>0.62</v>
      </c>
      <c r="N7" s="102" t="s">
        <v>260</v>
      </c>
      <c r="P7" s="93"/>
      <c r="Q7" s="108" t="s">
        <v>182</v>
      </c>
      <c r="R7" s="104">
        <v>0.5</v>
      </c>
    </row>
    <row r="8" spans="2:18" s="69" customFormat="1" ht="15">
      <c r="B8" s="96" t="s">
        <v>150</v>
      </c>
      <c r="C8" s="105">
        <v>0.55000000000000004</v>
      </c>
      <c r="D8" s="98" t="s">
        <v>256</v>
      </c>
      <c r="E8" s="96"/>
      <c r="F8" s="105"/>
      <c r="G8" s="98"/>
      <c r="H8" s="96" t="s">
        <v>152</v>
      </c>
      <c r="I8" s="106">
        <v>0.27</v>
      </c>
      <c r="J8" s="100">
        <v>0.5</v>
      </c>
      <c r="K8" s="98" t="s">
        <v>259</v>
      </c>
      <c r="L8" s="96"/>
      <c r="M8" s="100"/>
      <c r="N8" s="102"/>
      <c r="P8" s="93"/>
      <c r="Q8" s="109" t="s">
        <v>152</v>
      </c>
      <c r="R8" s="104">
        <v>0.8</v>
      </c>
    </row>
    <row r="9" spans="2:18" s="69" customFormat="1" ht="15">
      <c r="B9" s="96" t="s">
        <v>154</v>
      </c>
      <c r="C9" s="105">
        <v>0.2</v>
      </c>
      <c r="D9" s="102" t="s">
        <v>261</v>
      </c>
      <c r="E9" s="125"/>
      <c r="G9" s="176"/>
      <c r="H9" s="96"/>
      <c r="I9" s="106"/>
      <c r="J9" s="100"/>
      <c r="K9" s="102"/>
      <c r="L9" s="96"/>
      <c r="M9" s="100"/>
      <c r="N9" s="102"/>
      <c r="P9" s="93"/>
      <c r="Q9" s="119" t="s">
        <v>262</v>
      </c>
      <c r="R9" s="104">
        <v>1</v>
      </c>
    </row>
    <row r="10" spans="2:18" s="69" customFormat="1" ht="15.5" thickBot="1">
      <c r="B10" s="110"/>
      <c r="C10" s="111"/>
      <c r="D10" s="112"/>
      <c r="E10" s="113"/>
      <c r="F10" s="114"/>
      <c r="G10" s="115"/>
      <c r="H10" s="110"/>
      <c r="I10" s="116"/>
      <c r="J10" s="117"/>
      <c r="K10" s="112"/>
      <c r="L10" s="110"/>
      <c r="M10" s="117"/>
      <c r="N10" s="112"/>
      <c r="P10" s="118"/>
      <c r="R10" s="104"/>
    </row>
    <row r="11" spans="2:18" s="69" customFormat="1" thickBot="1"/>
    <row r="12" spans="2:18" s="69" customFormat="1" ht="18" thickBot="1">
      <c r="B12" s="243" t="s">
        <v>263</v>
      </c>
      <c r="C12" s="244"/>
      <c r="D12" s="244"/>
      <c r="E12" s="244"/>
      <c r="F12" s="244"/>
      <c r="G12" s="244"/>
      <c r="H12" s="244"/>
      <c r="I12" s="244"/>
      <c r="J12" s="244"/>
      <c r="K12" s="244"/>
      <c r="L12" s="244"/>
      <c r="M12" s="244"/>
      <c r="N12" s="245"/>
      <c r="P12" s="153" t="s">
        <v>264</v>
      </c>
      <c r="Q12" s="121" t="s">
        <v>54</v>
      </c>
    </row>
    <row r="13" spans="2:18" s="69" customFormat="1" ht="15.5" thickBot="1">
      <c r="B13" s="246" t="s">
        <v>265</v>
      </c>
      <c r="C13" s="247"/>
      <c r="D13" s="247"/>
      <c r="E13" s="247"/>
      <c r="F13" s="247"/>
      <c r="G13" s="248"/>
      <c r="H13" s="247"/>
      <c r="I13" s="247"/>
      <c r="J13" s="247"/>
      <c r="K13" s="247"/>
      <c r="L13" s="247"/>
      <c r="M13" s="247"/>
      <c r="N13" s="249"/>
      <c r="P13" s="96"/>
      <c r="Q13" s="100" t="s">
        <v>76</v>
      </c>
    </row>
    <row r="14" spans="2:18" s="69" customFormat="1" thickBot="1">
      <c r="B14" s="92" t="s">
        <v>250</v>
      </c>
      <c r="C14" s="92" t="s">
        <v>251</v>
      </c>
      <c r="D14" s="92" t="s">
        <v>252</v>
      </c>
      <c r="E14" s="120"/>
      <c r="F14" s="120"/>
      <c r="G14" s="120"/>
      <c r="H14" s="120"/>
      <c r="I14" s="120"/>
      <c r="J14" s="120"/>
      <c r="K14" s="120"/>
      <c r="L14" s="120"/>
      <c r="M14" s="120"/>
      <c r="N14" s="121"/>
      <c r="P14" s="110"/>
      <c r="Q14" s="117"/>
    </row>
    <row r="15" spans="2:18" s="69" customFormat="1" ht="16">
      <c r="B15" s="122" t="s">
        <v>141</v>
      </c>
      <c r="C15" s="97">
        <v>0</v>
      </c>
      <c r="D15" s="123" t="s">
        <v>255</v>
      </c>
      <c r="E15" s="124" t="s">
        <v>266</v>
      </c>
      <c r="N15" s="100"/>
    </row>
    <row r="16" spans="2:18" s="69" customFormat="1" ht="14">
      <c r="B16" s="125" t="s">
        <v>139</v>
      </c>
      <c r="C16" s="105">
        <v>0.22</v>
      </c>
      <c r="D16" s="126" t="s">
        <v>256</v>
      </c>
      <c r="N16" s="100"/>
    </row>
    <row r="17" spans="2:17" s="69" customFormat="1" ht="14">
      <c r="B17" s="125" t="s">
        <v>152</v>
      </c>
      <c r="C17" s="105">
        <v>0.56000000000000005</v>
      </c>
      <c r="D17" s="126" t="s">
        <v>259</v>
      </c>
      <c r="N17" s="100"/>
    </row>
    <row r="18" spans="2:17" s="69" customFormat="1" thickBot="1">
      <c r="B18" s="113"/>
      <c r="C18" s="111"/>
      <c r="D18" s="127"/>
      <c r="E18" s="114"/>
      <c r="F18" s="114"/>
      <c r="G18" s="114"/>
      <c r="H18" s="114"/>
      <c r="I18" s="114"/>
      <c r="J18" s="114"/>
      <c r="K18" s="114"/>
      <c r="L18" s="114"/>
      <c r="M18" s="114"/>
      <c r="N18" s="117"/>
    </row>
    <row r="19" spans="2:17" s="69" customFormat="1" thickBot="1"/>
    <row r="20" spans="2:17" s="69" customFormat="1" ht="18" thickBot="1">
      <c r="B20" s="243" t="s">
        <v>111</v>
      </c>
      <c r="C20" s="244"/>
      <c r="D20" s="244"/>
      <c r="E20" s="244"/>
      <c r="F20" s="244"/>
      <c r="G20" s="244"/>
      <c r="H20" s="244"/>
      <c r="I20" s="244"/>
      <c r="J20" s="244"/>
      <c r="K20" s="244"/>
      <c r="L20" s="244"/>
      <c r="M20" s="244"/>
      <c r="N20" s="245"/>
    </row>
    <row r="21" spans="2:17" s="69" customFormat="1" ht="42.65" customHeight="1" thickBot="1">
      <c r="B21" s="128" t="s">
        <v>142</v>
      </c>
      <c r="C21" s="259" t="s">
        <v>267</v>
      </c>
      <c r="D21" s="260"/>
      <c r="E21" s="260"/>
      <c r="F21" s="260"/>
      <c r="G21" s="260"/>
      <c r="H21" s="260"/>
      <c r="I21" s="260"/>
      <c r="J21" s="260"/>
      <c r="K21" s="260"/>
      <c r="L21" s="260"/>
      <c r="M21" s="261"/>
      <c r="N21" s="129" t="s">
        <v>268</v>
      </c>
    </row>
    <row r="22" spans="2:17" s="69" customFormat="1" ht="43.9" customHeight="1" thickBot="1">
      <c r="B22" s="130" t="s">
        <v>143</v>
      </c>
      <c r="C22" s="262" t="s">
        <v>269</v>
      </c>
      <c r="D22" s="260"/>
      <c r="E22" s="260"/>
      <c r="F22" s="260"/>
      <c r="G22" s="260"/>
      <c r="H22" s="260"/>
      <c r="I22" s="260"/>
      <c r="J22" s="260"/>
      <c r="K22" s="260"/>
      <c r="L22" s="260"/>
      <c r="M22" s="261"/>
      <c r="N22" s="131" t="s">
        <v>270</v>
      </c>
      <c r="O22" s="132"/>
      <c r="P22" s="132"/>
      <c r="Q22" s="132"/>
    </row>
    <row r="23" spans="2:17" s="69" customFormat="1" ht="15.5" thickBot="1">
      <c r="B23" s="130"/>
      <c r="C23" s="262"/>
      <c r="D23" s="260"/>
      <c r="E23" s="260"/>
      <c r="F23" s="260"/>
      <c r="G23" s="260"/>
      <c r="H23" s="260"/>
      <c r="I23" s="260"/>
      <c r="J23" s="260"/>
      <c r="K23" s="260"/>
      <c r="L23" s="260"/>
      <c r="M23" s="261"/>
      <c r="N23" s="131"/>
    </row>
    <row r="24" spans="2:17" s="69" customFormat="1" ht="14"/>
    <row r="25" spans="2:17" s="69" customFormat="1" ht="14">
      <c r="B25" s="69" t="s">
        <v>271</v>
      </c>
    </row>
    <row r="26" spans="2:17" s="69" customFormat="1" ht="262.5" customHeight="1">
      <c r="B26" s="47" t="s">
        <v>272</v>
      </c>
      <c r="C26" s="256" t="s">
        <v>273</v>
      </c>
      <c r="D26" s="256"/>
      <c r="E26" s="256"/>
      <c r="F26" s="256"/>
      <c r="G26" s="256"/>
      <c r="H26" s="256"/>
      <c r="I26" s="256"/>
      <c r="J26" s="256"/>
    </row>
    <row r="29" spans="2:17">
      <c r="B29" s="26" t="s">
        <v>45</v>
      </c>
    </row>
    <row r="30" spans="2:17" ht="48" customHeight="1">
      <c r="C30" s="232" t="s">
        <v>46</v>
      </c>
      <c r="D30" s="232"/>
      <c r="E30" s="232"/>
      <c r="F30" s="232"/>
      <c r="G30" s="232"/>
      <c r="H30" s="232"/>
      <c r="I30" s="232"/>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5"/>
  <sheetViews>
    <sheetView zoomScaleNormal="100" workbookViewId="0">
      <selection activeCell="B7" sqref="B7"/>
    </sheetView>
  </sheetViews>
  <sheetFormatPr defaultColWidth="9.1796875" defaultRowHeight="14.5"/>
  <cols>
    <col min="1" max="1" width="7.1796875" style="23" customWidth="1"/>
    <col min="2" max="2" width="34.81640625" style="23" customWidth="1"/>
    <col min="3" max="3" width="15.81640625" style="24" customWidth="1"/>
    <col min="4" max="4" width="2.81640625" style="23" customWidth="1"/>
    <col min="5" max="5" width="9.1796875" style="23"/>
    <col min="6" max="6" width="44.81640625" style="23" customWidth="1"/>
    <col min="7" max="7" width="15.81640625" style="23" customWidth="1"/>
    <col min="8" max="16384" width="9.1796875" style="23"/>
  </cols>
  <sheetData>
    <row r="1" spans="1:8" s="47" customFormat="1" ht="14">
      <c r="A1" s="88" t="s">
        <v>274</v>
      </c>
      <c r="C1" s="58"/>
    </row>
    <row r="2" spans="1:8" s="47" customFormat="1" thickBot="1">
      <c r="C2" s="58"/>
    </row>
    <row r="3" spans="1:8" s="47" customFormat="1" thickBot="1">
      <c r="A3" s="263" t="s">
        <v>275</v>
      </c>
      <c r="B3" s="264"/>
      <c r="C3" s="264"/>
      <c r="E3" s="265" t="s">
        <v>276</v>
      </c>
      <c r="F3" s="266"/>
      <c r="G3" s="266"/>
    </row>
    <row r="4" spans="1:8" s="47" customFormat="1" ht="14">
      <c r="A4" s="133" t="s">
        <v>277</v>
      </c>
      <c r="B4" s="134" t="s">
        <v>222</v>
      </c>
      <c r="C4" s="135" t="s">
        <v>278</v>
      </c>
      <c r="E4" s="136" t="s">
        <v>277</v>
      </c>
      <c r="F4" s="137" t="s">
        <v>279</v>
      </c>
      <c r="G4" s="138" t="s">
        <v>278</v>
      </c>
    </row>
    <row r="5" spans="1:8" s="47" customFormat="1" ht="42">
      <c r="A5" s="139" t="s">
        <v>280</v>
      </c>
      <c r="B5" s="144" t="s">
        <v>281</v>
      </c>
      <c r="C5" s="140" t="s">
        <v>282</v>
      </c>
      <c r="E5" s="139" t="s">
        <v>283</v>
      </c>
      <c r="F5" s="141" t="s">
        <v>284</v>
      </c>
      <c r="G5" s="142" t="s">
        <v>282</v>
      </c>
    </row>
    <row r="6" spans="1:8" s="47" customFormat="1" ht="28">
      <c r="A6" s="38" t="s">
        <v>285</v>
      </c>
      <c r="B6" s="144" t="s">
        <v>286</v>
      </c>
      <c r="C6" s="140" t="s">
        <v>282</v>
      </c>
      <c r="E6" s="38" t="s">
        <v>287</v>
      </c>
      <c r="F6" s="141" t="s">
        <v>288</v>
      </c>
      <c r="G6" s="143" t="s">
        <v>282</v>
      </c>
    </row>
    <row r="7" spans="1:8" s="47" customFormat="1" ht="28">
      <c r="A7" s="38" t="s">
        <v>289</v>
      </c>
      <c r="B7" s="144" t="s">
        <v>290</v>
      </c>
      <c r="C7" s="140" t="s">
        <v>282</v>
      </c>
      <c r="E7" s="38" t="s">
        <v>291</v>
      </c>
      <c r="F7" s="141" t="s">
        <v>292</v>
      </c>
      <c r="G7" s="143" t="s">
        <v>282</v>
      </c>
    </row>
    <row r="8" spans="1:8" s="47" customFormat="1" ht="28">
      <c r="A8" s="38" t="s">
        <v>293</v>
      </c>
      <c r="B8" s="144" t="s">
        <v>294</v>
      </c>
      <c r="C8" s="140" t="s">
        <v>255</v>
      </c>
      <c r="E8" s="38" t="s">
        <v>295</v>
      </c>
      <c r="F8" s="141" t="s">
        <v>296</v>
      </c>
      <c r="G8" s="143" t="s">
        <v>282</v>
      </c>
    </row>
    <row r="9" spans="1:8" s="47" customFormat="1" ht="28">
      <c r="A9" s="38" t="s">
        <v>297</v>
      </c>
      <c r="B9" s="144" t="s">
        <v>298</v>
      </c>
      <c r="C9" s="140" t="s">
        <v>255</v>
      </c>
      <c r="E9" s="38" t="s">
        <v>299</v>
      </c>
      <c r="F9" s="141" t="s">
        <v>300</v>
      </c>
      <c r="G9" s="143" t="s">
        <v>282</v>
      </c>
    </row>
    <row r="10" spans="1:8" s="47" customFormat="1" ht="42">
      <c r="A10" s="145" t="s">
        <v>301</v>
      </c>
      <c r="B10" s="146" t="s">
        <v>302</v>
      </c>
      <c r="C10" s="147" t="s">
        <v>255</v>
      </c>
      <c r="E10" s="145" t="s">
        <v>303</v>
      </c>
      <c r="F10" s="148" t="s">
        <v>304</v>
      </c>
      <c r="G10" s="149" t="s">
        <v>255</v>
      </c>
    </row>
    <row r="11" spans="1:8" s="47" customFormat="1" ht="14">
      <c r="C11" s="58"/>
    </row>
    <row r="12" spans="1:8" s="47" customFormat="1" ht="14">
      <c r="C12" s="58"/>
    </row>
    <row r="13" spans="1:8" s="47" customFormat="1" ht="14">
      <c r="C13" s="58"/>
    </row>
    <row r="14" spans="1:8" s="47" customFormat="1" ht="14">
      <c r="A14" s="26" t="s">
        <v>45</v>
      </c>
      <c r="C14" s="58"/>
    </row>
    <row r="15" spans="1:8" s="47" customFormat="1" ht="32.25" customHeight="1">
      <c r="B15" s="232" t="s">
        <v>46</v>
      </c>
      <c r="C15" s="232"/>
      <c r="D15" s="232"/>
      <c r="E15" s="232"/>
      <c r="F15" s="232"/>
      <c r="G15" s="232"/>
      <c r="H15" s="232"/>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85" zoomScaleNormal="8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7265625" customWidth="1"/>
    <col min="6" max="6" width="16.26953125" customWidth="1"/>
    <col min="7" max="7" width="20.1796875" customWidth="1"/>
    <col min="8" max="8" width="20.26953125" customWidth="1"/>
  </cols>
  <sheetData>
    <row r="1" spans="1:8">
      <c r="A1" s="267" t="s">
        <v>305</v>
      </c>
      <c r="B1" s="267"/>
      <c r="C1" s="267"/>
      <c r="D1" s="267"/>
      <c r="E1" s="267"/>
      <c r="F1" s="267"/>
      <c r="G1" s="267"/>
      <c r="H1" s="267"/>
    </row>
    <row r="2" spans="1:8" ht="58">
      <c r="A2" s="11" t="s">
        <v>219</v>
      </c>
      <c r="B2" s="11" t="s">
        <v>220</v>
      </c>
      <c r="C2" s="11" t="s">
        <v>221</v>
      </c>
      <c r="D2" s="12" t="s">
        <v>222</v>
      </c>
      <c r="E2" s="20" t="s">
        <v>306</v>
      </c>
      <c r="F2" s="13" t="s">
        <v>307</v>
      </c>
      <c r="G2" s="13" t="s">
        <v>308</v>
      </c>
      <c r="H2" s="13" t="s">
        <v>309</v>
      </c>
    </row>
    <row r="3" spans="1:8" s="18" customFormat="1" ht="48">
      <c r="A3" s="14" t="s">
        <v>310</v>
      </c>
      <c r="B3" s="15" t="s">
        <v>229</v>
      </c>
      <c r="C3" s="15" t="s">
        <v>230</v>
      </c>
      <c r="D3" s="16" t="s">
        <v>280</v>
      </c>
      <c r="E3" s="21" t="s">
        <v>311</v>
      </c>
      <c r="F3" s="17" t="s">
        <v>254</v>
      </c>
      <c r="G3" s="17" t="s">
        <v>254</v>
      </c>
      <c r="H3" s="19" t="s">
        <v>254</v>
      </c>
    </row>
    <row r="4" spans="1:8">
      <c r="A4" s="1"/>
      <c r="B4" s="1"/>
      <c r="C4" s="1"/>
      <c r="D4" s="1"/>
      <c r="E4" s="22"/>
      <c r="F4" s="1"/>
      <c r="G4" s="1"/>
      <c r="H4" s="1"/>
    </row>
    <row r="5" spans="1:8">
      <c r="A5" s="1"/>
      <c r="B5" s="1"/>
      <c r="C5" s="1"/>
      <c r="D5" s="1"/>
      <c r="E5" s="22"/>
      <c r="F5" s="1"/>
      <c r="G5" s="1"/>
      <c r="H5" s="1"/>
    </row>
    <row r="6" spans="1:8">
      <c r="A6" s="1"/>
      <c r="B6" s="1"/>
      <c r="C6" s="1"/>
      <c r="D6" s="1"/>
      <c r="E6" s="22"/>
      <c r="F6" s="1"/>
      <c r="G6" s="1"/>
      <c r="H6" s="1"/>
    </row>
    <row r="7" spans="1:8">
      <c r="A7" s="1"/>
      <c r="B7" s="1"/>
      <c r="C7" s="1"/>
      <c r="D7" s="1"/>
      <c r="E7" s="22"/>
      <c r="F7" s="1"/>
      <c r="G7" s="1"/>
      <c r="H7" s="1"/>
    </row>
    <row r="8" spans="1:8">
      <c r="A8" s="1"/>
      <c r="B8" s="1"/>
      <c r="C8" s="1"/>
      <c r="D8" s="1"/>
      <c r="E8" s="22"/>
      <c r="F8" s="1"/>
      <c r="G8" s="1"/>
      <c r="H8" s="1"/>
    </row>
    <row r="9" spans="1:8">
      <c r="A9" s="1"/>
      <c r="B9" s="1"/>
      <c r="C9" s="1"/>
      <c r="D9" s="1"/>
      <c r="E9" s="22"/>
      <c r="F9" s="1"/>
      <c r="G9" s="1"/>
      <c r="H9" s="1"/>
    </row>
    <row r="10" spans="1:8">
      <c r="A10" s="1"/>
      <c r="B10" s="1"/>
      <c r="C10" s="1"/>
      <c r="D10" s="1"/>
      <c r="E10" s="22"/>
      <c r="F10" s="1"/>
      <c r="G10" s="1"/>
      <c r="H10" s="1"/>
    </row>
  </sheetData>
  <mergeCells count="1">
    <mergeCell ref="A1:H1"/>
  </mergeCells>
  <dataValidations count="2">
    <dataValidation type="list" allowBlank="1" showInputMessage="1" showErrorMessage="1" sqref="F3:H3" xr:uid="{00000000-0002-0000-0700-000000000000}">
      <formula1>"Very High, High, Moderate, Low, Very Low"</formula1>
    </dataValidation>
    <dataValidation type="list" allowBlank="1" showInputMessage="1" showErrorMessage="1" sqref="E3" xr:uid="{00000000-0002-0000-0700-000001000000}">
      <formula1>"Confirmed, Expected, Anticipated, Predicted, Possible, 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H13" sqref="H13"/>
    </sheetView>
  </sheetViews>
  <sheetFormatPr defaultColWidth="9.1796875" defaultRowHeight="14.5"/>
  <cols>
    <col min="1" max="1" width="27.7265625" customWidth="1"/>
    <col min="2" max="2" width="102.1796875" customWidth="1"/>
  </cols>
  <sheetData>
    <row r="1" spans="1:2" ht="19" thickBot="1">
      <c r="A1" s="2"/>
      <c r="B1" s="3"/>
    </row>
    <row r="2" spans="1:2" ht="19" thickBot="1">
      <c r="A2" s="4" t="s">
        <v>312</v>
      </c>
      <c r="B2" s="5" t="s">
        <v>313</v>
      </c>
    </row>
    <row r="3" spans="1:2" ht="19" thickBot="1">
      <c r="A3" s="6"/>
      <c r="B3" s="7"/>
    </row>
    <row r="4" spans="1:2">
      <c r="A4" s="268"/>
      <c r="B4" s="8"/>
    </row>
    <row r="5" spans="1:2">
      <c r="A5" s="269"/>
      <c r="B5" s="9"/>
    </row>
    <row r="6" spans="1:2">
      <c r="A6" s="269"/>
      <c r="B6" s="9"/>
    </row>
    <row r="7" spans="1:2" ht="15" thickBot="1">
      <c r="A7" s="270"/>
      <c r="B7" s="10"/>
    </row>
    <row r="8" spans="1:2" ht="19" thickBot="1">
      <c r="A8" s="2"/>
      <c r="B8" s="3"/>
    </row>
    <row r="9" spans="1:2">
      <c r="A9" s="268"/>
      <c r="B9" s="8"/>
    </row>
    <row r="10" spans="1:2">
      <c r="A10" s="269"/>
      <c r="B10" s="9"/>
    </row>
    <row r="11" spans="1:2">
      <c r="A11" s="269"/>
      <c r="B11" s="9"/>
    </row>
    <row r="12" spans="1:2">
      <c r="A12" s="269"/>
      <c r="B12" s="9"/>
    </row>
    <row r="13" spans="1:2" ht="15" thickBot="1">
      <c r="A13" s="270"/>
      <c r="B13" s="10"/>
    </row>
  </sheetData>
  <mergeCells count="2">
    <mergeCell ref="A4:A7"/>
    <mergeCell ref="A9:A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D85E3F0A47C24A9DC69184EC08E74C" ma:contentTypeVersion="13" ma:contentTypeDescription="Create a new document." ma:contentTypeScope="" ma:versionID="97a50547115b2d16437fc42d2d233fd6">
  <xsd:schema xmlns:xsd="http://www.w3.org/2001/XMLSchema" xmlns:xs="http://www.w3.org/2001/XMLSchema" xmlns:p="http://schemas.microsoft.com/office/2006/metadata/properties" xmlns:ns3="58b2451b-b74e-458e-9a49-87527663aea3" xmlns:ns4="e01ffcf0-3b2d-4b85-8e6a-2306ae31d5c3" targetNamespace="http://schemas.microsoft.com/office/2006/metadata/properties" ma:root="true" ma:fieldsID="b28307723dd0b787454fede7d6a08189" ns3:_="" ns4:_="">
    <xsd:import namespace="58b2451b-b74e-458e-9a49-87527663aea3"/>
    <xsd:import namespace="e01ffcf0-3b2d-4b85-8e6a-2306ae31d5c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b2451b-b74e-458e-9a49-87527663ae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01ffcf0-3b2d-4b85-8e6a-2306ae31d5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33AF7F02-150C-44AA-ACFE-3054112CF8E2}">
  <ds:schemaRefs>
    <ds:schemaRef ds:uri="http://purl.org/dc/terms/"/>
    <ds:schemaRef ds:uri="e01ffcf0-3b2d-4b85-8e6a-2306ae31d5c3"/>
    <ds:schemaRef ds:uri="http://schemas.microsoft.com/office/2006/metadata/properties"/>
    <ds:schemaRef ds:uri="http://purl.org/dc/dcmitype/"/>
    <ds:schemaRef ds:uri="58b2451b-b74e-458e-9a49-87527663aea3"/>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A7D7C8A2-DF44-4648-9B4B-383241C339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b2451b-b74e-458e-9a49-87527663aea3"/>
    <ds:schemaRef ds:uri="e01ffcf0-3b2d-4b85-8e6a-2306ae31d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
  <dcterms:created xsi:type="dcterms:W3CDTF">2017-03-06T20:58:36Z</dcterms:created>
  <dcterms:modified xsi:type="dcterms:W3CDTF">2022-02-25T14:06:21Z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0x010100B8D85E3F0A47C24A9DC69184EC08E74C</vt:lpwstr>
  </property>
  <property fmtid="{D5CDD505-2E9C-101B-9397-08002B2CF9AE}" pid="3" name="MSIP_Label_40993bd6-1ede-4830-9dba-3224251d6855_Enabled">
    <vt:lpwstr>true</vt:lpwstr>
  </property>
  <property fmtid="{D5CDD505-2E9C-101B-9397-08002B2CF9AE}" pid="4" name="MSIP_Label_40993bd6-1ede-4830-9dba-3224251d6855_SetDate">
    <vt:lpwstr>2022-02-25T03:36:14Z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ed1a1f04-ce6e-4252-92c7-c866f78309e5</vt:lpwstr>
  </property>
  <property fmtid="{D5CDD505-2E9C-101B-9397-08002B2CF9AE}" pid="9" name="MSIP_Label_40993bd6-1ede-4830-9dba-3224251d6855_ContentBits">
    <vt:lpwstr>0</vt:lpwstr>
  </property>
</Properties>
</file>