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showInkAnnotation="0"/>
  <mc:AlternateContent xmlns:mc="http://schemas.openxmlformats.org/markup-compatibility/2006">
    <mc:Choice Requires="x15">
      <x15ac:absPath xmlns:x15ac="http://schemas.microsoft.com/office/spreadsheetml/2010/11/ac" url="D:\Stryker\knee balancer\PSRT\"/>
    </mc:Choice>
  </mc:AlternateContent>
  <xr:revisionPtr revIDLastSave="0" documentId="13_ncr:1_{7E28295B-7890-45A3-B09F-535A7DCB4946}" xr6:coauthVersionLast="47" xr6:coauthVersionMax="47" xr10:uidLastSave="{00000000-0000-0000-0000-000000000000}"/>
  <bookViews>
    <workbookView xWindow="-110" yWindow="-110" windowWidth="19420" windowHeight="10420" tabRatio="891" activeTab="3" xr2:uid="{00000000-000D-0000-FFFF-FFFF00000000}"/>
  </bookViews>
  <sheets>
    <sheet name="System &amp; Asset Identification" sheetId="10" r:id="rId1"/>
    <sheet name="Vulnerability Identification" sheetId="11" r:id="rId2"/>
    <sheet name="Threat Assessment" sheetId="16" r:id="rId3"/>
    <sheet name="Security Risk Assess" sheetId="12" r:id="rId4"/>
    <sheet name="Summary" sheetId="21" r:id="rId5"/>
    <sheet name="Reference - CVSSv3.0" sheetId="19" r:id="rId6"/>
    <sheet name="Reference - Threat Source" sheetId="15" r:id="rId7"/>
    <sheet name="OLD - Threat Assessment" sheetId="14" state="hidden" r:id="rId8"/>
    <sheet name="OLD - Risk Controls" sheetId="13" state="hidden" r:id="rId9"/>
  </sheets>
  <definedNames>
    <definedName name="AffectedAsset">#REF!</definedName>
    <definedName name="Attack" localSheetId="5">'Reference - CVSSv3.0'!$B$6:$B$9</definedName>
    <definedName name="CIA" localSheetId="5">'Reference - CVSSv3.0'!$B$15:$B$17</definedName>
    <definedName name="Comp" localSheetId="5">'Reference - CVSSv3.0'!$E$6:$E$7</definedName>
    <definedName name="Priv" localSheetId="5">'Reference - CVSSv3.0'!$H$6:$H$8</definedName>
    <definedName name="Scope" localSheetId="5">'Reference - CVSSv3.0'!$B$21:$B$22</definedName>
    <definedName name="Ux" localSheetId="5">'Reference - CVSSv3.0'!$L$6:$L$7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0" i="12" l="1"/>
  <c r="E40" i="12"/>
  <c r="G40" i="12"/>
  <c r="R40" i="12"/>
  <c r="S40" i="12"/>
  <c r="T40" i="12" s="1"/>
  <c r="W40" i="12"/>
  <c r="AK40" i="12"/>
  <c r="AL40" i="12"/>
  <c r="AM40" i="12"/>
  <c r="AN40" i="12" s="1"/>
  <c r="C39" i="12"/>
  <c r="E39" i="12"/>
  <c r="G39" i="12"/>
  <c r="R39" i="12"/>
  <c r="S39" i="12"/>
  <c r="T39" i="12" s="1"/>
  <c r="W39" i="12"/>
  <c r="AK39" i="12"/>
  <c r="AL39" i="12"/>
  <c r="AM39" i="12"/>
  <c r="AN39" i="12" s="1"/>
  <c r="U39" i="12" l="1"/>
  <c r="U40" i="12"/>
  <c r="X40" i="12"/>
  <c r="Y40" i="12" s="1"/>
  <c r="AO40" i="12"/>
  <c r="AP40" i="12" s="1"/>
  <c r="AO39" i="12"/>
  <c r="AP39" i="12" s="1"/>
  <c r="X39" i="12"/>
  <c r="Y39" i="12" s="1"/>
  <c r="C30" i="12"/>
  <c r="C16" i="12"/>
  <c r="E16" i="12"/>
  <c r="G16" i="12"/>
  <c r="R16" i="12"/>
  <c r="S16" i="12"/>
  <c r="T16" i="12" s="1"/>
  <c r="W16" i="12"/>
  <c r="AK16" i="12"/>
  <c r="AL16" i="12"/>
  <c r="AM16" i="12"/>
  <c r="AN16" i="12" s="1"/>
  <c r="C17" i="12"/>
  <c r="E17" i="12"/>
  <c r="G17" i="12"/>
  <c r="R17" i="12"/>
  <c r="S17" i="12"/>
  <c r="T17" i="12" s="1"/>
  <c r="W17" i="12"/>
  <c r="AK17" i="12"/>
  <c r="AL17" i="12"/>
  <c r="AM17" i="12"/>
  <c r="AN17" i="12" s="1"/>
  <c r="C18" i="12"/>
  <c r="E18" i="12"/>
  <c r="G18" i="12"/>
  <c r="R18" i="12"/>
  <c r="S18" i="12"/>
  <c r="T18" i="12" s="1"/>
  <c r="W18" i="12"/>
  <c r="AK18" i="12"/>
  <c r="AL18" i="12"/>
  <c r="AM18" i="12"/>
  <c r="AN18" i="12" s="1"/>
  <c r="C15" i="12"/>
  <c r="E15" i="12"/>
  <c r="G15" i="12"/>
  <c r="R15" i="12"/>
  <c r="S15" i="12"/>
  <c r="T15" i="12" s="1"/>
  <c r="W15" i="12"/>
  <c r="AK15" i="12"/>
  <c r="AL15" i="12"/>
  <c r="AM15" i="12"/>
  <c r="AN15" i="12" s="1"/>
  <c r="C38" i="12"/>
  <c r="E38" i="12"/>
  <c r="G38" i="12"/>
  <c r="R38" i="12"/>
  <c r="S38" i="12"/>
  <c r="T38" i="12" s="1"/>
  <c r="W38" i="12"/>
  <c r="AK38" i="12"/>
  <c r="AL38" i="12"/>
  <c r="AM38" i="12"/>
  <c r="AN38" i="12" s="1"/>
  <c r="C37" i="12"/>
  <c r="E37" i="12"/>
  <c r="G37" i="12"/>
  <c r="R37" i="12"/>
  <c r="S37" i="12"/>
  <c r="T37" i="12" s="1"/>
  <c r="W37" i="12"/>
  <c r="AK37" i="12"/>
  <c r="AL37" i="12"/>
  <c r="AM37" i="12"/>
  <c r="AN37" i="12" s="1"/>
  <c r="C36" i="12"/>
  <c r="E36" i="12"/>
  <c r="G36" i="12"/>
  <c r="R36" i="12"/>
  <c r="S36" i="12"/>
  <c r="T36" i="12" s="1"/>
  <c r="W36" i="12"/>
  <c r="AK36" i="12"/>
  <c r="AL36" i="12"/>
  <c r="AM36" i="12"/>
  <c r="AN36" i="12" s="1"/>
  <c r="C35" i="12"/>
  <c r="E35" i="12"/>
  <c r="G35" i="12"/>
  <c r="R35" i="12"/>
  <c r="S35" i="12"/>
  <c r="T35" i="12" s="1"/>
  <c r="W35" i="12"/>
  <c r="AK35" i="12"/>
  <c r="AL35" i="12"/>
  <c r="AM35" i="12"/>
  <c r="AN35" i="12" s="1"/>
  <c r="C34" i="12"/>
  <c r="E34" i="12"/>
  <c r="G34" i="12"/>
  <c r="R34" i="12"/>
  <c r="S34" i="12"/>
  <c r="T34" i="12" s="1"/>
  <c r="W34" i="12"/>
  <c r="AK34" i="12"/>
  <c r="AL34" i="12"/>
  <c r="AM34" i="12"/>
  <c r="AN34" i="12" s="1"/>
  <c r="C23" i="12"/>
  <c r="E23" i="12"/>
  <c r="G23" i="12"/>
  <c r="R23" i="12"/>
  <c r="S23" i="12"/>
  <c r="T23" i="12" s="1"/>
  <c r="W23" i="12"/>
  <c r="AK23" i="12"/>
  <c r="AL23" i="12"/>
  <c r="AM23" i="12"/>
  <c r="AN23" i="12" s="1"/>
  <c r="U17" i="12" l="1"/>
  <c r="X16" i="12"/>
  <c r="Y16" i="12" s="1"/>
  <c r="U38" i="12"/>
  <c r="U37" i="12"/>
  <c r="X36" i="12"/>
  <c r="Y36" i="12" s="1"/>
  <c r="X35" i="12"/>
  <c r="Y35" i="12" s="1"/>
  <c r="X34" i="12"/>
  <c r="Y34" i="12" s="1"/>
  <c r="X23" i="12"/>
  <c r="Y23" i="12" s="1"/>
  <c r="U18" i="12"/>
  <c r="U15" i="12"/>
  <c r="X17" i="12"/>
  <c r="Y17" i="12" s="1"/>
  <c r="AO16" i="12"/>
  <c r="AP16" i="12" s="1"/>
  <c r="X15" i="12"/>
  <c r="Y15" i="12" s="1"/>
  <c r="U16" i="12"/>
  <c r="X18" i="12"/>
  <c r="Y18" i="12" s="1"/>
  <c r="AO17" i="12"/>
  <c r="AP17" i="12" s="1"/>
  <c r="AO18" i="12"/>
  <c r="AP18" i="12" s="1"/>
  <c r="AO15" i="12"/>
  <c r="AP15" i="12" s="1"/>
  <c r="AO36" i="12"/>
  <c r="AP36" i="12" s="1"/>
  <c r="U36" i="12"/>
  <c r="U34" i="12"/>
  <c r="X37" i="12"/>
  <c r="Y37" i="12" s="1"/>
  <c r="AO35" i="12"/>
  <c r="AP35" i="12" s="1"/>
  <c r="X38" i="12"/>
  <c r="Y38" i="12" s="1"/>
  <c r="U35" i="12"/>
  <c r="AO38" i="12"/>
  <c r="AP38" i="12" s="1"/>
  <c r="AO34" i="12"/>
  <c r="AP34" i="12" s="1"/>
  <c r="AO37" i="12"/>
  <c r="AP37" i="12" s="1"/>
  <c r="U23" i="12"/>
  <c r="AO23" i="12"/>
  <c r="AP23" i="12" s="1"/>
  <c r="C10" i="12"/>
  <c r="E10" i="12"/>
  <c r="G10" i="12"/>
  <c r="R10" i="12"/>
  <c r="S10" i="12"/>
  <c r="T10" i="12" s="1"/>
  <c r="W10" i="12"/>
  <c r="AK10" i="12"/>
  <c r="AL10" i="12"/>
  <c r="AM10" i="12"/>
  <c r="AO10" i="12" s="1"/>
  <c r="AP10" i="12" s="1"/>
  <c r="C11" i="12"/>
  <c r="E11" i="12"/>
  <c r="G11" i="12"/>
  <c r="R11" i="12"/>
  <c r="S11" i="12"/>
  <c r="T11" i="12" s="1"/>
  <c r="W11" i="12"/>
  <c r="AK11" i="12"/>
  <c r="AL11" i="12"/>
  <c r="AM11" i="12"/>
  <c r="AO11" i="12" s="1"/>
  <c r="AP11" i="12" s="1"/>
  <c r="C12" i="12"/>
  <c r="E12" i="12"/>
  <c r="G12" i="12"/>
  <c r="R12" i="12"/>
  <c r="S12" i="12"/>
  <c r="T12" i="12" s="1"/>
  <c r="W12" i="12"/>
  <c r="AK12" i="12"/>
  <c r="AL12" i="12"/>
  <c r="AM12" i="12"/>
  <c r="AN12" i="12" s="1"/>
  <c r="C9" i="12"/>
  <c r="E9" i="12"/>
  <c r="G9" i="12"/>
  <c r="R9" i="12"/>
  <c r="S9" i="12"/>
  <c r="T9" i="12" s="1"/>
  <c r="W9" i="12"/>
  <c r="AK9" i="12"/>
  <c r="AL9" i="12"/>
  <c r="AM9" i="12"/>
  <c r="AO9" i="12" s="1"/>
  <c r="AP9" i="12" s="1"/>
  <c r="C6" i="12"/>
  <c r="E6" i="12"/>
  <c r="G6" i="12"/>
  <c r="R6" i="12"/>
  <c r="S6" i="12"/>
  <c r="T6" i="12" s="1"/>
  <c r="W6" i="12"/>
  <c r="AK6" i="12"/>
  <c r="AL6" i="12"/>
  <c r="AM6" i="12"/>
  <c r="AO6" i="12" s="1"/>
  <c r="AP6" i="12" s="1"/>
  <c r="C7" i="12"/>
  <c r="E7" i="12"/>
  <c r="G7" i="12"/>
  <c r="R7" i="12"/>
  <c r="S7" i="12"/>
  <c r="T7" i="12" s="1"/>
  <c r="W7" i="12"/>
  <c r="AK7" i="12"/>
  <c r="AL7" i="12"/>
  <c r="AM7" i="12"/>
  <c r="AN7" i="12" s="1"/>
  <c r="C5" i="12"/>
  <c r="C22" i="12"/>
  <c r="E22" i="12"/>
  <c r="G22" i="12"/>
  <c r="R22" i="12"/>
  <c r="S22" i="12"/>
  <c r="T22" i="12" s="1"/>
  <c r="W22" i="12"/>
  <c r="AK22" i="12"/>
  <c r="AL22" i="12"/>
  <c r="AM22" i="12"/>
  <c r="AN22" i="12" s="1"/>
  <c r="C21" i="12"/>
  <c r="E21" i="12"/>
  <c r="G21" i="12"/>
  <c r="R21" i="12"/>
  <c r="S21" i="12"/>
  <c r="T21" i="12" s="1"/>
  <c r="W21" i="12"/>
  <c r="AK21" i="12"/>
  <c r="AL21" i="12"/>
  <c r="AM21" i="12"/>
  <c r="AN21" i="12" s="1"/>
  <c r="C33" i="12"/>
  <c r="E33" i="12"/>
  <c r="G33" i="12"/>
  <c r="R33" i="12"/>
  <c r="S33" i="12"/>
  <c r="T33" i="12" s="1"/>
  <c r="W33" i="12"/>
  <c r="AK33" i="12"/>
  <c r="AL33" i="12"/>
  <c r="AM33" i="12"/>
  <c r="AN33" i="12" s="1"/>
  <c r="C32" i="12"/>
  <c r="E32" i="12"/>
  <c r="G32" i="12"/>
  <c r="R32" i="12"/>
  <c r="S32" i="12"/>
  <c r="T32" i="12" s="1"/>
  <c r="W32" i="12"/>
  <c r="AK32" i="12"/>
  <c r="AL32" i="12"/>
  <c r="AM32" i="12"/>
  <c r="AN32" i="12" s="1"/>
  <c r="C31" i="12"/>
  <c r="E31" i="12"/>
  <c r="G31" i="12"/>
  <c r="R31" i="12"/>
  <c r="S31" i="12"/>
  <c r="T31" i="12" s="1"/>
  <c r="W31" i="12"/>
  <c r="AK31" i="12"/>
  <c r="AL31" i="12"/>
  <c r="AM31" i="12"/>
  <c r="AN31" i="12" s="1"/>
  <c r="E30" i="12"/>
  <c r="G30" i="12"/>
  <c r="R30" i="12"/>
  <c r="S30" i="12"/>
  <c r="T30" i="12" s="1"/>
  <c r="W30" i="12"/>
  <c r="AK30" i="12"/>
  <c r="AL30" i="12"/>
  <c r="AM30" i="12"/>
  <c r="AN30" i="12" s="1"/>
  <c r="C28" i="12"/>
  <c r="E28" i="12"/>
  <c r="G28" i="12"/>
  <c r="R28" i="12"/>
  <c r="S28" i="12"/>
  <c r="T28" i="12" s="1"/>
  <c r="W28" i="12"/>
  <c r="AK28" i="12"/>
  <c r="AL28" i="12"/>
  <c r="AM28" i="12"/>
  <c r="AN28" i="12" s="1"/>
  <c r="C29" i="12"/>
  <c r="E29" i="12"/>
  <c r="G29" i="12"/>
  <c r="R29" i="12"/>
  <c r="S29" i="12"/>
  <c r="T29" i="12" s="1"/>
  <c r="W29" i="12"/>
  <c r="AK29" i="12"/>
  <c r="AL29" i="12"/>
  <c r="AM29" i="12"/>
  <c r="AN29" i="12" s="1"/>
  <c r="C27" i="12"/>
  <c r="E27" i="12"/>
  <c r="G27" i="12"/>
  <c r="R27" i="12"/>
  <c r="S27" i="12"/>
  <c r="T27" i="12" s="1"/>
  <c r="W27" i="12"/>
  <c r="AK27" i="12"/>
  <c r="AL27" i="12"/>
  <c r="AM27" i="12"/>
  <c r="AN27" i="12" s="1"/>
  <c r="C26" i="12"/>
  <c r="E26" i="12"/>
  <c r="G26" i="12"/>
  <c r="R26" i="12"/>
  <c r="S26" i="12"/>
  <c r="T26" i="12" s="1"/>
  <c r="W26" i="12"/>
  <c r="AK26" i="12"/>
  <c r="AL26" i="12"/>
  <c r="AM26" i="12"/>
  <c r="AN26" i="12" s="1"/>
  <c r="C25" i="12"/>
  <c r="E25" i="12"/>
  <c r="G25" i="12"/>
  <c r="R25" i="12"/>
  <c r="S25" i="12"/>
  <c r="T25" i="12" s="1"/>
  <c r="W25" i="12"/>
  <c r="AK25" i="12"/>
  <c r="AL25" i="12"/>
  <c r="AM25" i="12"/>
  <c r="AN25" i="12" s="1"/>
  <c r="C24" i="12"/>
  <c r="E24" i="12"/>
  <c r="G24" i="12"/>
  <c r="R24" i="12"/>
  <c r="S24" i="12"/>
  <c r="T24" i="12" s="1"/>
  <c r="W24" i="12"/>
  <c r="AK24" i="12"/>
  <c r="AL24" i="12"/>
  <c r="AM24" i="12"/>
  <c r="AN24" i="12" s="1"/>
  <c r="C20" i="12"/>
  <c r="E20" i="12"/>
  <c r="G20" i="12"/>
  <c r="R20" i="12"/>
  <c r="S20" i="12"/>
  <c r="T20" i="12" s="1"/>
  <c r="W20" i="12"/>
  <c r="AK20" i="12"/>
  <c r="AL20" i="12"/>
  <c r="AM20" i="12"/>
  <c r="AO20" i="12" s="1"/>
  <c r="AP20" i="12" s="1"/>
  <c r="C14" i="12"/>
  <c r="E14" i="12"/>
  <c r="G14" i="12"/>
  <c r="R14" i="12"/>
  <c r="S14" i="12"/>
  <c r="T14" i="12" s="1"/>
  <c r="W14" i="12"/>
  <c r="AK14" i="12"/>
  <c r="AL14" i="12"/>
  <c r="AM14" i="12"/>
  <c r="AN14" i="12" s="1"/>
  <c r="C19" i="12"/>
  <c r="E19" i="12"/>
  <c r="G19" i="12"/>
  <c r="R19" i="12"/>
  <c r="S19" i="12"/>
  <c r="T19" i="12" s="1"/>
  <c r="W19" i="12"/>
  <c r="AK19" i="12"/>
  <c r="AL19" i="12"/>
  <c r="AM19" i="12"/>
  <c r="AO19" i="12" s="1"/>
  <c r="AP19" i="12" s="1"/>
  <c r="C13" i="12"/>
  <c r="E13" i="12"/>
  <c r="G13" i="12"/>
  <c r="R13" i="12"/>
  <c r="S13" i="12"/>
  <c r="T13" i="12" s="1"/>
  <c r="W13" i="12"/>
  <c r="AK13" i="12"/>
  <c r="AL13" i="12"/>
  <c r="AM13" i="12"/>
  <c r="AN13" i="12" s="1"/>
  <c r="C8" i="12"/>
  <c r="E8" i="12"/>
  <c r="G8" i="12"/>
  <c r="R8" i="12"/>
  <c r="S8" i="12"/>
  <c r="T8" i="12" s="1"/>
  <c r="W8" i="12"/>
  <c r="AK8" i="12"/>
  <c r="AL8" i="12"/>
  <c r="AM8" i="12"/>
  <c r="AN8" i="12" s="1"/>
  <c r="U12" i="12" l="1"/>
  <c r="X11" i="12"/>
  <c r="Y11" i="12" s="1"/>
  <c r="X10" i="12"/>
  <c r="Y10" i="12" s="1"/>
  <c r="X9" i="12"/>
  <c r="Y9" i="12" s="1"/>
  <c r="U7" i="12"/>
  <c r="X6" i="12"/>
  <c r="Y6" i="12" s="1"/>
  <c r="AN10" i="12"/>
  <c r="AN11" i="12"/>
  <c r="U10" i="12"/>
  <c r="X12" i="12"/>
  <c r="Y12" i="12" s="1"/>
  <c r="U11" i="12"/>
  <c r="AO12" i="12"/>
  <c r="AP12" i="12" s="1"/>
  <c r="AN9" i="12"/>
  <c r="U9" i="12"/>
  <c r="AN6" i="12"/>
  <c r="X7" i="12"/>
  <c r="Y7" i="12" s="1"/>
  <c r="U6" i="12"/>
  <c r="AO7" i="12"/>
  <c r="AP7" i="12" s="1"/>
  <c r="U26" i="12"/>
  <c r="U33" i="12"/>
  <c r="U32" i="12"/>
  <c r="X30" i="12"/>
  <c r="Y30" i="12" s="1"/>
  <c r="U31" i="12"/>
  <c r="X29" i="12"/>
  <c r="Y29" i="12" s="1"/>
  <c r="X28" i="12"/>
  <c r="Y28" i="12" s="1"/>
  <c r="U27" i="12"/>
  <c r="U25" i="12"/>
  <c r="U24" i="12"/>
  <c r="X22" i="12"/>
  <c r="Y22" i="12" s="1"/>
  <c r="U21" i="12"/>
  <c r="U20" i="12"/>
  <c r="U19" i="12"/>
  <c r="U14" i="12"/>
  <c r="U13" i="12"/>
  <c r="U8" i="12"/>
  <c r="X21" i="12"/>
  <c r="Y21" i="12" s="1"/>
  <c r="U22" i="12"/>
  <c r="AO22" i="12"/>
  <c r="AP22" i="12" s="1"/>
  <c r="AO21" i="12"/>
  <c r="AP21" i="12" s="1"/>
  <c r="X33" i="12"/>
  <c r="Y33" i="12" s="1"/>
  <c r="X32" i="12"/>
  <c r="Y32" i="12" s="1"/>
  <c r="AO33" i="12"/>
  <c r="AP33" i="12" s="1"/>
  <c r="AO32" i="12"/>
  <c r="AP32" i="12" s="1"/>
  <c r="X31" i="12"/>
  <c r="Y31" i="12" s="1"/>
  <c r="AO30" i="12"/>
  <c r="AP30" i="12" s="1"/>
  <c r="AO31" i="12"/>
  <c r="AP31" i="12" s="1"/>
  <c r="U30" i="12"/>
  <c r="U28" i="12"/>
  <c r="AO28" i="12"/>
  <c r="AP28" i="12" s="1"/>
  <c r="U29" i="12"/>
  <c r="X27" i="12"/>
  <c r="Y27" i="12" s="1"/>
  <c r="AO29" i="12"/>
  <c r="AP29" i="12" s="1"/>
  <c r="X26" i="12"/>
  <c r="Y26" i="12" s="1"/>
  <c r="X24" i="12"/>
  <c r="Y24" i="12" s="1"/>
  <c r="AO27" i="12"/>
  <c r="AP27" i="12" s="1"/>
  <c r="X25" i="12"/>
  <c r="Y25" i="12" s="1"/>
  <c r="AO26" i="12"/>
  <c r="AP26" i="12" s="1"/>
  <c r="AO25" i="12"/>
  <c r="AP25" i="12" s="1"/>
  <c r="AO24" i="12"/>
  <c r="AP24" i="12" s="1"/>
  <c r="AN20" i="12"/>
  <c r="X13" i="12"/>
  <c r="Y13" i="12" s="1"/>
  <c r="AN19" i="12"/>
  <c r="AO14" i="12"/>
  <c r="AP14" i="12" s="1"/>
  <c r="X20" i="12"/>
  <c r="Y20" i="12" s="1"/>
  <c r="X14" i="12"/>
  <c r="Y14" i="12" s="1"/>
  <c r="X19" i="12"/>
  <c r="Y19" i="12" s="1"/>
  <c r="AO13" i="12"/>
  <c r="AP13" i="12" s="1"/>
  <c r="X8" i="12"/>
  <c r="Y8" i="12" s="1"/>
  <c r="AO8" i="12"/>
  <c r="AP8" i="12" s="1"/>
  <c r="E5" i="12"/>
  <c r="G5" i="12"/>
  <c r="R5" i="12"/>
  <c r="S5" i="12"/>
  <c r="T5" i="12" s="1"/>
  <c r="W5" i="12"/>
  <c r="AK5" i="12"/>
  <c r="AL5" i="12"/>
  <c r="AM5" i="12"/>
  <c r="AN5" i="12" s="1"/>
  <c r="U5" i="12" l="1"/>
  <c r="X5" i="12"/>
  <c r="Y5" i="12" s="1"/>
  <c r="AO5" i="12"/>
  <c r="AP5" i="12" s="1"/>
  <c r="M9" i="21" l="1"/>
  <c r="K9" i="21"/>
  <c r="I9" i="21"/>
  <c r="H9" i="21"/>
  <c r="F9" i="21"/>
  <c r="D9" i="21"/>
  <c r="B9" i="21"/>
  <c r="A9" i="21"/>
  <c r="M8" i="21"/>
  <c r="K8" i="21"/>
  <c r="I8" i="21"/>
  <c r="H8" i="21"/>
  <c r="F8" i="21"/>
  <c r="D8" i="21"/>
  <c r="B8" i="21"/>
  <c r="A8" i="21"/>
  <c r="M7" i="21"/>
  <c r="K7" i="21"/>
  <c r="I7" i="21"/>
  <c r="H7" i="21"/>
  <c r="F7" i="21"/>
  <c r="D7" i="21"/>
  <c r="B7" i="21"/>
  <c r="A7" i="21"/>
  <c r="M6" i="21"/>
  <c r="K6" i="21"/>
  <c r="I6" i="21"/>
  <c r="H6" i="21"/>
  <c r="F6" i="21"/>
  <c r="D6" i="21"/>
  <c r="B6" i="21"/>
  <c r="A6" i="21"/>
  <c r="M5" i="21"/>
  <c r="K5" i="21"/>
  <c r="I5" i="21"/>
  <c r="H5" i="21"/>
  <c r="F5" i="21"/>
  <c r="D5" i="21"/>
  <c r="B5" i="21"/>
  <c r="A5" i="21"/>
  <c r="E6" i="21" l="1"/>
  <c r="C5" i="21"/>
  <c r="E9" i="21" l="1"/>
  <c r="E8" i="21"/>
  <c r="C9" i="21"/>
  <c r="C8" i="21"/>
  <c r="C7" i="21"/>
  <c r="C6" i="21"/>
  <c r="E7" i="21"/>
  <c r="E5" i="21"/>
  <c r="G8" i="21" l="1"/>
  <c r="G6" i="21"/>
  <c r="G7" i="21" l="1"/>
  <c r="G9" i="21"/>
  <c r="L8" i="21"/>
  <c r="L7" i="21" l="1"/>
  <c r="L9" i="21"/>
  <c r="G5" i="21" l="1"/>
  <c r="L5" i="21" l="1"/>
  <c r="L6" i="21"/>
  <c r="J6" i="21"/>
  <c r="J5" i="21"/>
  <c r="J8" i="21" l="1"/>
  <c r="J7" i="21"/>
  <c r="J9" i="21"/>
</calcChain>
</file>

<file path=xl/sharedStrings.xml><?xml version="1.0" encoding="utf-8"?>
<sst xmlns="http://schemas.openxmlformats.org/spreadsheetml/2006/main" count="1007" uniqueCount="357">
  <si>
    <t>System &amp; Asset Identification</t>
  </si>
  <si>
    <t xml:space="preserve">Medical Device / System: </t>
  </si>
  <si>
    <t>Scope:</t>
  </si>
  <si>
    <t>Date:</t>
  </si>
  <si>
    <t xml:space="preserve">Conducted by: </t>
  </si>
  <si>
    <t>ID #</t>
  </si>
  <si>
    <t>Asset Type
(Information/Physical)</t>
  </si>
  <si>
    <t>Asset</t>
  </si>
  <si>
    <t>Asset Description</t>
  </si>
  <si>
    <t>Comments</t>
  </si>
  <si>
    <t>A01</t>
  </si>
  <si>
    <t>A02</t>
  </si>
  <si>
    <t>A03</t>
  </si>
  <si>
    <t>Information asset</t>
  </si>
  <si>
    <t>A04</t>
  </si>
  <si>
    <t>Contains Knee Planning software which controls the overall features for segmentation, landmark planning, implant size calculation etc.</t>
  </si>
  <si>
    <t>A05</t>
  </si>
  <si>
    <t>DICOM data stored on hard disk after import. Contains patient identity, DOB, Age/Gender, image data</t>
  </si>
  <si>
    <t>A06</t>
  </si>
  <si>
    <t>Information about internals of the system (Device identification, software versions, supported protocols, etc.)</t>
  </si>
  <si>
    <t>A07</t>
  </si>
  <si>
    <t>A08</t>
  </si>
  <si>
    <t>Network location where the CT Dicom data is stored</t>
  </si>
  <si>
    <t>A09</t>
  </si>
  <si>
    <t>Application Settings</t>
  </si>
  <si>
    <t>Application specific configuration settings</t>
  </si>
  <si>
    <t>A10</t>
  </si>
  <si>
    <t>User Settings</t>
  </si>
  <si>
    <t>User specific configuration settings</t>
  </si>
  <si>
    <t>A11</t>
  </si>
  <si>
    <t>Log Files</t>
  </si>
  <si>
    <t>Log files containing application errors and debug logs</t>
  </si>
  <si>
    <t>A12</t>
  </si>
  <si>
    <t>A13</t>
  </si>
  <si>
    <t>A14</t>
  </si>
  <si>
    <t>User License data</t>
  </si>
  <si>
    <t>Application instance specific license data</t>
  </si>
  <si>
    <t>A15</t>
  </si>
  <si>
    <t>Security keys, tokens, certificates</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</si>
  <si>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</si>
  <si>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</si>
  <si>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t>Vulnerability Identification</t>
  </si>
  <si>
    <t>Vuln. ID</t>
  </si>
  <si>
    <t>Vulnerability Description</t>
  </si>
  <si>
    <t>Applicable (Yes/No)</t>
  </si>
  <si>
    <t>Rationale (if Vulnerability not applicable)</t>
  </si>
  <si>
    <t>V01</t>
  </si>
  <si>
    <t>Yes</t>
  </si>
  <si>
    <t>n/a</t>
  </si>
  <si>
    <t>V02</t>
  </si>
  <si>
    <t>V03</t>
  </si>
  <si>
    <t>V04</t>
  </si>
  <si>
    <t>V11</t>
  </si>
  <si>
    <t>V12</t>
  </si>
  <si>
    <t>V13</t>
  </si>
  <si>
    <t>Ineffective patch management</t>
  </si>
  <si>
    <t>Security Operations Manual</t>
  </si>
  <si>
    <t>V14</t>
  </si>
  <si>
    <t>V15</t>
  </si>
  <si>
    <t>V16</t>
  </si>
  <si>
    <t>V17</t>
  </si>
  <si>
    <t>V21</t>
  </si>
  <si>
    <t>V22</t>
  </si>
  <si>
    <t>V23</t>
  </si>
  <si>
    <t>V24</t>
  </si>
  <si>
    <t>V25</t>
  </si>
  <si>
    <t>V26</t>
  </si>
  <si>
    <t>V31</t>
  </si>
  <si>
    <t>No</t>
  </si>
  <si>
    <t>V33</t>
  </si>
  <si>
    <t>V34</t>
  </si>
  <si>
    <t>V35</t>
  </si>
  <si>
    <t>Log Files: Audit Log Manipulation, Log Injection-Tampering-Forging</t>
  </si>
  <si>
    <t>Information Exposure Through Log Files</t>
  </si>
  <si>
    <t>InSecure Configurations of Resources</t>
  </si>
  <si>
    <t>V41</t>
  </si>
  <si>
    <t xml:space="preserve">Malicious Software Download </t>
  </si>
  <si>
    <t>V42</t>
  </si>
  <si>
    <t>Malicious Automated Software Update</t>
  </si>
  <si>
    <t>V43</t>
  </si>
  <si>
    <t>Security Risk Assessment</t>
  </si>
  <si>
    <t xml:space="preserve"> </t>
  </si>
  <si>
    <t>Adverse Impact</t>
  </si>
  <si>
    <t>Pre-Implementation of Security Controls</t>
  </si>
  <si>
    <t>Security Controls/Mitigations</t>
  </si>
  <si>
    <t>Post-Implementation of Security Controls</t>
  </si>
  <si>
    <t xml:space="preserve">
ID #</t>
  </si>
  <si>
    <t>T ID</t>
  </si>
  <si>
    <t>Threat Event(s)</t>
  </si>
  <si>
    <t>V ID</t>
  </si>
  <si>
    <t>Vulnerabilities</t>
  </si>
  <si>
    <t>A ID</t>
  </si>
  <si>
    <t>Impact Description</t>
  </si>
  <si>
    <t>Safety Impact 
(Risk ID# or N/A)</t>
  </si>
  <si>
    <t>Confidentiality</t>
  </si>
  <si>
    <t>Integrity</t>
  </si>
  <si>
    <t>Availability</t>
  </si>
  <si>
    <t>Attack Vector</t>
  </si>
  <si>
    <t>Attack Complexity</t>
  </si>
  <si>
    <t>Privileges Required</t>
  </si>
  <si>
    <t>User Interaction</t>
  </si>
  <si>
    <t>Scope</t>
  </si>
  <si>
    <t>Exploitability Sub Score</t>
  </si>
  <si>
    <t>ISC Base</t>
  </si>
  <si>
    <t>Impact Sub Score</t>
  </si>
  <si>
    <t>CVSS v3.0 Base Score</t>
  </si>
  <si>
    <t>Threat Event Initiation</t>
  </si>
  <si>
    <t>Threat Event Initiation
Score</t>
  </si>
  <si>
    <t>Overall Risk Score</t>
  </si>
  <si>
    <t>Security 
Risk 
Level</t>
  </si>
  <si>
    <t>Security Risk Control Measures</t>
  </si>
  <si>
    <t xml:space="preserve">Implementation of Risk Control Measures </t>
  </si>
  <si>
    <t>Verification of Risk Control Measures (Effectiveness)</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</si>
  <si>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</si>
  <si>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</si>
  <si>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</si>
  <si>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</si>
  <si>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</si>
  <si>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Privileges Required</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</si>
  <si>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</si>
  <si>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</si>
  <si>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</si>
  <si>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</si>
  <si>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</si>
  <si>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CVSS v3.0 Base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</si>
  <si>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</si>
  <si>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</si>
  <si>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Residual Security Risk Acceptability Justification</t>
  </si>
  <si>
    <t>T01</t>
  </si>
  <si>
    <t>Low</t>
  </si>
  <si>
    <t>Network</t>
  </si>
  <si>
    <t>None</t>
  </si>
  <si>
    <t>Unchanged</t>
  </si>
  <si>
    <t>Changed</t>
  </si>
  <si>
    <t>Local</t>
  </si>
  <si>
    <t>T02</t>
  </si>
  <si>
    <t>High</t>
  </si>
  <si>
    <t>Required</t>
  </si>
  <si>
    <t>Physical</t>
  </si>
  <si>
    <t>T03</t>
  </si>
  <si>
    <t>T05</t>
  </si>
  <si>
    <t>T06</t>
  </si>
  <si>
    <t>Moderate</t>
  </si>
  <si>
    <t>T07</t>
  </si>
  <si>
    <t>T08</t>
  </si>
  <si>
    <t>T09</t>
  </si>
  <si>
    <t>T10</t>
  </si>
  <si>
    <t>T11</t>
  </si>
  <si>
    <t>Threat Assessment</t>
  </si>
  <si>
    <t>#</t>
  </si>
  <si>
    <t xml:space="preserve">Threat Event </t>
  </si>
  <si>
    <t xml:space="preserve">Description </t>
  </si>
  <si>
    <t>Threat Source</t>
  </si>
  <si>
    <t>In Scope (Yes/No)</t>
  </si>
  <si>
    <t>Rationale 
(if out of scope)</t>
  </si>
  <si>
    <t>Deliver undirected malware</t>
  </si>
  <si>
    <t>TSA-3 - Skript Kiddies</t>
  </si>
  <si>
    <t>Deliver directed malware</t>
  </si>
  <si>
    <t xml:space="preserve">
TSA-2 Organization</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</si>
  <si>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</si>
  <si>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</si>
  <si>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T04</t>
  </si>
  <si>
    <t>Adversary gains unauthorized access to the system and removes or modifies application binaries.</t>
  </si>
  <si>
    <t>TSA-1 - Individual (Disgruntled/Ex-Employees, Outsider, Insider, Trusted Insider, Priveleged Insider)</t>
  </si>
  <si>
    <t>Adversary gains unauthorized access to the system and steals ePHI information</t>
  </si>
  <si>
    <t>TSA-3 - Skript Kiddies-</t>
  </si>
  <si>
    <t>Security Risk Assessment Summary</t>
  </si>
  <si>
    <t>Assets</t>
  </si>
  <si>
    <t>Pre-Controls 
Risk Level</t>
  </si>
  <si>
    <t>Post-Controls Risk Level</t>
  </si>
  <si>
    <t>Common Vulnerability Scoring System (CVSS v3.0)</t>
  </si>
  <si>
    <t>Exploitability Metrics</t>
  </si>
  <si>
    <t>Likelihood of Attack Initiation</t>
  </si>
  <si>
    <t>Privelege Required</t>
  </si>
  <si>
    <t>Rating</t>
  </si>
  <si>
    <t>Score</t>
  </si>
  <si>
    <t>Metric</t>
  </si>
  <si>
    <t>Value</t>
  </si>
  <si>
    <t>Code</t>
  </si>
  <si>
    <t xml:space="preserve">Metric </t>
  </si>
  <si>
    <t>Very Low</t>
  </si>
  <si>
    <t>N</t>
  </si>
  <si>
    <t>L</t>
  </si>
  <si>
    <t>Adjacent Network</t>
  </si>
  <si>
    <t>A</t>
  </si>
  <si>
    <t>H</t>
  </si>
  <si>
    <t>R</t>
  </si>
  <si>
    <t>P</t>
  </si>
  <si>
    <t>Very High</t>
  </si>
  <si>
    <t>Technical Impact Metrics</t>
  </si>
  <si>
    <t>In Scope</t>
  </si>
  <si>
    <t>Confidentiality, Integrity, Availability Impact</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</si>
  <si>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</si>
  <si>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An exploited vulnerability can only affect resources managed by the same authority. In this case the vulnerable component and the impacted component are the same.</t>
  </si>
  <si>
    <t>U</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</si>
  <si>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</si>
  <si>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</si>
  <si>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</si>
  <si>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</si>
  <si>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</si>
  <si>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Threat Sources</t>
  </si>
  <si>
    <t>Adversarial Threat</t>
  </si>
  <si>
    <t>Non-Adverserial Threat</t>
  </si>
  <si>
    <t>ID#</t>
  </si>
  <si>
    <t>In Scope (Y/N)</t>
  </si>
  <si>
    <t>Source</t>
  </si>
  <si>
    <t>TSA-1</t>
  </si>
  <si>
    <t>Individual (Disgruntled/Ex-Employees, Outsider, Insider, Trusted Insider, Priveleged Insider)</t>
  </si>
  <si>
    <t>Y</t>
  </si>
  <si>
    <t>TSN-1</t>
  </si>
  <si>
    <t>Accidental (Priveleged User/Administrator, inexperienced user, inexperienced installer, inexperienced maintainer, unintentional misuse)</t>
  </si>
  <si>
    <t>TSA-2</t>
  </si>
  <si>
    <t>Organization (Competitor, Supplier, Partner, Customer, Researcher)</t>
  </si>
  <si>
    <t>TSN-2</t>
  </si>
  <si>
    <t>Researchers (Professional Security, Academic)</t>
  </si>
  <si>
    <t>TSA-3</t>
  </si>
  <si>
    <t>Script Kiddies</t>
  </si>
  <si>
    <t>TSN-3</t>
  </si>
  <si>
    <t>Vulnerable systems/devices connected to device (e.g., via RS-232, USB, or other connections)</t>
  </si>
  <si>
    <t>TSA-4</t>
  </si>
  <si>
    <t>Political Activists (Hactivists, Anonymous, Wikileaks)</t>
  </si>
  <si>
    <t>TSN-4</t>
  </si>
  <si>
    <t>Incompatible Software (OS, Networking, Applications)</t>
  </si>
  <si>
    <t>TSA-5</t>
  </si>
  <si>
    <t>Organized Crime (Cyber Terrorists)</t>
  </si>
  <si>
    <t>TSN-5</t>
  </si>
  <si>
    <t>Environmental Impact (IT equipment, Temperature/Humidity Controls, RF Interference)</t>
  </si>
  <si>
    <t>TSA-6</t>
  </si>
  <si>
    <t>Nation States</t>
  </si>
  <si>
    <t>TSN-6</t>
  </si>
  <si>
    <t>Natural/Man-Made Disaster (Fire, Flood/Tsunami, Windstorm/Tornado, Earthquake, Bombing, Telecommunications/Power Failure)</t>
  </si>
  <si>
    <t>Adversarial Threat Events</t>
  </si>
  <si>
    <t>Relevance of Threat Event (L/M/H)</t>
  </si>
  <si>
    <t>Liklihood of Threat Event Initiation
(L/M/H)</t>
  </si>
  <si>
    <t>Liklihood of Threat Event Resulting in Adverse Impacts
(L/M/H)</t>
  </si>
  <si>
    <t>Overall Likelihood of Threat Event</t>
  </si>
  <si>
    <t>TEA-1</t>
  </si>
  <si>
    <t>Possible</t>
  </si>
  <si>
    <t>Feature/Function</t>
  </si>
  <si>
    <t>Risk Controls</t>
  </si>
  <si>
    <t>Unencrypted data at rest in all possible locations (Device, Cloud)</t>
  </si>
  <si>
    <t>Knee balancer application</t>
  </si>
  <si>
    <t>V27</t>
  </si>
  <si>
    <t>V28</t>
  </si>
  <si>
    <t>Patient Identifiable data</t>
  </si>
  <si>
    <t>MAKO System</t>
  </si>
  <si>
    <t>SBOM/SOUP</t>
  </si>
  <si>
    <t>Cloud Backend</t>
  </si>
  <si>
    <t>Unsecurely transmitted data to cloud</t>
  </si>
  <si>
    <t>Unsecurely encrypting the database</t>
  </si>
  <si>
    <t>Single Factor Authentication to cloud</t>
  </si>
  <si>
    <t>V51</t>
  </si>
  <si>
    <t>V52</t>
  </si>
  <si>
    <t>V53</t>
  </si>
  <si>
    <t>V44</t>
  </si>
  <si>
    <t>Unsecured configuration of wireless devices</t>
  </si>
  <si>
    <t>Knee Balancer</t>
  </si>
  <si>
    <t>Mobile Device (ipad, iphone V8-13)</t>
  </si>
  <si>
    <t>Login (4-digit pin) management</t>
  </si>
  <si>
    <t>MAC/iOS operating system</t>
  </si>
  <si>
    <t>Ineffective management of user credentials</t>
  </si>
  <si>
    <t>Improper Input Validation (allowed range)</t>
  </si>
  <si>
    <t>Unpatched operating system</t>
  </si>
  <si>
    <t>Weak Encryption Implementaion for data at rest and in motion tactical and design wise or Inadequate encryption strength</t>
  </si>
  <si>
    <t>Use of a Broken or Risky Cryptographic Algorithm</t>
  </si>
  <si>
    <t>Absence of application (status/behavior) logs and audit logs</t>
  </si>
  <si>
    <t>Lack of efficient configuration change control - App</t>
  </si>
  <si>
    <t>No security applications (antivirus, etc..) running in the ipad/iphone</t>
  </si>
  <si>
    <t>V32</t>
  </si>
  <si>
    <t>Application/Communication Management</t>
  </si>
  <si>
    <t>Wireless communication interfaces (Wifi, BT,etc..)</t>
  </si>
  <si>
    <t>Unrestricted Wifi communication with open/untrusted sources</t>
  </si>
  <si>
    <t>Unrestricted BT communication/transfer with multiple sources</t>
  </si>
  <si>
    <t xml:space="preserve">Perform wireless perimeter network reconnaissance/scanning. </t>
  </si>
  <si>
    <t>Unauthorized modifications  to Knee Balancer Software</t>
  </si>
  <si>
    <t>Unauthorized access to Knee Balancer App</t>
  </si>
  <si>
    <t>Unauthorized access/modification to PHI/Health data</t>
  </si>
  <si>
    <t>Brute force login attempts</t>
  </si>
  <si>
    <t>Unrestricted wireless communication with multiple sources</t>
  </si>
  <si>
    <t>TSA-1 - Individual (Employees, Insider, Trusted Insider/Priveleged Insider)
TSA-3 - Skript Kiddies</t>
  </si>
  <si>
    <t>Lack of OS vulnerability management</t>
  </si>
  <si>
    <t>V18</t>
  </si>
  <si>
    <t>3rd party installed applications from app store</t>
  </si>
  <si>
    <t>Application Data Management</t>
  </si>
  <si>
    <t>Unencrypted data in transit in all flowchannels</t>
  </si>
  <si>
    <t>Untrusted 3rd party applications installation from appstore</t>
  </si>
  <si>
    <t>Improper Authentication (single factor, no captcha, etc..)</t>
  </si>
  <si>
    <t>Unprotected access to device settings (uninstalling applications, etc..)</t>
  </si>
  <si>
    <t>As Knee Balancer is running on a mobile device, it is important to secure the wireless interfaces on the host such as BT, Wifi. Without restrictions any device can be connected with the host</t>
  </si>
  <si>
    <t>Knee balancer supporting software components (binaries, frameworks, 3rd party components, etc..)</t>
  </si>
  <si>
    <t>If the software components are not protected properly/exposed for access inside the mobile host with unrestricted/unauthorized access, then the modification/tampering of the software can lead to the unavailability of the application</t>
  </si>
  <si>
    <t>If the application access permissions are not properly enforced during the starting of the application, then its become difficult for the application to get protected from the adversary attacks</t>
  </si>
  <si>
    <t>PHI/Health data has to be secured properly &amp; enforce the encryption to protect from unauthorized access/modifications. With insuffient encryption &amp; security this data gets affected</t>
  </si>
  <si>
    <t>Unauthorized access to app sensitive data (device's keys/certificates/crypto algorithms)</t>
  </si>
  <si>
    <t>If any of the cryptographic security sensitive data such as keys, certificates, crypto algorithms, etc.., got modified then complete security gets compromised</t>
  </si>
  <si>
    <t>Single factor authentication is not sufficient to surpress the brute force attacks. Minimum 2-factor authentication is needed to provide enough security from automated attacks</t>
  </si>
  <si>
    <t>Sensitive system settings on the host should be identified &amp; protected from unauthorized access</t>
  </si>
  <si>
    <t>For wifi access only the HDO/Hospital environment should allowed to connect with. BT should only be connected on purpose for file transfers</t>
  </si>
  <si>
    <t>Pre-op/Treatment plan data has to be secured properly &amp; enforce the encryption to protect from unauthorized access/modifications. With insuffient encryption &amp; security this data gets affected</t>
  </si>
  <si>
    <t>&lt;2022-02-25&gt;</t>
  </si>
  <si>
    <t>&lt;SIVA KUMAR /Security / LTTS&gt;
&lt;Author Name / Function / Organization&gt;</t>
  </si>
  <si>
    <t>Unsafely compiled Application Binaries in Application</t>
  </si>
  <si>
    <t>3rd Party Component Dependency &amp; Vulnerabilities in Application</t>
  </si>
  <si>
    <t>Corrupting the binaries/injecting malicious source code in Application</t>
  </si>
  <si>
    <t>Physical charging ports/interfaces</t>
  </si>
  <si>
    <t>Unauthorized access/modification to Treatment data/plan</t>
  </si>
  <si>
    <t>V05</t>
  </si>
  <si>
    <t>Control/modification of System(host) settings or Device Setting</t>
  </si>
  <si>
    <t>Data at Rest</t>
  </si>
  <si>
    <t>A16</t>
  </si>
  <si>
    <t>Data in Transit</t>
  </si>
  <si>
    <t>Mobile interfaces for network communication</t>
  </si>
  <si>
    <t>Charging interface of mobile</t>
  </si>
  <si>
    <t xml:space="preserve">Sensitive Data residing in Mobile </t>
  </si>
  <si>
    <t>Sensitive data being transmitted</t>
  </si>
  <si>
    <t>V36</t>
  </si>
  <si>
    <t>Unsecured/Unhardened Network Interfaces</t>
  </si>
  <si>
    <t>Removable device communication through charging interfaces</t>
  </si>
  <si>
    <t>No Static Analysis for developed code &amp; SCA for SOUP in Application</t>
  </si>
  <si>
    <t>For ipad/iphone, the charging/USB interface is provided &amp; this can be used to connect the OTG devices. Other Network Interfaces can also be used for injecting the malware.</t>
  </si>
  <si>
    <t>Threat source delivers malware on a removable media which was designed to exploit a known vulnerability of the existing Software. Directed attack on the Application using knowledge about the Application.</t>
  </si>
  <si>
    <t>Adversary gains unauthorized access to the system and removes or modifies application configuration and gains access</t>
  </si>
  <si>
    <t>Adversary gains unauthorized access to the treatment/Knee Gap Analysis plan of the patient.</t>
  </si>
  <si>
    <t>Adversary gains unauthorized access to the Crypto keys and associated tokens,certificates</t>
  </si>
  <si>
    <t>Adversary gains unauthorized access to the system using different kinds of repeated attacks</t>
  </si>
  <si>
    <t xml:space="preserve">Adversary gains unauthorized access to the system and make modifications to the software apps &amp; configuration files </t>
  </si>
  <si>
    <t>As Knee Balancer is running on a mobile device, it is important to secure the wireless/Network interfaces on the host such as BT, Wifi &amp; charging interface. Without restrictions, any device can be connected with the host &amp; hence affect the application</t>
  </si>
  <si>
    <t>By knowing the end-to-end functionality &amp; Components used in the application, the adversary can exploit the application and try to compromise the system with specific malware attacks.</t>
  </si>
  <si>
    <t>Open/Unrestricted Network interfaces are easy to exploit. Secure and hardened network elements protect the system from attacks. Code validation through static analysis required</t>
  </si>
  <si>
    <t>T12</t>
  </si>
  <si>
    <t>T13</t>
  </si>
  <si>
    <t>Improper access/modification of audit log</t>
  </si>
  <si>
    <t>Weak/predictable 4-digit pin (0000, 1234, etc..)</t>
  </si>
  <si>
    <t xml:space="preserve">Audit log data should be maintained to identify security breaches. With no proper authentication to access the audit logs the content can be modified/deleted. </t>
  </si>
  <si>
    <t>Sensitive information exposure through audit log</t>
  </si>
  <si>
    <t xml:space="preserve">Sensitive information should not be present in the audit log.
Audit log data should be maintained to identify security breaches. With no proper authentication to access the audit logs the content can be modified/deleted. </t>
  </si>
  <si>
    <t>Audit (log) data is considered as a sensitive data. It should be secured with proper access control</t>
  </si>
  <si>
    <t>Sensitive information such as patient name, PHI data should not be revealed through audit log. Audit (log) data is considered as a sensitive data. It should be secured with proper access control</t>
  </si>
  <si>
    <t>Several wireless interfaces such as WiFi, BT exists in the mobile device and they can be used to connect with untrusted network(s)/source(s)</t>
  </si>
  <si>
    <t>Physical asset</t>
  </si>
  <si>
    <t>4-digit numeric pin is used for authentication/login</t>
  </si>
  <si>
    <t>Iphone/ipad is used for running the knee balancer application (currently v8-13 are supported)</t>
  </si>
  <si>
    <t>Knee balancer application is composed of 3rd party applications (binaries, frameworks, 3rd party components, etc..)</t>
  </si>
  <si>
    <t>Keys,tokens and certificates</t>
  </si>
  <si>
    <t>V45</t>
  </si>
  <si>
    <t>Improper Storage of Stryker Credentials</t>
  </si>
  <si>
    <t>Downloadable only from Stryker store. User is verified, no need of authentication</t>
  </si>
  <si>
    <t>Insecure Storage of Sensitive Information (Application data)</t>
  </si>
  <si>
    <t>V29</t>
  </si>
  <si>
    <t>Insecure Storage of Sensitive Information (Stryker data - keys, certs, etc.)</t>
  </si>
  <si>
    <t>V06</t>
  </si>
  <si>
    <t>Input from untrusted sources</t>
  </si>
  <si>
    <t>Data input from untrusted source</t>
  </si>
  <si>
    <t>T14</t>
  </si>
  <si>
    <t>Application receiving input health data from another system should verify the source</t>
  </si>
  <si>
    <t>TSA-1 - Individual (Employees, Insider, Trusted Insider/Priveleged Insider)</t>
  </si>
  <si>
    <t xml:space="preserve">Pre-op/Treatment plan data has to be secured properly &amp; enforce the encryption to protect from unauthorized access/modifications. 
1. If allowed input range/format not validated then the application functionality gets affected.
2. With insuffient encryption &amp; security this data gets affected.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</si>
</sst>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4">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b/>
      <sz val="11"/>
      <name val="Calibri"/>
      <family val="2"/>
      <scheme val="minor"/>
    </font>
    <font>
      <sz val="11"/>
      <color rgb="FF000000"/>
      <name val="Calibri"/>
      <family val="2"/>
      <charset val="1"/>
    </font>
    <font>
      <sz val="10"/>
      <color rgb="FF000000"/>
      <name val="Humanist Slabserif 712 Std Roma"/>
      <charset val="1"/>
    </font>
    <font>
      <sz val="11"/>
      <color theme="1"/>
      <name val="Cambria"/>
      <family val="1"/>
    </font>
    <font>
      <sz val="11"/>
      <color rgb="FF0000FF"/>
      <name val="Cambria"/>
      <family val="1"/>
    </font>
    <font>
      <sz val="11"/>
      <name val="Cambria"/>
      <family val="1"/>
    </font>
    <font>
      <sz val="11"/>
      <color rgb="FFFF0000"/>
      <name val="Cambria"/>
      <family val="1"/>
    </font>
  </fonts>
  <fills count="23">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s>
  <cellStyleXfs count="4">
    <xf numFmtId="0" fontId="0" fillId="0" borderId="0"/>
    <xf numFmtId="0" fontId="1" fillId="0" borderId="0"/>
    <xf numFmtId="0" fontId="14" fillId="0" borderId="0"/>
    <xf numFmtId="0" fontId="38" fillId="0" borderId="0"/>
  </cellStyleXfs>
  <cellXfs count="256">
    <xf numFmtId="0" fontId="0" fillId="0" borderId="0" xfId="0"/>
    <xf numFmtId="0" fontId="0" fillId="0" borderId="1" xfId="0" applyBorder="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Alignment="1">
      <alignment horizontal="center" vertical="center" wrapText="1"/>
    </xf>
    <xf numFmtId="0" fontId="5" fillId="0" borderId="0" xfId="0" applyFont="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3" fillId="0" borderId="0" xfId="0" applyFont="1" applyAlignment="1">
      <alignment vertical="top" wrapText="1"/>
    </xf>
    <xf numFmtId="0" fontId="17" fillId="0" borderId="0" xfId="0" applyFont="1"/>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15" fillId="0" borderId="1" xfId="0" applyFont="1" applyBorder="1" applyAlignment="1">
      <alignment horizontal="center" vertical="top" wrapText="1"/>
    </xf>
    <xf numFmtId="0" fontId="15" fillId="0" borderId="5" xfId="0" applyFont="1" applyBorder="1" applyAlignment="1">
      <alignment horizontal="center" vertical="top" wrapText="1"/>
    </xf>
    <xf numFmtId="0" fontId="15" fillId="0" borderId="5"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39" xfId="0" applyFont="1" applyBorder="1" applyAlignment="1">
      <alignment vertical="top"/>
    </xf>
    <xf numFmtId="0" fontId="15" fillId="0" borderId="5" xfId="0" applyFont="1" applyBorder="1" applyAlignment="1">
      <alignment vertical="top"/>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21" fillId="0" borderId="1" xfId="0" applyFont="1" applyBorder="1" applyAlignment="1">
      <alignment horizontal="center"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6"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25" fillId="4" borderId="41" xfId="0" applyFont="1" applyFill="1" applyBorder="1" applyAlignment="1">
      <alignment vertical="center" wrapText="1"/>
    </xf>
    <xf numFmtId="0" fontId="19" fillId="4" borderId="41" xfId="0" applyFont="1" applyFill="1" applyBorder="1" applyAlignment="1">
      <alignment horizontal="center" vertical="center" wrapText="1"/>
    </xf>
    <xf numFmtId="0" fontId="25" fillId="4" borderId="35" xfId="0" applyFont="1" applyFill="1" applyBorder="1" applyAlignment="1">
      <alignment vertical="center" wrapText="1"/>
    </xf>
    <xf numFmtId="0" fontId="19" fillId="4" borderId="34" xfId="0" applyFont="1" applyFill="1" applyBorder="1" applyAlignment="1">
      <alignment horizontal="center" vertical="center" wrapText="1"/>
    </xf>
    <xf numFmtId="0" fontId="25" fillId="4" borderId="3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6" xfId="0" applyFont="1" applyFill="1" applyBorder="1" applyAlignment="1">
      <alignment vertical="top"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15" fillId="18" borderId="1" xfId="0" applyFont="1" applyFill="1" applyBorder="1" applyAlignment="1">
      <alignment vertical="top"/>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Alignment="1">
      <alignment horizontal="center" vertical="center"/>
    </xf>
    <xf numFmtId="2" fontId="23" fillId="0" borderId="0" xfId="0" applyNumberFormat="1" applyFont="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Alignment="1">
      <alignment horizontal="center" vertical="center"/>
    </xf>
    <xf numFmtId="2" fontId="15" fillId="0" borderId="0" xfId="0" applyNumberFormat="1" applyFont="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Alignment="1">
      <alignment horizontal="center" vertical="center"/>
    </xf>
    <xf numFmtId="0" fontId="15" fillId="13" borderId="0" xfId="0" applyFont="1" applyFill="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1" xfId="0" applyFont="1" applyBorder="1" applyAlignment="1">
      <alignment horizontal="left" vertical="top" wrapText="1"/>
    </xf>
    <xf numFmtId="0" fontId="15" fillId="0" borderId="39" xfId="0" applyFont="1" applyBorder="1" applyAlignment="1">
      <alignment horizontal="center" vertical="top" wrapText="1"/>
    </xf>
    <xf numFmtId="0" fontId="15" fillId="0" borderId="5" xfId="0" applyFont="1" applyBorder="1" applyAlignment="1">
      <alignment horizontal="left" vertical="top" wrapText="1"/>
    </xf>
    <xf numFmtId="0" fontId="15" fillId="0" borderId="36" xfId="0" applyFont="1" applyBorder="1" applyAlignment="1">
      <alignment horizontal="center" vertical="top"/>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2" fontId="24" fillId="15" borderId="1" xfId="0" applyNumberFormat="1" applyFont="1" applyFill="1" applyBorder="1" applyAlignment="1">
      <alignment horizontal="center" vertical="center" wrapText="1"/>
    </xf>
    <xf numFmtId="0" fontId="15" fillId="0" borderId="29" xfId="0" applyFont="1" applyBorder="1" applyAlignment="1">
      <alignment horizontal="center" vertical="center"/>
    </xf>
    <xf numFmtId="0" fontId="15" fillId="3" borderId="4" xfId="0" applyFont="1" applyFill="1" applyBorder="1" applyAlignment="1">
      <alignment horizontal="left" vertical="top"/>
    </xf>
    <xf numFmtId="0" fontId="15" fillId="3" borderId="1" xfId="0" applyFont="1" applyFill="1" applyBorder="1" applyAlignment="1">
      <alignment horizontal="left" vertical="top"/>
    </xf>
    <xf numFmtId="0" fontId="37" fillId="5" borderId="6" xfId="0" applyFont="1" applyFill="1" applyBorder="1" applyAlignment="1">
      <alignment horizontal="center" vertical="top" wrapText="1"/>
    </xf>
    <xf numFmtId="0" fontId="15" fillId="0" borderId="5" xfId="0" applyFont="1" applyBorder="1" applyAlignment="1">
      <alignment horizontal="center" vertical="top"/>
    </xf>
    <xf numFmtId="0" fontId="15" fillId="0" borderId="7" xfId="0" applyFont="1" applyBorder="1" applyAlignment="1">
      <alignment vertical="top" wrapText="1"/>
    </xf>
    <xf numFmtId="0" fontId="21" fillId="0" borderId="1" xfId="0" applyFont="1" applyBorder="1" applyAlignment="1">
      <alignment horizontal="left" vertical="top" wrapText="1"/>
    </xf>
    <xf numFmtId="164" fontId="15" fillId="15" borderId="1" xfId="0" applyNumberFormat="1" applyFont="1" applyFill="1" applyBorder="1" applyAlignment="1">
      <alignment horizontal="center" vertical="center" wrapText="1"/>
    </xf>
    <xf numFmtId="164" fontId="24" fillId="19" borderId="1" xfId="0" applyNumberFormat="1" applyFont="1" applyFill="1" applyBorder="1" applyAlignment="1">
      <alignment horizontal="center" vertical="center" wrapText="1"/>
    </xf>
    <xf numFmtId="0" fontId="24" fillId="22" borderId="1" xfId="0" applyFont="1" applyFill="1" applyBorder="1" applyAlignment="1">
      <alignment horizontal="center" vertical="center" wrapText="1"/>
    </xf>
    <xf numFmtId="0" fontId="15" fillId="0" borderId="1" xfId="0" applyFont="1" applyBorder="1" applyAlignment="1">
      <alignment horizontal="center" vertical="center"/>
    </xf>
    <xf numFmtId="0" fontId="0" fillId="0" borderId="0" xfId="0" applyAlignment="1">
      <alignment horizontal="center" vertical="center"/>
    </xf>
    <xf numFmtId="0" fontId="15" fillId="0" borderId="1" xfId="0" applyFont="1" applyBorder="1" applyAlignment="1">
      <alignment vertical="top" wrapText="1"/>
    </xf>
    <xf numFmtId="0" fontId="15" fillId="19" borderId="1" xfId="0" applyFont="1" applyFill="1" applyBorder="1" applyAlignment="1">
      <alignment vertical="top" wrapText="1"/>
    </xf>
    <xf numFmtId="0" fontId="17" fillId="0" borderId="0" xfId="0" applyFont="1" applyAlignment="1">
      <alignment wrapText="1"/>
    </xf>
    <xf numFmtId="0" fontId="39" fillId="0" borderId="0" xfId="0" applyFont="1" applyAlignment="1">
      <alignment wrapText="1"/>
    </xf>
    <xf numFmtId="0" fontId="0" fillId="0" borderId="0" xfId="0" applyAlignment="1">
      <alignment wrapText="1"/>
    </xf>
    <xf numFmtId="0" fontId="0" fillId="19" borderId="0" xfId="0" applyFill="1" applyAlignment="1">
      <alignment wrapText="1"/>
    </xf>
    <xf numFmtId="0" fontId="15" fillId="19" borderId="4" xfId="0" applyFont="1" applyFill="1" applyBorder="1" applyAlignment="1">
      <alignment horizontal="left" vertical="top"/>
    </xf>
    <xf numFmtId="0" fontId="15" fillId="19" borderId="1" xfId="0" applyFont="1" applyFill="1" applyBorder="1" applyAlignment="1">
      <alignment horizontal="left" vertical="top"/>
    </xf>
    <xf numFmtId="0" fontId="40" fillId="0" borderId="1" xfId="0" applyFont="1" applyBorder="1" applyAlignment="1">
      <alignment vertical="top"/>
    </xf>
    <xf numFmtId="0" fontId="40" fillId="19" borderId="4" xfId="0" applyFont="1" applyFill="1" applyBorder="1" applyAlignment="1">
      <alignment horizontal="left" vertical="top"/>
    </xf>
    <xf numFmtId="0" fontId="40" fillId="19" borderId="1" xfId="0" applyFont="1" applyFill="1" applyBorder="1" applyAlignment="1">
      <alignment horizontal="left" vertical="top"/>
    </xf>
    <xf numFmtId="0" fontId="40" fillId="19" borderId="1" xfId="0" applyFont="1" applyFill="1" applyBorder="1" applyAlignment="1">
      <alignment horizontal="left" vertical="top" wrapText="1"/>
    </xf>
    <xf numFmtId="0" fontId="40" fillId="0" borderId="1" xfId="0" applyFont="1" applyBorder="1" applyAlignment="1">
      <alignment vertical="top" wrapText="1"/>
    </xf>
    <xf numFmtId="0" fontId="40" fillId="0" borderId="4" xfId="0" applyFont="1" applyBorder="1" applyAlignment="1">
      <alignment vertical="top"/>
    </xf>
    <xf numFmtId="0" fontId="40" fillId="0" borderId="1" xfId="0" applyFont="1" applyBorder="1" applyAlignment="1">
      <alignment horizontal="center" vertical="top"/>
    </xf>
    <xf numFmtId="0" fontId="40" fillId="0" borderId="5" xfId="0" applyFont="1" applyBorder="1" applyAlignment="1">
      <alignment horizontal="center" vertical="top"/>
    </xf>
    <xf numFmtId="0" fontId="40" fillId="0" borderId="5" xfId="0" applyFont="1" applyBorder="1" applyAlignment="1">
      <alignment vertical="top"/>
    </xf>
    <xf numFmtId="0" fontId="40" fillId="15" borderId="5" xfId="0" applyNumberFormat="1" applyFont="1" applyFill="1" applyBorder="1" applyAlignment="1">
      <alignment vertical="top" wrapText="1"/>
    </xf>
    <xf numFmtId="0" fontId="40" fillId="18" borderId="5" xfId="0" applyFont="1" applyFill="1" applyBorder="1" applyAlignment="1">
      <alignment vertical="top"/>
    </xf>
    <xf numFmtId="0" fontId="40" fillId="0" borderId="5" xfId="0" applyFont="1" applyBorder="1" applyAlignment="1">
      <alignment horizontal="center" vertical="center"/>
    </xf>
    <xf numFmtId="0" fontId="40" fillId="19" borderId="5" xfId="0" applyFont="1" applyFill="1" applyBorder="1" applyAlignment="1">
      <alignment horizontal="center" vertical="center" wrapText="1"/>
    </xf>
    <xf numFmtId="164" fontId="40" fillId="15" borderId="5" xfId="0" applyNumberFormat="1" applyFont="1" applyFill="1" applyBorder="1" applyAlignment="1">
      <alignment horizontal="center" vertical="center" wrapText="1"/>
    </xf>
    <xf numFmtId="164" fontId="41" fillId="15" borderId="5" xfId="0" applyNumberFormat="1" applyFont="1" applyFill="1" applyBorder="1" applyAlignment="1">
      <alignment horizontal="center" vertical="center" wrapText="1"/>
    </xf>
    <xf numFmtId="164" fontId="41" fillId="19" borderId="5" xfId="0" applyNumberFormat="1" applyFont="1" applyFill="1" applyBorder="1" applyAlignment="1">
      <alignment horizontal="center" vertical="center" wrapText="1"/>
    </xf>
    <xf numFmtId="0" fontId="40" fillId="0" borderId="5" xfId="0" applyNumberFormat="1" applyFont="1" applyBorder="1" applyAlignment="1">
      <alignment horizontal="center" vertical="top" wrapText="1"/>
    </xf>
    <xf numFmtId="0" fontId="42" fillId="0" borderId="5" xfId="0" applyFont="1" applyBorder="1" applyAlignment="1">
      <alignment vertical="top"/>
    </xf>
    <xf numFmtId="0" fontId="40" fillId="19" borderId="5" xfId="0" applyNumberFormat="1" applyFont="1" applyFill="1" applyBorder="1" applyAlignment="1">
      <alignment horizontal="center" vertical="center" wrapText="1"/>
    </xf>
    <xf numFmtId="0" fontId="41" fillId="22" borderId="5" xfId="0" applyNumberFormat="1" applyFont="1" applyFill="1" applyBorder="1" applyAlignment="1">
      <alignment horizontal="center" vertical="center" wrapText="1"/>
    </xf>
    <xf numFmtId="0" fontId="15" fillId="0" borderId="1" xfId="0" applyFont="1" applyBorder="1" applyAlignment="1">
      <alignment horizontal="left" vertical="top" wrapText="1"/>
    </xf>
    <xf numFmtId="0" fontId="15" fillId="19" borderId="1" xfId="0" applyFont="1" applyFill="1" applyBorder="1" applyAlignment="1">
      <alignment horizontal="center" vertical="top"/>
    </xf>
    <xf numFmtId="0" fontId="40" fillId="0" borderId="5" xfId="0" applyFont="1" applyBorder="1" applyAlignment="1">
      <alignment vertical="top" wrapText="1"/>
    </xf>
    <xf numFmtId="0" fontId="23" fillId="0" borderId="1" xfId="3" applyFont="1" applyBorder="1" applyAlignment="1">
      <alignment vertical="center" wrapText="1"/>
    </xf>
    <xf numFmtId="0" fontId="3" fillId="0" borderId="1" xfId="0" applyFont="1" applyBorder="1" applyAlignment="1">
      <alignment vertical="top" wrapText="1"/>
    </xf>
    <xf numFmtId="0" fontId="43" fillId="19" borderId="1" xfId="0" applyFont="1" applyFill="1" applyBorder="1" applyAlignment="1">
      <alignment horizontal="left" vertical="top"/>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cellXfs>
  <cellStyles count="4">
    <cellStyle name="Excel Built-in Normal" xfId="2" xr:uid="{00000000-0005-0000-0000-000000000000}"/>
    <cellStyle name="Normal" xfId="0" builtinId="0"/>
    <cellStyle name="Normal 2" xfId="1" xr:uid="{00000000-0005-0000-0000-000002000000}"/>
    <cellStyle name="Normal 3" xfId="3" xr:uid="{00000000-0005-0000-0000-000003000000}"/>
  </cellStyles>
  <dxfs count="183">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alignmen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family val="1"/>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family val="1"/>
        <scheme val="none"/>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general"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Assets" displayName="Assets" ref="A9:E25" totalsRowShown="0" headerRowDxfId="182" dataDxfId="180" headerRowBorderDxfId="181" tableBorderDxfId="179" totalsRowBorderDxfId="178">
  <autoFilter ref="A9:E25" xr:uid="{00000000-0009-0000-0100-000003000000}"/>
  <tableColumns count="5">
    <tableColumn id="1" xr3:uid="{00000000-0010-0000-0000-000001000000}" name="ID #" dataDxfId="177"/>
    <tableColumn id="2" xr3:uid="{00000000-0010-0000-0000-000002000000}" name="Asset Type_x000a_(Information/Physical)" dataDxfId="176"/>
    <tableColumn id="3" xr3:uid="{00000000-0010-0000-0000-000003000000}" name="Asset" dataDxfId="175"/>
    <tableColumn id="4" xr3:uid="{00000000-0010-0000-0000-000004000000}" name="Asset Description" dataDxfId="174"/>
    <tableColumn id="5" xr3:uid="{00000000-0010-0000-0000-000005000000}" name="Comments" dataDxfId="173"/>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ulnerabilities" displayName="Vulnerabilities" ref="A4:D73" totalsRowShown="0" headerRowDxfId="172" dataDxfId="170" headerRowBorderDxfId="171" tableBorderDxfId="169" totalsRowBorderDxfId="168">
  <autoFilter ref="A4:D73" xr:uid="{00000000-0009-0000-0100-000002000000}"/>
  <tableColumns count="4">
    <tableColumn id="1" xr3:uid="{00000000-0010-0000-0100-000001000000}" name="Vuln. ID" dataDxfId="167"/>
    <tableColumn id="4" xr3:uid="{00000000-0010-0000-0100-000004000000}" name="Vulnerability Description" dataDxfId="166"/>
    <tableColumn id="5" xr3:uid="{00000000-0010-0000-0100-000005000000}" name="Applicable (Yes/No)" dataDxfId="165"/>
    <tableColumn id="6" xr3:uid="{00000000-0010-0000-0100-000006000000}" name="Rationale (if Vulnerability not applicable)" dataDxfId="164"/>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17" totalsRowShown="0" headerRowDxfId="163" dataDxfId="161" headerRowBorderDxfId="162" tableBorderDxfId="160" totalsRowBorderDxfId="159">
  <autoFilter ref="A3:F17" xr:uid="{00000000-0009-0000-0100-000005000000}"/>
  <tableColumns count="6">
    <tableColumn id="1" xr3:uid="{00000000-0010-0000-0200-000001000000}" name="#" dataDxfId="158"/>
    <tableColumn id="2" xr3:uid="{00000000-0010-0000-0200-000002000000}" name="Threat Event " dataDxfId="157"/>
    <tableColumn id="3" xr3:uid="{00000000-0010-0000-0200-000003000000}" name="Description " dataDxfId="156"/>
    <tableColumn id="4" xr3:uid="{00000000-0010-0000-0200-000004000000}" name="Threat Source" dataDxfId="155"/>
    <tableColumn id="5" xr3:uid="{00000000-0010-0000-0200-000005000000}" name="In Scope (Yes/No)" dataDxfId="154"/>
    <tableColumn id="13" xr3:uid="{00000000-0010-0000-0200-00000D000000}" name="Rationale _x000a_(if out of scope)" dataDxfId="153"/>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4:AQ40" totalsRowShown="0" headerRowDxfId="147" dataDxfId="146" tableBorderDxfId="145">
  <autoFilter ref="A4:AQ40" xr:uid="{00000000-0009-0000-0100-000004000000}"/>
  <tableColumns count="43">
    <tableColumn id="1" xr3:uid="{00000000-0010-0000-0300-000001000000}" name="_x000a_ID #" dataDxfId="144" totalsRowDxfId="143"/>
    <tableColumn id="23" xr3:uid="{00000000-0010-0000-0300-000017000000}" name="T ID" dataDxfId="142" totalsRowDxfId="141"/>
    <tableColumn id="2" xr3:uid="{00000000-0010-0000-0300-000002000000}" name="Threat Event(s)" dataDxfId="140" totalsRowDxfId="139">
      <calculatedColumnFormula>IF(VLOOKUP(Table4[[#This Row],[T ID]],Table5[#All],5,FALSE)="No","Not in scope",VLOOKUP(Table4[[#This Row],[T ID]],Table5[#All],2,FALSE))</calculatedColumnFormula>
    </tableColumn>
    <tableColumn id="22" xr3:uid="{00000000-0010-0000-0300-000016000000}" name="V ID" dataDxfId="138" totalsRowDxfId="137"/>
    <tableColumn id="3" xr3:uid="{00000000-0010-0000-0300-000003000000}" name="Vulnerabilities" dataDxfId="136" totalsRowDxfId="135">
      <calculatedColumnFormula>IF(VLOOKUP(Table4[[#This Row],[V ID]],Vulnerabilities[#All],3,FALSE)="No","Not in scope",VLOOKUP(Table4[[#This Row],[V ID]],Vulnerabilities[#All],2,FALSE))</calculatedColumnFormula>
    </tableColumn>
    <tableColumn id="24" xr3:uid="{00000000-0010-0000-0300-000018000000}" name="A ID" dataDxfId="134" totalsRowDxfId="133"/>
    <tableColumn id="4" xr3:uid="{00000000-0010-0000-0300-000004000000}" name="Asset" dataDxfId="132" totalsRowDxfId="131">
      <calculatedColumnFormula>VLOOKUP(Table4[[#This Row],[A ID]],Assets[#All],3,FALSE)</calculatedColumnFormula>
    </tableColumn>
    <tableColumn id="5" xr3:uid="{00000000-0010-0000-0300-000005000000}" name="Impact Description" dataDxfId="130" totalsRowDxfId="129"/>
    <tableColumn id="7" xr3:uid="{00000000-0010-0000-0300-000007000000}" name="Safety Impact _x000a_(Risk ID# or N/A)" dataDxfId="128" totalsRowDxfId="127"/>
    <tableColumn id="26" xr3:uid="{00000000-0010-0000-0300-00001A000000}" name="Confidentiality" dataDxfId="126" totalsRowDxfId="125"/>
    <tableColumn id="25" xr3:uid="{00000000-0010-0000-0300-000019000000}" name="Integrity" dataDxfId="124" totalsRowDxfId="123"/>
    <tableColumn id="21" xr3:uid="{00000000-0010-0000-0300-000015000000}" name="Availability" dataDxfId="122" totalsRowDxfId="121"/>
    <tableColumn id="44" xr3:uid="{00000000-0010-0000-0300-00002C000000}" name="Attack Vector" dataDxfId="120" totalsRowDxfId="119"/>
    <tableColumn id="45" xr3:uid="{00000000-0010-0000-0300-00002D000000}" name="Attack Complexity" dataDxfId="118" totalsRowDxfId="117"/>
    <tableColumn id="46" xr3:uid="{00000000-0010-0000-0300-00002E000000}" name="Privileges Required" dataDxfId="116" totalsRowDxfId="115"/>
    <tableColumn id="47" xr3:uid="{00000000-0010-0000-0300-00002F000000}" name="User Interaction" dataDxfId="114" totalsRowDxfId="113"/>
    <tableColumn id="43" xr3:uid="{00000000-0010-0000-0300-00002B000000}" name="Scope" dataDxfId="112" totalsRowDxfId="111"/>
    <tableColumn id="48" xr3:uid="{00000000-0010-0000-0300-000030000000}" name="Exploitability Sub Score" dataDxfId="110" totalsRowDxfId="109">
      <calculatedColumnFormula>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calculatedColumnFormula>
    </tableColumn>
    <tableColumn id="17" xr3:uid="{00000000-0010-0000-0300-000011000000}" name="ISC Base" dataDxfId="108" totalsRowDxfId="107">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xr3:uid="{00000000-0010-0000-0300-000020000000}" name="Impact Sub Score" dataDxfId="106" totalsRowDxfId="105">
      <calculatedColumnFormula>IF(Table4[[#This Row],[Scope]]="Unchanged",6.42*Table4[[#This Row],[ISC Base]],IF(Table4[[#This Row],[Scope]]="Changed",7.52*(Table4[[#This Row],[ISC Base]] - 0.029) - 3.25 * POWER(Table4[[#This Row],[ISC Base]] - 0.02,15),NA()))</calculatedColumnFormula>
    </tableColumn>
    <tableColumn id="34" xr3:uid="{00000000-0010-0000-0300-000022000000}" name="CVSS v3.0 Base Score" dataDxfId="104" totalsRowDxfId="103">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xr3:uid="{00000000-0010-0000-0300-000009000000}" name="Threat Event Initiation" dataDxfId="102"/>
    <tableColumn id="33" xr3:uid="{00000000-0010-0000-0300-000021000000}" name="Threat Event Initiation_x000a_Score" dataDxfId="101" totalsRowDxfId="100">
      <calculatedColumnFormula>VLOOKUP(Table4[[#This Row],[Threat Event Initiation]],NIST_Scale_LOAI[],2,FALSE)</calculatedColumnFormula>
    </tableColumn>
    <tableColumn id="10" xr3:uid="{00000000-0010-0000-0300-00000A000000}" name="Overall Risk Score" dataDxfId="99" totalsRowDxfId="98">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xr3:uid="{00000000-0010-0000-0300-00000B000000}" name="Security _x000a_Risk _x000a_Level" dataDxfId="97" totalsRowDxfId="96">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xr3:uid="{00000000-0010-0000-0300-00000C000000}" name="Security Risk Control Measures" dataDxfId="95" totalsRowDxfId="94"/>
    <tableColumn id="14" xr3:uid="{00000000-0010-0000-0300-00000E000000}" name="Implementation of Risk Control Measures " dataDxfId="93" totalsRowDxfId="92"/>
    <tableColumn id="15" xr3:uid="{00000000-0010-0000-0300-00000F000000}" name="Verification of Risk Control Measures (Effectiveness)" dataDxfId="91" totalsRowDxfId="90"/>
    <tableColumn id="13" xr3:uid="{00000000-0010-0000-0300-00000D000000}" name="ConfidentialityP" dataDxfId="89" totalsRowDxfId="88"/>
    <tableColumn id="27" xr3:uid="{00000000-0010-0000-0300-00001B000000}" name="IntegrityP" dataDxfId="87" totalsRowDxfId="86"/>
    <tableColumn id="28" xr3:uid="{00000000-0010-0000-0300-00001C000000}" name="AvailabilityP" dataDxfId="85" totalsRowDxfId="84"/>
    <tableColumn id="8" xr3:uid="{00000000-0010-0000-0300-000008000000}" name="Attack VectorP" dataDxfId="83" totalsRowDxfId="82"/>
    <tableColumn id="29" xr3:uid="{00000000-0010-0000-0300-00001D000000}" name="Attack ComplexityP" dataDxfId="81" totalsRowDxfId="80"/>
    <tableColumn id="30" xr3:uid="{00000000-0010-0000-0300-00001E000000}" name="Privileges RequiredP" dataDxfId="79" totalsRowDxfId="78"/>
    <tableColumn id="31" xr3:uid="{00000000-0010-0000-0300-00001F000000}" name="User InteractionP" dataDxfId="77"/>
    <tableColumn id="36" xr3:uid="{00000000-0010-0000-0300-000024000000}" name="ScopeP" dataDxfId="76" totalsRowDxfId="75"/>
    <tableColumn id="35" xr3:uid="{00000000-0010-0000-0300-000023000000}" name="Exploitability Sub ScoreP" dataDxfId="74" totalsRowDxfId="73">
      <calculatedColumnFormula>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calculatedColumnFormula>
    </tableColumn>
    <tableColumn id="40" xr3:uid="{00000000-0010-0000-0300-000028000000}" name="ISC BaseP" dataDxfId="72" totalsRowDxfId="71">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xr3:uid="{00000000-0010-0000-0300-000029000000}" name="Impact Sub ScoreP" dataDxfId="70" totalsRowDxfId="69">
      <calculatedColumnFormula>IF(Table4[[#This Row],[ScopeP]]="Unchanged",6.42*Table4[[#This Row],[ISC BaseP]],IF(Table4[[#This Row],[ScopeP]]="Changed",7.52*(Table4[[#This Row],[ISC BaseP]] - 0.029) - 3.25 * POWER(Table4[[#This Row],[ISC BaseP]] - 0.02,15),NA()))</calculatedColumnFormula>
    </tableColumn>
    <tableColumn id="42" xr3:uid="{00000000-0010-0000-0300-00002A000000}" name="CVSS v3.0 Base ScoreP" dataDxfId="68" totalsRowDxfId="67">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xr3:uid="{00000000-0010-0000-0300-000031000000}" name="Overall Risk ScoreP" dataDxfId="66" totalsRowDxfId="65">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xr3:uid="{00000000-0010-0000-0300-000032000000}" name="Security Risk LevelP" dataDxfId="64" totalsRowDxfId="63">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xr3:uid="{00000000-0010-0000-0300-000014000000}" name="Residual Security Risk Acceptability Justification" dataDxfId="62" totalsRowDxfId="61"/>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Table41415" displayName="Table41415" ref="A4:M9" totalsRowShown="0" headerRowDxfId="45" dataDxfId="44" tableBorderDxfId="43">
  <tableColumns count="13">
    <tableColumn id="1" xr3:uid="{00000000-0010-0000-0400-000001000000}" name="_x000a_ID #" dataDxfId="42" totalsRowDxfId="41">
      <calculatedColumnFormula>Table4[[#This Row],[
ID '#]]</calculatedColumnFormula>
    </tableColumn>
    <tableColumn id="23" xr3:uid="{00000000-0010-0000-0400-000017000000}" name="T ID" dataDxfId="40" totalsRowDxfId="39">
      <calculatedColumnFormula>IF(Table4[[#This Row],[A ID]]&gt;0,Table4[[#This Row],[T ID]],"")</calculatedColumnFormula>
    </tableColumn>
    <tableColumn id="2" xr3:uid="{00000000-0010-0000-0400-000002000000}" name="Threat Event(s)" dataDxfId="38" totalsRowDxfId="37">
      <calculatedColumnFormula>Table4[[#This Row],[Threat Event(s)]]</calculatedColumnFormula>
    </tableColumn>
    <tableColumn id="22" xr3:uid="{00000000-0010-0000-0400-000016000000}" name="V ID" dataDxfId="36" totalsRowDxfId="35">
      <calculatedColumnFormula>IF(Table4[[#This Row],[V ID]]&gt;0,Table4[[#This Row],[V ID]],"")</calculatedColumnFormula>
    </tableColumn>
    <tableColumn id="3" xr3:uid="{00000000-0010-0000-0400-000003000000}" name="Vulnerabilities" dataDxfId="34" totalsRowDxfId="33">
      <calculatedColumnFormula>Table4[[#This Row],[Vulnerabilities]]</calculatedColumnFormula>
    </tableColumn>
    <tableColumn id="24" xr3:uid="{00000000-0010-0000-0400-000018000000}" name="A ID" dataDxfId="32" totalsRowDxfId="31">
      <calculatedColumnFormula>IF(Table4[[#This Row],[A ID]]&gt;0,Table4[[#This Row],[A ID]],"")</calculatedColumnFormula>
    </tableColumn>
    <tableColumn id="4" xr3:uid="{00000000-0010-0000-0400-000004000000}" name="Assets" dataDxfId="30" totalsRowDxfId="29">
      <calculatedColumnFormula>Table4[[#This Row],[Asset]]</calculatedColumnFormula>
    </tableColumn>
    <tableColumn id="5" xr3:uid="{00000000-0010-0000-0400-000005000000}" name="Impact Description" dataDxfId="28" totalsRowDxfId="27">
      <calculatedColumnFormula>IF(Table4[[#This Row],[Impact Description]]&gt;0,Table4[[#This Row],[Impact Description]],"")</calculatedColumnFormula>
    </tableColumn>
    <tableColumn id="7" xr3:uid="{00000000-0010-0000-0400-000007000000}" name="Safety Impact _x000a_(Risk ID# or N/A)" dataDxfId="26" totalsRowDxfId="25">
      <calculatedColumnFormula>IF(Table4[[#This Row],[Safety Impact 
(Risk ID'# or N/A)]]&gt;0,Table4[[#This Row],[Safety Impact 
(Risk ID'# or N/A)]],"")</calculatedColumnFormula>
    </tableColumn>
    <tableColumn id="11" xr3:uid="{00000000-0010-0000-0400-00000B000000}" name="Pre-Controls _x000a_Risk Level" dataDxfId="24" totalsRowDxfId="23">
      <calculatedColumnFormula>Table4[[#This Row],[Security 
Risk 
Level]]</calculatedColumnFormula>
    </tableColumn>
    <tableColumn id="12" xr3:uid="{00000000-0010-0000-0400-00000C000000}" name="Security Risk Control Measures" dataDxfId="22" totalsRowDxfId="21">
      <calculatedColumnFormula>IF(Table4[[#This Row],[Security Risk Control Measures]]&gt;0,Table4[[#This Row],[Security Risk Control Measures]],"")</calculatedColumnFormula>
    </tableColumn>
    <tableColumn id="50" xr3:uid="{00000000-0010-0000-0400-000032000000}" name="Post-Controls Risk Level" dataDxfId="20" totalsRowDxfId="19">
      <calculatedColumnFormula>Table4[[#This Row],[Security Risk LevelP]]</calculatedColumnFormula>
    </tableColumn>
    <tableColumn id="20" xr3:uid="{00000000-0010-0000-0400-000014000000}" name="Residual Security Risk Acceptability Justification" dataDxfId="18" totalsRowDxfId="17">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NIST_Scale_LOAI" displayName="NIST_Scale_LOAI" ref="Q4:R10" totalsRowShown="0" headerRowDxfId="16" dataDxfId="15" tableBorderDxfId="14">
  <autoFilter ref="Q4:R10" xr:uid="{00000000-0009-0000-0100-000006000000}"/>
  <tableColumns count="2">
    <tableColumn id="1" xr3:uid="{00000000-0010-0000-0500-000001000000}" name="Rating" dataDxfId="13"/>
    <tableColumn id="2" xr3:uid="{00000000-0010-0000-0500-000002000000}" name="Score" dataDxfId="12"/>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4:C10" totalsRowShown="0" headerRowDxfId="11" dataDxfId="10" tableBorderDxfId="9">
  <autoFilter ref="A4:C10" xr:uid="{00000000-0009-0000-0100-000007000000}"/>
  <tableColumns count="3">
    <tableColumn id="1" xr3:uid="{00000000-0010-0000-0600-000001000000}" name="ID#" dataDxfId="8"/>
    <tableColumn id="2" xr3:uid="{00000000-0010-0000-0600-000002000000}" name="Threat Source" dataDxfId="7"/>
    <tableColumn id="3" xr3:uid="{00000000-0010-0000-0600-000003000000}" name="In Scope (Y/N)" dataDxfId="6"/>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E4:G10" totalsRowShown="0" headerRowDxfId="5" dataDxfId="4" tableBorderDxfId="3">
  <autoFilter ref="E4:G10" xr:uid="{00000000-0009-0000-0100-000008000000}"/>
  <tableColumns count="3">
    <tableColumn id="1" xr3:uid="{00000000-0010-0000-0700-000001000000}" name="ID#" dataDxfId="2"/>
    <tableColumn id="2" xr3:uid="{00000000-0010-0000-0700-000002000000}" name="Source" dataDxfId="1"/>
    <tableColumn id="3" xr3:uid="{00000000-0010-0000-0700-000003000000}" name="In Scope (Y/N)" data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39"/>
  <sheetViews>
    <sheetView topLeftCell="A16" zoomScale="90" zoomScaleNormal="90" workbookViewId="0">
      <selection activeCell="C20" sqref="C20"/>
    </sheetView>
  </sheetViews>
  <sheetFormatPr defaultColWidth="9.1796875" defaultRowHeight="14"/>
  <cols>
    <col min="1" max="1" width="7.81640625" style="25" customWidth="1"/>
    <col min="2" max="2" width="30.7265625" style="25" customWidth="1"/>
    <col min="3" max="3" width="40.81640625" style="25" customWidth="1"/>
    <col min="4" max="4" width="51.26953125" style="25" customWidth="1"/>
    <col min="5" max="5" width="16.1796875" style="25" customWidth="1"/>
    <col min="6" max="6" width="14.26953125" style="25" customWidth="1"/>
    <col min="7" max="16384" width="9.1796875" style="25"/>
  </cols>
  <sheetData>
    <row r="1" spans="1:5" s="28" customFormat="1">
      <c r="A1" s="27" t="s">
        <v>0</v>
      </c>
    </row>
    <row r="2" spans="1:5" s="28" customFormat="1"/>
    <row r="3" spans="1:5" s="28" customFormat="1">
      <c r="A3" s="29" t="s">
        <v>1</v>
      </c>
      <c r="B3" s="30"/>
      <c r="C3" s="216" t="s">
        <v>256</v>
      </c>
      <c r="D3" s="216"/>
    </row>
    <row r="4" spans="1:5" s="28" customFormat="1">
      <c r="A4" s="31" t="s">
        <v>2</v>
      </c>
      <c r="B4" s="32"/>
      <c r="C4" s="216"/>
      <c r="D4" s="216"/>
    </row>
    <row r="5" spans="1:5" s="28" customFormat="1">
      <c r="A5" s="31" t="s">
        <v>3</v>
      </c>
      <c r="B5" s="32"/>
      <c r="C5" s="216" t="s">
        <v>299</v>
      </c>
      <c r="D5" s="216"/>
    </row>
    <row r="6" spans="1:5" s="28" customFormat="1" ht="30" customHeight="1">
      <c r="A6" s="33" t="s">
        <v>4</v>
      </c>
      <c r="B6" s="34"/>
      <c r="C6" s="216" t="s">
        <v>300</v>
      </c>
      <c r="D6" s="216"/>
    </row>
    <row r="7" spans="1:5" s="28" customFormat="1"/>
    <row r="8" spans="1:5" s="28" customFormat="1"/>
    <row r="9" spans="1:5" s="28" customFormat="1" ht="28">
      <c r="A9" s="35" t="s">
        <v>5</v>
      </c>
      <c r="B9" s="36" t="s">
        <v>6</v>
      </c>
      <c r="C9" s="36" t="s">
        <v>7</v>
      </c>
      <c r="D9" s="37" t="s">
        <v>8</v>
      </c>
      <c r="E9" s="173" t="s">
        <v>9</v>
      </c>
    </row>
    <row r="10" spans="1:5" s="28" customFormat="1" ht="28">
      <c r="A10" s="38" t="s">
        <v>10</v>
      </c>
      <c r="B10" s="39" t="s">
        <v>339</v>
      </c>
      <c r="C10" s="182" t="s">
        <v>257</v>
      </c>
      <c r="D10" s="182" t="s">
        <v>341</v>
      </c>
      <c r="E10" s="182"/>
    </row>
    <row r="11" spans="1:5" s="28" customFormat="1">
      <c r="A11" s="38" t="s">
        <v>11</v>
      </c>
      <c r="B11" s="39" t="s">
        <v>13</v>
      </c>
      <c r="C11" s="183" t="s">
        <v>258</v>
      </c>
      <c r="D11" s="210" t="s">
        <v>340</v>
      </c>
      <c r="E11" s="182"/>
    </row>
    <row r="12" spans="1:5" s="28" customFormat="1" ht="42">
      <c r="A12" s="38" t="s">
        <v>12</v>
      </c>
      <c r="B12" s="39" t="s">
        <v>13</v>
      </c>
      <c r="C12" s="182" t="s">
        <v>241</v>
      </c>
      <c r="D12" s="182" t="s">
        <v>15</v>
      </c>
      <c r="E12" s="182"/>
    </row>
    <row r="13" spans="1:5" s="28" customFormat="1" ht="28">
      <c r="A13" s="38" t="s">
        <v>14</v>
      </c>
      <c r="B13" s="39" t="s">
        <v>13</v>
      </c>
      <c r="C13" s="183" t="s">
        <v>244</v>
      </c>
      <c r="D13" s="182" t="s">
        <v>17</v>
      </c>
      <c r="E13" s="182"/>
    </row>
    <row r="14" spans="1:5" s="28" customFormat="1" ht="35" customHeight="1">
      <c r="A14" s="38" t="s">
        <v>16</v>
      </c>
      <c r="B14" s="39" t="s">
        <v>13</v>
      </c>
      <c r="C14" s="182" t="s">
        <v>259</v>
      </c>
      <c r="D14" s="182" t="s">
        <v>19</v>
      </c>
      <c r="E14" s="182"/>
    </row>
    <row r="15" spans="1:5" s="28" customFormat="1" ht="42">
      <c r="A15" s="38" t="s">
        <v>18</v>
      </c>
      <c r="B15" s="39" t="s">
        <v>13</v>
      </c>
      <c r="C15" s="41" t="s">
        <v>289</v>
      </c>
      <c r="D15" s="182" t="s">
        <v>342</v>
      </c>
      <c r="E15" s="182"/>
    </row>
    <row r="16" spans="1:5" s="28" customFormat="1">
      <c r="A16" s="38" t="s">
        <v>20</v>
      </c>
      <c r="B16" s="39" t="s">
        <v>339</v>
      </c>
      <c r="C16" s="182" t="s">
        <v>245</v>
      </c>
      <c r="D16" s="182" t="s">
        <v>22</v>
      </c>
      <c r="E16" s="182"/>
    </row>
    <row r="17" spans="1:5" s="28" customFormat="1">
      <c r="A17" s="38" t="s">
        <v>21</v>
      </c>
      <c r="B17" s="39" t="s">
        <v>13</v>
      </c>
      <c r="C17" s="183" t="s">
        <v>24</v>
      </c>
      <c r="D17" s="182" t="s">
        <v>25</v>
      </c>
      <c r="E17" s="182"/>
    </row>
    <row r="18" spans="1:5" s="28" customFormat="1">
      <c r="A18" s="38" t="s">
        <v>23</v>
      </c>
      <c r="B18" s="39" t="s">
        <v>13</v>
      </c>
      <c r="C18" s="183" t="s">
        <v>27</v>
      </c>
      <c r="D18" s="182" t="s">
        <v>28</v>
      </c>
      <c r="E18" s="182"/>
    </row>
    <row r="19" spans="1:5" s="28" customFormat="1">
      <c r="A19" s="38" t="s">
        <v>26</v>
      </c>
      <c r="B19" s="39" t="s">
        <v>13</v>
      </c>
      <c r="C19" s="210" t="s">
        <v>30</v>
      </c>
      <c r="D19" s="210" t="s">
        <v>31</v>
      </c>
      <c r="E19" s="182"/>
    </row>
    <row r="20" spans="1:5" s="28" customFormat="1">
      <c r="A20" s="38" t="s">
        <v>29</v>
      </c>
      <c r="B20" s="39" t="s">
        <v>13</v>
      </c>
      <c r="C20" s="183" t="s">
        <v>35</v>
      </c>
      <c r="D20" s="182" t="s">
        <v>36</v>
      </c>
      <c r="E20" s="182"/>
    </row>
    <row r="21" spans="1:5" s="28" customFormat="1">
      <c r="A21" s="38" t="s">
        <v>32</v>
      </c>
      <c r="B21" s="39" t="s">
        <v>13</v>
      </c>
      <c r="C21" s="213" t="s">
        <v>38</v>
      </c>
      <c r="D21" s="182" t="s">
        <v>343</v>
      </c>
      <c r="E21" s="182"/>
    </row>
    <row r="22" spans="1:5" s="28" customFormat="1" ht="28">
      <c r="A22" s="38" t="s">
        <v>33</v>
      </c>
      <c r="B22" s="40" t="s">
        <v>13</v>
      </c>
      <c r="C22" s="41" t="s">
        <v>270</v>
      </c>
      <c r="D22" s="182" t="s">
        <v>311</v>
      </c>
      <c r="E22" s="182"/>
    </row>
    <row r="23" spans="1:5">
      <c r="A23" s="140" t="s">
        <v>34</v>
      </c>
      <c r="B23" s="40" t="s">
        <v>339</v>
      </c>
      <c r="C23" s="41" t="s">
        <v>304</v>
      </c>
      <c r="D23" s="182" t="s">
        <v>312</v>
      </c>
      <c r="E23" s="214"/>
    </row>
    <row r="24" spans="1:5">
      <c r="A24" s="140" t="s">
        <v>37</v>
      </c>
      <c r="B24" s="40" t="s">
        <v>13</v>
      </c>
      <c r="C24" s="41" t="s">
        <v>308</v>
      </c>
      <c r="D24" s="182" t="s">
        <v>313</v>
      </c>
      <c r="E24" s="214"/>
    </row>
    <row r="25" spans="1:5">
      <c r="A25" s="140" t="s">
        <v>309</v>
      </c>
      <c r="B25" s="40" t="s">
        <v>13</v>
      </c>
      <c r="C25" s="41" t="s">
        <v>310</v>
      </c>
      <c r="D25" s="182" t="s">
        <v>314</v>
      </c>
      <c r="E25" s="214"/>
    </row>
    <row r="36" spans="1:8">
      <c r="A36" s="26" t="s">
        <v>39</v>
      </c>
    </row>
    <row r="37" spans="1:8" ht="34.5" customHeight="1">
      <c r="B37" s="217" t="s">
        <v>40</v>
      </c>
      <c r="C37" s="217"/>
      <c r="D37" s="184"/>
      <c r="E37" s="184"/>
      <c r="F37" s="184"/>
      <c r="G37" s="184"/>
      <c r="H37" s="184"/>
    </row>
    <row r="39" spans="1:8">
      <c r="B39" s="28"/>
    </row>
  </sheetData>
  <mergeCells count="5">
    <mergeCell ref="C3:D3"/>
    <mergeCell ref="C4:D4"/>
    <mergeCell ref="C5:D5"/>
    <mergeCell ref="C6:D6"/>
    <mergeCell ref="B37:C37"/>
  </mergeCells>
  <dataValidations count="1">
    <dataValidation type="list" allowBlank="1" showInputMessage="1" showErrorMessage="1" sqref="C21" xr:uid="{00000000-0002-0000-0000-000000000000}">
      <formula1 xml:space="preserve"> AffectedAsset</formula1>
    </dataValidation>
  </dataValidations>
  <pageMargins left="0.70866141732283472" right="0.70866141732283472" top="1.5748031496062993" bottom="0.74803149606299213" header="0.31496062992125984" footer="0.31496062992125984"/>
  <pageSetup scale="93"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76"/>
  <sheetViews>
    <sheetView zoomScale="90" zoomScaleNormal="90" workbookViewId="0">
      <selection activeCell="D58" sqref="D58"/>
    </sheetView>
  </sheetViews>
  <sheetFormatPr defaultColWidth="9.1796875" defaultRowHeight="14.5"/>
  <cols>
    <col min="1" max="1" width="31.7265625" style="23" customWidth="1"/>
    <col min="2" max="2" width="62.26953125" style="23" customWidth="1"/>
    <col min="3" max="3" width="20.7265625" style="23" customWidth="1"/>
    <col min="4" max="4" width="42.7265625" style="23" customWidth="1"/>
    <col min="5" max="16384" width="9.1796875" style="23"/>
  </cols>
  <sheetData>
    <row r="1" spans="1:4" s="42" customFormat="1" ht="15" customHeight="1">
      <c r="A1" s="27" t="s">
        <v>41</v>
      </c>
    </row>
    <row r="2" spans="1:4" s="42" customFormat="1" ht="15" customHeight="1">
      <c r="A2" s="27"/>
    </row>
    <row r="3" spans="1:4" s="42" customFormat="1" ht="14" hidden="1"/>
    <row r="4" spans="1:4" s="42" customFormat="1" ht="14">
      <c r="A4" s="43" t="s">
        <v>42</v>
      </c>
      <c r="B4" s="44" t="s">
        <v>43</v>
      </c>
      <c r="C4" s="44" t="s">
        <v>44</v>
      </c>
      <c r="D4" s="44" t="s">
        <v>45</v>
      </c>
    </row>
    <row r="5" spans="1:4" s="42" customFormat="1" ht="14">
      <c r="A5" s="45" t="s">
        <v>46</v>
      </c>
      <c r="B5" s="46" t="s">
        <v>260</v>
      </c>
      <c r="C5" s="182" t="s">
        <v>68</v>
      </c>
      <c r="D5" s="182" t="s">
        <v>48</v>
      </c>
    </row>
    <row r="6" spans="1:4" s="42" customFormat="1" ht="14">
      <c r="A6" s="47" t="s">
        <v>49</v>
      </c>
      <c r="B6" s="46" t="s">
        <v>286</v>
      </c>
      <c r="C6" s="182" t="s">
        <v>68</v>
      </c>
      <c r="D6" s="182" t="s">
        <v>48</v>
      </c>
    </row>
    <row r="7" spans="1:4" s="42" customFormat="1" ht="14">
      <c r="A7" s="47" t="s">
        <v>50</v>
      </c>
      <c r="B7" s="48" t="s">
        <v>261</v>
      </c>
      <c r="C7" s="182" t="s">
        <v>47</v>
      </c>
      <c r="D7" s="182" t="s">
        <v>48</v>
      </c>
    </row>
    <row r="8" spans="1:4" s="42" customFormat="1" ht="28">
      <c r="A8" s="47" t="s">
        <v>51</v>
      </c>
      <c r="B8" s="48" t="s">
        <v>345</v>
      </c>
      <c r="C8" s="182" t="s">
        <v>47</v>
      </c>
      <c r="D8" s="182" t="s">
        <v>346</v>
      </c>
    </row>
    <row r="9" spans="1:4" s="42" customFormat="1" ht="14">
      <c r="A9" s="47" t="s">
        <v>306</v>
      </c>
      <c r="B9" s="48" t="s">
        <v>332</v>
      </c>
      <c r="C9" s="182" t="s">
        <v>68</v>
      </c>
      <c r="D9" s="182" t="s">
        <v>48</v>
      </c>
    </row>
    <row r="10" spans="1:4" s="42" customFormat="1" ht="14">
      <c r="A10" s="47" t="s">
        <v>350</v>
      </c>
      <c r="B10" s="48" t="s">
        <v>351</v>
      </c>
      <c r="C10" s="182" t="s">
        <v>47</v>
      </c>
      <c r="D10" s="182" t="s">
        <v>48</v>
      </c>
    </row>
    <row r="11" spans="1:4" s="42" customFormat="1" ht="14">
      <c r="A11" s="49" t="s">
        <v>246</v>
      </c>
      <c r="B11" s="49"/>
      <c r="C11" s="49"/>
      <c r="D11" s="49"/>
    </row>
    <row r="12" spans="1:4" s="42" customFormat="1" ht="14">
      <c r="A12" s="50" t="s">
        <v>52</v>
      </c>
      <c r="B12" s="50" t="s">
        <v>262</v>
      </c>
      <c r="C12" s="182" t="s">
        <v>47</v>
      </c>
      <c r="D12" s="48" t="s">
        <v>56</v>
      </c>
    </row>
    <row r="13" spans="1:4" s="42" customFormat="1" ht="14">
      <c r="A13" s="47" t="s">
        <v>53</v>
      </c>
      <c r="B13" s="48" t="s">
        <v>301</v>
      </c>
      <c r="C13" s="182" t="s">
        <v>47</v>
      </c>
      <c r="D13" s="48" t="s">
        <v>48</v>
      </c>
    </row>
    <row r="14" spans="1:4" s="42" customFormat="1" ht="14">
      <c r="A14" s="47" t="s">
        <v>54</v>
      </c>
      <c r="B14" s="50" t="s">
        <v>55</v>
      </c>
      <c r="C14" s="182" t="s">
        <v>47</v>
      </c>
      <c r="D14" s="48" t="s">
        <v>56</v>
      </c>
    </row>
    <row r="15" spans="1:4" s="42" customFormat="1" ht="14">
      <c r="A15" s="47" t="s">
        <v>57</v>
      </c>
      <c r="B15" s="50" t="s">
        <v>280</v>
      </c>
      <c r="C15" s="182" t="s">
        <v>47</v>
      </c>
      <c r="D15" s="48" t="s">
        <v>56</v>
      </c>
    </row>
    <row r="16" spans="1:4" s="42" customFormat="1" ht="14">
      <c r="A16" s="47" t="s">
        <v>58</v>
      </c>
      <c r="B16" s="48" t="s">
        <v>302</v>
      </c>
      <c r="C16" s="182" t="s">
        <v>47</v>
      </c>
      <c r="D16" s="48" t="s">
        <v>48</v>
      </c>
    </row>
    <row r="17" spans="1:4" s="42" customFormat="1" ht="14">
      <c r="A17" s="47" t="s">
        <v>59</v>
      </c>
      <c r="B17" s="48" t="s">
        <v>303</v>
      </c>
      <c r="C17" s="182" t="s">
        <v>47</v>
      </c>
      <c r="D17" s="48" t="s">
        <v>48</v>
      </c>
    </row>
    <row r="18" spans="1:4" s="42" customFormat="1" ht="14">
      <c r="A18" s="47" t="s">
        <v>60</v>
      </c>
      <c r="B18" s="48" t="s">
        <v>318</v>
      </c>
      <c r="C18" s="182" t="s">
        <v>47</v>
      </c>
      <c r="D18" s="48" t="s">
        <v>48</v>
      </c>
    </row>
    <row r="19" spans="1:4" s="42" customFormat="1" ht="14">
      <c r="A19" s="195" t="s">
        <v>281</v>
      </c>
      <c r="B19" s="48" t="s">
        <v>282</v>
      </c>
      <c r="C19" s="194" t="s">
        <v>47</v>
      </c>
      <c r="D19" s="48" t="s">
        <v>48</v>
      </c>
    </row>
    <row r="20" spans="1:4" s="42" customFormat="1" ht="14">
      <c r="A20" s="49" t="s">
        <v>283</v>
      </c>
      <c r="B20" s="49"/>
      <c r="C20" s="49"/>
      <c r="D20" s="49"/>
    </row>
    <row r="21" spans="1:4" s="42" customFormat="1" ht="14">
      <c r="A21" s="50" t="s">
        <v>61</v>
      </c>
      <c r="B21" s="182" t="s">
        <v>240</v>
      </c>
      <c r="C21" s="182" t="s">
        <v>47</v>
      </c>
      <c r="D21" s="48" t="s">
        <v>48</v>
      </c>
    </row>
    <row r="22" spans="1:4" s="42" customFormat="1" ht="14">
      <c r="A22" s="50" t="s">
        <v>62</v>
      </c>
      <c r="B22" s="182" t="s">
        <v>284</v>
      </c>
      <c r="C22" s="182" t="s">
        <v>47</v>
      </c>
      <c r="D22" s="48" t="s">
        <v>48</v>
      </c>
    </row>
    <row r="23" spans="1:4" s="42" customFormat="1" ht="28">
      <c r="A23" s="50" t="s">
        <v>63</v>
      </c>
      <c r="B23" s="182" t="s">
        <v>263</v>
      </c>
      <c r="C23" s="182" t="s">
        <v>47</v>
      </c>
      <c r="D23" s="48" t="s">
        <v>48</v>
      </c>
    </row>
    <row r="24" spans="1:4" s="42" customFormat="1" ht="14">
      <c r="A24" s="50" t="s">
        <v>64</v>
      </c>
      <c r="B24" s="182" t="s">
        <v>264</v>
      </c>
      <c r="C24" s="182" t="s">
        <v>47</v>
      </c>
      <c r="D24" s="48" t="s">
        <v>48</v>
      </c>
    </row>
    <row r="25" spans="1:4" s="42" customFormat="1" ht="14">
      <c r="A25" s="47" t="s">
        <v>65</v>
      </c>
      <c r="B25" s="48" t="s">
        <v>347</v>
      </c>
      <c r="C25" s="182" t="s">
        <v>47</v>
      </c>
      <c r="D25" s="48" t="s">
        <v>48</v>
      </c>
    </row>
    <row r="26" spans="1:4" s="42" customFormat="1" ht="14">
      <c r="A26" s="47" t="s">
        <v>66</v>
      </c>
      <c r="B26" s="48" t="s">
        <v>265</v>
      </c>
      <c r="C26" s="182" t="s">
        <v>47</v>
      </c>
      <c r="D26" s="48" t="s">
        <v>48</v>
      </c>
    </row>
    <row r="27" spans="1:4" s="42" customFormat="1" ht="14">
      <c r="A27" s="47" t="s">
        <v>242</v>
      </c>
      <c r="B27" s="48" t="s">
        <v>72</v>
      </c>
      <c r="C27" s="182" t="s">
        <v>47</v>
      </c>
      <c r="D27" s="48" t="s">
        <v>48</v>
      </c>
    </row>
    <row r="28" spans="1:4" s="42" customFormat="1" ht="14">
      <c r="A28" s="47" t="s">
        <v>243</v>
      </c>
      <c r="B28" s="48" t="s">
        <v>73</v>
      </c>
      <c r="C28" s="182" t="s">
        <v>47</v>
      </c>
      <c r="D28" s="48" t="s">
        <v>48</v>
      </c>
    </row>
    <row r="29" spans="1:4" s="42" customFormat="1" ht="14">
      <c r="A29" s="195" t="s">
        <v>348</v>
      </c>
      <c r="B29" s="48" t="s">
        <v>349</v>
      </c>
      <c r="C29" s="194" t="s">
        <v>47</v>
      </c>
      <c r="D29" s="48" t="s">
        <v>48</v>
      </c>
    </row>
    <row r="30" spans="1:4" s="42" customFormat="1" ht="14">
      <c r="A30" s="171" t="s">
        <v>269</v>
      </c>
      <c r="B30" s="172"/>
      <c r="C30" s="172"/>
      <c r="D30" s="172"/>
    </row>
    <row r="31" spans="1:4" s="42" customFormat="1" ht="14">
      <c r="A31" s="191" t="s">
        <v>67</v>
      </c>
      <c r="B31" s="192" t="s">
        <v>285</v>
      </c>
      <c r="C31" s="182" t="s">
        <v>47</v>
      </c>
      <c r="D31" s="48" t="s">
        <v>48</v>
      </c>
    </row>
    <row r="32" spans="1:4" s="42" customFormat="1" ht="14">
      <c r="A32" s="191" t="s">
        <v>268</v>
      </c>
      <c r="B32" s="193" t="s">
        <v>267</v>
      </c>
      <c r="C32" s="182" t="s">
        <v>47</v>
      </c>
      <c r="D32" s="48" t="s">
        <v>48</v>
      </c>
    </row>
    <row r="33" spans="1:8" s="42" customFormat="1" ht="14">
      <c r="A33" s="191" t="s">
        <v>69</v>
      </c>
      <c r="B33" s="193" t="s">
        <v>271</v>
      </c>
      <c r="C33" s="194" t="s">
        <v>47</v>
      </c>
      <c r="D33" s="48" t="s">
        <v>48</v>
      </c>
    </row>
    <row r="34" spans="1:8" s="42" customFormat="1" ht="14">
      <c r="A34" s="191" t="s">
        <v>70</v>
      </c>
      <c r="B34" s="193" t="s">
        <v>272</v>
      </c>
      <c r="C34" s="194" t="s">
        <v>47</v>
      </c>
      <c r="D34" s="48" t="s">
        <v>48</v>
      </c>
    </row>
    <row r="35" spans="1:8" s="42" customFormat="1" ht="14">
      <c r="A35" s="188" t="s">
        <v>71</v>
      </c>
      <c r="B35" s="189" t="s">
        <v>317</v>
      </c>
      <c r="C35" s="194" t="s">
        <v>47</v>
      </c>
      <c r="D35" s="48" t="s">
        <v>48</v>
      </c>
    </row>
    <row r="36" spans="1:8" s="42" customFormat="1" ht="14">
      <c r="A36" s="191" t="s">
        <v>315</v>
      </c>
      <c r="B36" s="193" t="s">
        <v>316</v>
      </c>
      <c r="C36" s="194" t="s">
        <v>47</v>
      </c>
      <c r="D36" s="190" t="s">
        <v>48</v>
      </c>
    </row>
    <row r="37" spans="1:8" s="42" customFormat="1" ht="14">
      <c r="A37" s="191"/>
      <c r="B37" s="192"/>
      <c r="C37" s="192"/>
      <c r="D37" s="192"/>
    </row>
    <row r="38" spans="1:8" s="42" customFormat="1" ht="14">
      <c r="A38" s="171" t="s">
        <v>74</v>
      </c>
      <c r="B38" s="172"/>
      <c r="C38" s="172"/>
      <c r="D38" s="172"/>
    </row>
    <row r="39" spans="1:8" s="42" customFormat="1" ht="14">
      <c r="A39" s="47" t="s">
        <v>75</v>
      </c>
      <c r="B39" s="48" t="s">
        <v>266</v>
      </c>
      <c r="C39" s="182" t="s">
        <v>47</v>
      </c>
      <c r="D39" s="48" t="s">
        <v>48</v>
      </c>
    </row>
    <row r="40" spans="1:8" s="42" customFormat="1" ht="14">
      <c r="A40" s="47" t="s">
        <v>77</v>
      </c>
      <c r="B40" s="48" t="s">
        <v>76</v>
      </c>
      <c r="C40" s="182" t="s">
        <v>68</v>
      </c>
      <c r="D40" s="48" t="s">
        <v>48</v>
      </c>
    </row>
    <row r="41" spans="1:8" s="42" customFormat="1" ht="14">
      <c r="A41" s="51" t="s">
        <v>79</v>
      </c>
      <c r="B41" s="52" t="s">
        <v>78</v>
      </c>
      <c r="C41" s="182" t="s">
        <v>68</v>
      </c>
      <c r="D41" s="48" t="s">
        <v>48</v>
      </c>
    </row>
    <row r="42" spans="1:8" s="42" customFormat="1" ht="14">
      <c r="A42" s="51" t="s">
        <v>254</v>
      </c>
      <c r="B42" s="52" t="s">
        <v>307</v>
      </c>
      <c r="C42" s="182" t="s">
        <v>47</v>
      </c>
      <c r="D42" s="48" t="s">
        <v>48</v>
      </c>
      <c r="E42" s="184"/>
      <c r="F42" s="184"/>
      <c r="G42" s="184"/>
      <c r="H42" s="184"/>
    </row>
    <row r="43" spans="1:8" s="42" customFormat="1" ht="14">
      <c r="A43" s="47" t="s">
        <v>344</v>
      </c>
      <c r="B43" s="48" t="s">
        <v>255</v>
      </c>
      <c r="C43" s="182" t="s">
        <v>47</v>
      </c>
      <c r="D43" s="48" t="s">
        <v>48</v>
      </c>
    </row>
    <row r="44" spans="1:8">
      <c r="A44" s="171" t="s">
        <v>247</v>
      </c>
      <c r="B44" s="172"/>
      <c r="C44" s="172"/>
      <c r="D44" s="172"/>
    </row>
    <row r="45" spans="1:8">
      <c r="A45" s="188" t="s">
        <v>251</v>
      </c>
      <c r="B45" s="189" t="s">
        <v>248</v>
      </c>
      <c r="C45" s="182" t="s">
        <v>68</v>
      </c>
      <c r="D45" s="48" t="s">
        <v>48</v>
      </c>
    </row>
    <row r="46" spans="1:8">
      <c r="A46" s="188" t="s">
        <v>252</v>
      </c>
      <c r="B46" s="189" t="s">
        <v>249</v>
      </c>
      <c r="C46" s="182" t="s">
        <v>68</v>
      </c>
      <c r="D46" s="48" t="s">
        <v>48</v>
      </c>
    </row>
    <row r="47" spans="1:8">
      <c r="A47" s="188" t="s">
        <v>253</v>
      </c>
      <c r="B47" s="189" t="s">
        <v>250</v>
      </c>
      <c r="C47" s="182" t="s">
        <v>68</v>
      </c>
      <c r="D47" s="48" t="s">
        <v>48</v>
      </c>
    </row>
    <row r="48" spans="1:8">
      <c r="A48" s="188"/>
      <c r="B48" s="189"/>
      <c r="C48" s="189"/>
      <c r="D48" s="189"/>
    </row>
    <row r="49" spans="1:4">
      <c r="A49" s="171"/>
      <c r="B49" s="172"/>
      <c r="C49" s="172"/>
      <c r="D49" s="172"/>
    </row>
    <row r="50" spans="1:4">
      <c r="A50" s="191"/>
      <c r="B50" s="192"/>
      <c r="C50" s="192"/>
      <c r="D50" s="192"/>
    </row>
    <row r="51" spans="1:4">
      <c r="A51" s="191"/>
      <c r="B51" s="192"/>
      <c r="C51" s="192"/>
      <c r="D51" s="192"/>
    </row>
    <row r="52" spans="1:4">
      <c r="A52" s="191"/>
      <c r="B52" s="192"/>
      <c r="C52" s="192"/>
      <c r="D52" s="192"/>
    </row>
    <row r="53" spans="1:4">
      <c r="A53" s="191"/>
      <c r="B53" s="192"/>
      <c r="C53" s="192"/>
      <c r="D53" s="192"/>
    </row>
    <row r="54" spans="1:4">
      <c r="A54" s="191"/>
      <c r="B54" s="192"/>
      <c r="C54" s="192"/>
      <c r="D54" s="192"/>
    </row>
    <row r="55" spans="1:4">
      <c r="A55" s="191"/>
      <c r="B55" s="192"/>
      <c r="C55" s="192"/>
      <c r="D55" s="192"/>
    </row>
    <row r="56" spans="1:4">
      <c r="A56" s="191"/>
      <c r="B56" s="192"/>
      <c r="C56" s="192"/>
      <c r="D56" s="192"/>
    </row>
    <row r="57" spans="1:4">
      <c r="A57" s="191"/>
      <c r="B57" s="192"/>
      <c r="C57" s="192"/>
      <c r="D57" s="192"/>
    </row>
    <row r="58" spans="1:4">
      <c r="A58" s="191"/>
      <c r="B58" s="192"/>
      <c r="C58" s="192"/>
      <c r="D58" s="192"/>
    </row>
    <row r="59" spans="1:4">
      <c r="A59" s="191"/>
      <c r="B59" s="215"/>
      <c r="C59" s="192"/>
      <c r="D59" s="192"/>
    </row>
    <row r="60" spans="1:4">
      <c r="A60" s="191"/>
      <c r="B60" s="215"/>
      <c r="C60" s="192"/>
      <c r="D60" s="192"/>
    </row>
    <row r="61" spans="1:4">
      <c r="A61" s="191"/>
      <c r="B61" s="215"/>
      <c r="C61" s="192"/>
      <c r="D61" s="192"/>
    </row>
    <row r="62" spans="1:4">
      <c r="A62" s="188"/>
      <c r="B62"/>
      <c r="C62" s="189"/>
      <c r="D62" s="189"/>
    </row>
    <row r="63" spans="1:4">
      <c r="A63" s="188"/>
      <c r="B63"/>
      <c r="C63" s="189"/>
      <c r="D63" s="189"/>
    </row>
    <row r="64" spans="1:4">
      <c r="A64" s="188"/>
      <c r="B64"/>
      <c r="C64" s="189"/>
      <c r="D64" s="189"/>
    </row>
    <row r="65" spans="1:4">
      <c r="A65" s="188"/>
      <c r="B65"/>
      <c r="C65" s="189"/>
      <c r="D65" s="189"/>
    </row>
    <row r="66" spans="1:4">
      <c r="A66" s="188"/>
      <c r="B66"/>
      <c r="C66" s="189"/>
      <c r="D66" s="189"/>
    </row>
    <row r="67" spans="1:4">
      <c r="A67" s="188"/>
      <c r="B67"/>
      <c r="C67" s="189"/>
      <c r="D67" s="189"/>
    </row>
    <row r="68" spans="1:4">
      <c r="A68" s="188"/>
      <c r="B68"/>
      <c r="C68" s="189"/>
      <c r="D68" s="189"/>
    </row>
    <row r="69" spans="1:4">
      <c r="A69" s="188"/>
      <c r="B69"/>
      <c r="C69" s="189"/>
      <c r="D69" s="189"/>
    </row>
    <row r="70" spans="1:4">
      <c r="A70" s="188"/>
      <c r="B70"/>
      <c r="C70" s="189"/>
      <c r="D70" s="189"/>
    </row>
    <row r="71" spans="1:4">
      <c r="A71" s="188"/>
      <c r="B71"/>
      <c r="C71" s="189"/>
      <c r="D71" s="189"/>
    </row>
    <row r="72" spans="1:4">
      <c r="A72" s="188"/>
      <c r="B72" s="215"/>
      <c r="C72" s="189"/>
      <c r="D72" s="189"/>
    </row>
    <row r="73" spans="1:4">
      <c r="A73" s="191"/>
      <c r="B73" s="192"/>
      <c r="C73" s="192"/>
      <c r="D73" s="192"/>
    </row>
    <row r="74" spans="1:4">
      <c r="A74" s="26" t="s">
        <v>39</v>
      </c>
      <c r="B74" s="42"/>
      <c r="C74" s="42"/>
      <c r="D74" s="42"/>
    </row>
    <row r="75" spans="1:4" ht="31.5">
      <c r="A75" s="42"/>
      <c r="B75" s="184" t="s">
        <v>40</v>
      </c>
      <c r="C75" s="184"/>
      <c r="D75" s="184"/>
    </row>
    <row r="76" spans="1:4">
      <c r="A76" s="42"/>
      <c r="B76" s="42"/>
      <c r="C76" s="42"/>
      <c r="D76" s="42"/>
    </row>
  </sheetData>
  <pageMargins left="0.7" right="0.7" top="1.3495833333333334" bottom="0.75" header="0.3" footer="0.3"/>
  <pageSetup scale="80"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'Reference - CVSSv3.0'!$Q$12:$Q$14</xm:f>
          </x14:formula1>
          <xm:sqref>C39:C43 C31:C36 C45:C47 C12:C19 C5:C10 C21:C29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65"/>
  <sheetViews>
    <sheetView topLeftCell="A13" zoomScale="90" zoomScaleNormal="90" workbookViewId="0">
      <selection activeCell="B2" sqref="B2"/>
    </sheetView>
  </sheetViews>
  <sheetFormatPr defaultColWidth="9.1796875" defaultRowHeight="14.5"/>
  <cols>
    <col min="1" max="1" width="6.1796875" style="23" customWidth="1"/>
    <col min="2" max="2" width="61" style="23" bestFit="1" customWidth="1"/>
    <col min="3" max="3" width="49.453125" style="23" customWidth="1"/>
    <col min="4" max="4" width="27.81640625" style="23" customWidth="1"/>
    <col min="5" max="5" width="15.1796875" style="24" customWidth="1"/>
    <col min="6" max="6" width="24.7265625" style="23" customWidth="1"/>
    <col min="7" max="16384" width="9.1796875" style="23"/>
  </cols>
  <sheetData>
    <row r="1" spans="1:6" s="42" customFormat="1" ht="14">
      <c r="A1" s="27" t="s">
        <v>148</v>
      </c>
      <c r="E1" s="53"/>
    </row>
    <row r="2" spans="1:6" s="42" customFormat="1" ht="14">
      <c r="E2" s="53"/>
    </row>
    <row r="3" spans="1:6" s="42" customFormat="1" ht="28">
      <c r="A3" s="54" t="s">
        <v>149</v>
      </c>
      <c r="B3" s="54" t="s">
        <v>150</v>
      </c>
      <c r="C3" s="54" t="s">
        <v>151</v>
      </c>
      <c r="D3" s="54" t="s">
        <v>152</v>
      </c>
      <c r="E3" s="54" t="s">
        <v>153</v>
      </c>
      <c r="F3" s="55" t="s">
        <v>154</v>
      </c>
    </row>
    <row r="4" spans="1:6" s="62" customFormat="1" ht="56">
      <c r="A4" s="175" t="s">
        <v>128</v>
      </c>
      <c r="B4" s="56" t="s">
        <v>155</v>
      </c>
      <c r="C4" s="57" t="s">
        <v>319</v>
      </c>
      <c r="D4" s="58" t="s">
        <v>279</v>
      </c>
      <c r="E4" s="59" t="s">
        <v>47</v>
      </c>
      <c r="F4" s="61" t="s">
        <v>48</v>
      </c>
    </row>
    <row r="5" spans="1:6" s="42" customFormat="1" ht="56">
      <c r="A5" s="175" t="s">
        <v>135</v>
      </c>
      <c r="B5" s="56" t="s">
        <v>157</v>
      </c>
      <c r="C5" s="57" t="s">
        <v>320</v>
      </c>
      <c r="D5" s="58" t="s">
        <v>158</v>
      </c>
      <c r="E5" s="59" t="s">
        <v>47</v>
      </c>
      <c r="F5" s="61" t="s">
        <v>48</v>
      </c>
    </row>
    <row r="6" spans="1:6" s="42" customFormat="1" ht="70">
      <c r="A6" s="175" t="s">
        <v>139</v>
      </c>
      <c r="B6" s="56" t="s">
        <v>273</v>
      </c>
      <c r="C6" s="56" t="s">
        <v>160</v>
      </c>
      <c r="D6" s="58" t="s">
        <v>156</v>
      </c>
      <c r="E6" s="59" t="s">
        <v>47</v>
      </c>
      <c r="F6" s="61" t="s">
        <v>48</v>
      </c>
    </row>
    <row r="7" spans="1:6" s="42" customFormat="1" ht="56">
      <c r="A7" s="175" t="s">
        <v>161</v>
      </c>
      <c r="B7" s="182" t="s">
        <v>274</v>
      </c>
      <c r="C7" s="63" t="s">
        <v>162</v>
      </c>
      <c r="D7" s="176" t="s">
        <v>163</v>
      </c>
      <c r="E7" s="59" t="s">
        <v>47</v>
      </c>
      <c r="F7" s="61" t="s">
        <v>48</v>
      </c>
    </row>
    <row r="8" spans="1:6" s="42" customFormat="1" ht="42">
      <c r="A8" s="52" t="s">
        <v>140</v>
      </c>
      <c r="B8" s="52" t="s">
        <v>275</v>
      </c>
      <c r="C8" s="41" t="s">
        <v>321</v>
      </c>
      <c r="D8" s="41" t="s">
        <v>156</v>
      </c>
      <c r="E8" s="174" t="s">
        <v>47</v>
      </c>
      <c r="F8" s="61" t="s">
        <v>48</v>
      </c>
    </row>
    <row r="9" spans="1:6" s="42" customFormat="1" ht="56">
      <c r="A9" s="52" t="s">
        <v>141</v>
      </c>
      <c r="B9" s="52" t="s">
        <v>305</v>
      </c>
      <c r="C9" s="41" t="s">
        <v>322</v>
      </c>
      <c r="D9" s="41" t="s">
        <v>163</v>
      </c>
      <c r="E9" s="174" t="s">
        <v>47</v>
      </c>
      <c r="F9" s="61" t="s">
        <v>48</v>
      </c>
    </row>
    <row r="10" spans="1:6" s="42" customFormat="1" ht="28">
      <c r="A10" s="48" t="s">
        <v>143</v>
      </c>
      <c r="B10" s="52" t="s">
        <v>276</v>
      </c>
      <c r="C10" s="182" t="s">
        <v>164</v>
      </c>
      <c r="D10" s="48" t="s">
        <v>165</v>
      </c>
      <c r="E10" s="59" t="s">
        <v>47</v>
      </c>
      <c r="F10" s="61" t="s">
        <v>48</v>
      </c>
    </row>
    <row r="11" spans="1:6" s="42" customFormat="1" ht="28">
      <c r="A11" s="48" t="s">
        <v>144</v>
      </c>
      <c r="B11" s="182" t="s">
        <v>293</v>
      </c>
      <c r="C11" s="182" t="s">
        <v>323</v>
      </c>
      <c r="D11" s="48" t="s">
        <v>156</v>
      </c>
      <c r="E11" s="59" t="s">
        <v>47</v>
      </c>
      <c r="F11" s="61" t="s">
        <v>48</v>
      </c>
    </row>
    <row r="12" spans="1:6" s="42" customFormat="1" ht="28">
      <c r="A12" s="48" t="s">
        <v>145</v>
      </c>
      <c r="B12" s="48" t="s">
        <v>277</v>
      </c>
      <c r="C12" s="182" t="s">
        <v>324</v>
      </c>
      <c r="D12" s="48" t="s">
        <v>156</v>
      </c>
      <c r="E12" s="59" t="s">
        <v>47</v>
      </c>
      <c r="F12" s="61" t="s">
        <v>48</v>
      </c>
    </row>
    <row r="13" spans="1:6" s="42" customFormat="1" ht="56">
      <c r="A13" s="48" t="s">
        <v>146</v>
      </c>
      <c r="B13" s="182" t="s">
        <v>287</v>
      </c>
      <c r="C13" s="182" t="s">
        <v>325</v>
      </c>
      <c r="D13" s="182" t="s">
        <v>163</v>
      </c>
      <c r="E13" s="59" t="s">
        <v>47</v>
      </c>
      <c r="F13" s="61" t="s">
        <v>48</v>
      </c>
    </row>
    <row r="14" spans="1:6" s="42" customFormat="1" ht="56">
      <c r="A14" s="48" t="s">
        <v>147</v>
      </c>
      <c r="B14" s="48" t="s">
        <v>278</v>
      </c>
      <c r="C14" s="182" t="s">
        <v>338</v>
      </c>
      <c r="D14" s="41" t="s">
        <v>163</v>
      </c>
      <c r="E14" s="59" t="s">
        <v>47</v>
      </c>
      <c r="F14" s="61" t="s">
        <v>48</v>
      </c>
    </row>
    <row r="15" spans="1:6" s="42" customFormat="1" ht="56">
      <c r="A15" s="190" t="s">
        <v>329</v>
      </c>
      <c r="B15" s="190" t="s">
        <v>334</v>
      </c>
      <c r="C15" s="194" t="s">
        <v>337</v>
      </c>
      <c r="D15" s="41" t="s">
        <v>163</v>
      </c>
      <c r="E15" s="196" t="s">
        <v>47</v>
      </c>
      <c r="F15" s="61" t="s">
        <v>48</v>
      </c>
    </row>
    <row r="16" spans="1:6" s="42" customFormat="1" ht="56">
      <c r="A16" s="52" t="s">
        <v>330</v>
      </c>
      <c r="B16" s="52" t="s">
        <v>331</v>
      </c>
      <c r="C16" s="182" t="s">
        <v>336</v>
      </c>
      <c r="D16" s="41" t="s">
        <v>163</v>
      </c>
      <c r="E16" s="174" t="s">
        <v>47</v>
      </c>
      <c r="F16" s="61" t="s">
        <v>48</v>
      </c>
    </row>
    <row r="17" spans="1:6" s="42" customFormat="1" ht="42">
      <c r="A17" s="48" t="s">
        <v>353</v>
      </c>
      <c r="B17" s="48" t="s">
        <v>352</v>
      </c>
      <c r="C17" s="182" t="s">
        <v>354</v>
      </c>
      <c r="D17" s="182" t="s">
        <v>355</v>
      </c>
      <c r="E17" s="59" t="s">
        <v>47</v>
      </c>
      <c r="F17" s="61" t="s">
        <v>48</v>
      </c>
    </row>
    <row r="18" spans="1:6" s="42" customFormat="1" ht="14">
      <c r="A18" s="26" t="s">
        <v>39</v>
      </c>
      <c r="E18" s="53"/>
    </row>
    <row r="19" spans="1:6" s="42" customFormat="1" ht="25.5" customHeight="1">
      <c r="B19" s="217" t="s">
        <v>40</v>
      </c>
      <c r="C19" s="217"/>
      <c r="D19" s="217"/>
      <c r="E19" s="184"/>
      <c r="F19" s="184"/>
    </row>
    <row r="20" spans="1:6" s="42" customFormat="1" ht="14">
      <c r="E20" s="53"/>
    </row>
    <row r="21" spans="1:6" s="42" customFormat="1" ht="14">
      <c r="E21" s="53"/>
    </row>
    <row r="22" spans="1:6" s="42" customFormat="1" ht="14">
      <c r="E22" s="53"/>
    </row>
    <row r="23" spans="1:6" s="42" customFormat="1" ht="14">
      <c r="E23" s="53"/>
    </row>
    <row r="24" spans="1:6" s="42" customFormat="1" ht="14">
      <c r="E24" s="53"/>
    </row>
    <row r="25" spans="1:6" s="42" customFormat="1" ht="14">
      <c r="E25" s="53"/>
    </row>
    <row r="26" spans="1:6" s="42" customFormat="1" ht="14">
      <c r="E26" s="53"/>
    </row>
    <row r="27" spans="1:6" s="42" customFormat="1" ht="14">
      <c r="E27" s="53"/>
    </row>
    <row r="28" spans="1:6" s="42" customFormat="1" ht="14">
      <c r="E28" s="53"/>
    </row>
    <row r="29" spans="1:6" s="42" customFormat="1" ht="14">
      <c r="E29" s="53"/>
    </row>
    <row r="30" spans="1:6" s="42" customFormat="1" ht="14">
      <c r="E30" s="53"/>
    </row>
    <row r="31" spans="1:6" s="42" customFormat="1" ht="14">
      <c r="E31" s="53"/>
    </row>
    <row r="32" spans="1:6" s="42" customFormat="1" ht="14">
      <c r="E32" s="53"/>
    </row>
    <row r="33" spans="5:5" s="42" customFormat="1" ht="14">
      <c r="E33" s="53"/>
    </row>
    <row r="34" spans="5:5" s="42" customFormat="1" ht="14">
      <c r="E34" s="53"/>
    </row>
    <row r="35" spans="5:5" s="42" customFormat="1" ht="14">
      <c r="E35" s="53"/>
    </row>
    <row r="36" spans="5:5" s="42" customFormat="1" ht="14">
      <c r="E36" s="53"/>
    </row>
    <row r="37" spans="5:5" s="42" customFormat="1" ht="14">
      <c r="E37" s="53"/>
    </row>
    <row r="38" spans="5:5" s="42" customFormat="1" ht="14">
      <c r="E38" s="53"/>
    </row>
    <row r="39" spans="5:5" s="42" customFormat="1" ht="14">
      <c r="E39" s="53"/>
    </row>
    <row r="40" spans="5:5" s="42" customFormat="1" ht="14">
      <c r="E40" s="53"/>
    </row>
    <row r="41" spans="5:5" s="42" customFormat="1" ht="14">
      <c r="E41" s="53"/>
    </row>
    <row r="42" spans="5:5" s="42" customFormat="1" ht="14">
      <c r="E42" s="53"/>
    </row>
    <row r="43" spans="5:5" s="42" customFormat="1" ht="14">
      <c r="E43" s="53"/>
    </row>
    <row r="44" spans="5:5" s="42" customFormat="1" ht="14">
      <c r="E44" s="53"/>
    </row>
    <row r="45" spans="5:5" s="42" customFormat="1" ht="14">
      <c r="E45" s="53"/>
    </row>
    <row r="46" spans="5:5" s="42" customFormat="1" ht="14">
      <c r="E46" s="53"/>
    </row>
    <row r="47" spans="5:5" s="42" customFormat="1" ht="14">
      <c r="E47" s="53"/>
    </row>
    <row r="48" spans="5:5" s="42" customFormat="1" ht="14">
      <c r="E48" s="53"/>
    </row>
    <row r="49" spans="1:6" s="42" customFormat="1" ht="14">
      <c r="E49" s="53"/>
    </row>
    <row r="50" spans="1:6" s="42" customFormat="1" ht="14">
      <c r="E50" s="53"/>
    </row>
    <row r="51" spans="1:6" s="42" customFormat="1" ht="14">
      <c r="E51" s="53"/>
    </row>
    <row r="52" spans="1:6" s="42" customFormat="1" ht="14">
      <c r="E52" s="53"/>
    </row>
    <row r="53" spans="1:6" s="42" customFormat="1" ht="14">
      <c r="E53" s="53"/>
    </row>
    <row r="54" spans="1:6" s="42" customFormat="1" ht="14">
      <c r="E54" s="53"/>
    </row>
    <row r="55" spans="1:6" s="42" customFormat="1" ht="14">
      <c r="E55" s="53"/>
    </row>
    <row r="56" spans="1:6" s="42" customFormat="1" ht="14">
      <c r="E56" s="53"/>
    </row>
    <row r="57" spans="1:6" s="42" customFormat="1" ht="14">
      <c r="E57" s="53"/>
    </row>
    <row r="58" spans="1:6" s="42" customFormat="1" ht="14">
      <c r="E58" s="53"/>
    </row>
    <row r="59" spans="1:6" s="42" customFormat="1" ht="14">
      <c r="E59" s="53"/>
    </row>
    <row r="60" spans="1:6" s="42" customFormat="1" ht="14">
      <c r="E60" s="53"/>
    </row>
    <row r="61" spans="1:6" s="42" customFormat="1" ht="14">
      <c r="E61" s="53"/>
    </row>
    <row r="62" spans="1:6" s="42" customFormat="1" ht="14">
      <c r="E62" s="53"/>
    </row>
    <row r="63" spans="1:6">
      <c r="A63" s="42"/>
      <c r="B63" s="42"/>
      <c r="C63" s="42"/>
      <c r="D63" s="42"/>
      <c r="E63" s="53"/>
      <c r="F63" s="42"/>
    </row>
    <row r="64" spans="1:6">
      <c r="A64" s="42"/>
      <c r="B64" s="42"/>
      <c r="C64" s="42"/>
      <c r="D64" s="42"/>
      <c r="E64" s="53"/>
      <c r="F64" s="42"/>
    </row>
    <row r="65" spans="1:6">
      <c r="A65" s="42"/>
      <c r="B65" s="42"/>
      <c r="C65" s="42"/>
      <c r="D65" s="42"/>
      <c r="E65" s="53"/>
      <c r="F65" s="42"/>
    </row>
  </sheetData>
  <mergeCells count="1">
    <mergeCell ref="B19:D19"/>
  </mergeCells>
  <pageMargins left="0.7" right="0.7" top="1.2537499999999999" bottom="0.75" header="0.3" footer="0.3"/>
  <pageSetup scale="76"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m:sqref>E4:E17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S54"/>
  <sheetViews>
    <sheetView tabSelected="1" zoomScale="80" zoomScaleNormal="80" workbookViewId="0">
      <pane xSplit="7" ySplit="4" topLeftCell="H5" activePane="bottomRight" state="frozen"/>
      <selection pane="topRight" activeCell="H1" sqref="H1"/>
      <selection pane="bottomLeft" activeCell="A5" sqref="A5"/>
      <selection pane="bottomRight" activeCell="E24" sqref="E24"/>
    </sheetView>
  </sheetViews>
  <sheetFormatPr defaultColWidth="9.1796875" defaultRowHeight="14.5"/>
  <cols>
    <col min="2" max="2" width="4.81640625" customWidth="1"/>
    <col min="3" max="3" width="38.7265625" customWidth="1"/>
    <col min="4" max="4" width="5" customWidth="1"/>
    <col min="5" max="5" width="29.54296875" bestFit="1" customWidth="1"/>
    <col min="6" max="6" width="6.26953125" customWidth="1"/>
    <col min="7" max="7" width="19.81640625" bestFit="1" customWidth="1"/>
    <col min="8" max="8" width="44.1796875" customWidth="1"/>
    <col min="9" max="9" width="25.453125" hidden="1" customWidth="1"/>
    <col min="10" max="12" width="9.1796875" style="181" customWidth="1"/>
    <col min="13" max="17" width="15.81640625" customWidth="1"/>
    <col min="18" max="20" width="15.81640625" hidden="1" customWidth="1"/>
    <col min="21" max="21" width="15.81640625" customWidth="1"/>
    <col min="22" max="22" width="15.26953125" customWidth="1"/>
    <col min="23" max="23" width="17.453125" hidden="1" customWidth="1"/>
    <col min="24" max="25" width="12.1796875" customWidth="1"/>
    <col min="26" max="26" width="35.7265625" customWidth="1"/>
    <col min="27" max="27" width="32.7265625" customWidth="1"/>
    <col min="28" max="28" width="23.1796875" customWidth="1"/>
    <col min="29" max="31" width="9.1796875" customWidth="1"/>
    <col min="32" max="36" width="15.81640625" customWidth="1"/>
    <col min="37" max="39" width="15.81640625" hidden="1" customWidth="1"/>
    <col min="40" max="42" width="15.81640625" customWidth="1"/>
    <col min="43" max="43" width="40.7265625" customWidth="1"/>
    <col min="44" max="44" width="13.26953125" customWidth="1"/>
    <col min="45" max="45" width="24.81640625" customWidth="1"/>
  </cols>
  <sheetData>
    <row r="1" spans="1:45" s="64" customFormat="1" ht="14">
      <c r="A1" s="27" t="s">
        <v>80</v>
      </c>
      <c r="J1" s="93"/>
      <c r="K1" s="93"/>
      <c r="L1" s="93"/>
    </row>
    <row r="2" spans="1:45" s="64" customFormat="1" ht="14">
      <c r="A2" s="64" t="s">
        <v>81</v>
      </c>
      <c r="J2" s="93"/>
      <c r="K2" s="93"/>
      <c r="L2" s="93"/>
    </row>
    <row r="3" spans="1:45" s="64" customFormat="1" ht="23.25" customHeight="1">
      <c r="A3" s="65"/>
      <c r="B3" s="66"/>
      <c r="C3" s="66"/>
      <c r="D3" s="67"/>
      <c r="E3" s="68"/>
      <c r="F3" s="224" t="s">
        <v>82</v>
      </c>
      <c r="G3" s="224"/>
      <c r="H3" s="224"/>
      <c r="I3" s="224"/>
      <c r="J3" s="225" t="s">
        <v>83</v>
      </c>
      <c r="K3" s="226"/>
      <c r="L3" s="226"/>
      <c r="M3" s="226"/>
      <c r="N3" s="226"/>
      <c r="O3" s="226"/>
      <c r="P3" s="226"/>
      <c r="Q3" s="226"/>
      <c r="R3" s="226"/>
      <c r="S3" s="226"/>
      <c r="T3" s="226"/>
      <c r="U3" s="226"/>
      <c r="V3" s="226"/>
      <c r="W3" s="226"/>
      <c r="X3" s="226"/>
      <c r="Y3" s="227"/>
      <c r="Z3" s="221" t="s">
        <v>84</v>
      </c>
      <c r="AA3" s="222"/>
      <c r="AB3" s="223"/>
      <c r="AC3" s="218" t="s">
        <v>85</v>
      </c>
      <c r="AD3" s="219"/>
      <c r="AE3" s="219"/>
      <c r="AF3" s="219"/>
      <c r="AG3" s="219"/>
      <c r="AH3" s="219"/>
      <c r="AI3" s="219"/>
      <c r="AJ3" s="219"/>
      <c r="AK3" s="219"/>
      <c r="AL3" s="219"/>
      <c r="AM3" s="219"/>
      <c r="AN3" s="219"/>
      <c r="AO3" s="219"/>
      <c r="AP3" s="219"/>
      <c r="AQ3" s="220"/>
      <c r="AR3" s="69"/>
      <c r="AS3" s="69"/>
    </row>
    <row r="4" spans="1:45" s="64" customFormat="1" ht="59" customHeight="1">
      <c r="A4" s="70" t="s">
        <v>86</v>
      </c>
      <c r="B4" s="71" t="s">
        <v>87</v>
      </c>
      <c r="C4" s="72" t="s">
        <v>88</v>
      </c>
      <c r="D4" s="73" t="s">
        <v>89</v>
      </c>
      <c r="E4" s="74" t="s">
        <v>90</v>
      </c>
      <c r="F4" s="75" t="s">
        <v>91</v>
      </c>
      <c r="G4" s="76" t="s">
        <v>7</v>
      </c>
      <c r="H4" s="76" t="s">
        <v>92</v>
      </c>
      <c r="I4" s="77" t="s">
        <v>93</v>
      </c>
      <c r="J4" s="150" t="s">
        <v>94</v>
      </c>
      <c r="K4" s="150" t="s">
        <v>95</v>
      </c>
      <c r="L4" s="150" t="s">
        <v>96</v>
      </c>
      <c r="M4" s="147" t="s">
        <v>97</v>
      </c>
      <c r="N4" s="147" t="s">
        <v>98</v>
      </c>
      <c r="O4" s="147" t="s">
        <v>99</v>
      </c>
      <c r="P4" s="147" t="s">
        <v>100</v>
      </c>
      <c r="Q4" s="147" t="s">
        <v>101</v>
      </c>
      <c r="R4" s="147" t="s">
        <v>102</v>
      </c>
      <c r="S4" s="147" t="s">
        <v>103</v>
      </c>
      <c r="T4" s="147" t="s">
        <v>104</v>
      </c>
      <c r="U4" s="147" t="s">
        <v>105</v>
      </c>
      <c r="V4" s="151" t="s">
        <v>106</v>
      </c>
      <c r="W4" s="151" t="s">
        <v>107</v>
      </c>
      <c r="X4" s="152" t="s">
        <v>108</v>
      </c>
      <c r="Y4" s="153" t="s">
        <v>109</v>
      </c>
      <c r="Z4" s="146" t="s">
        <v>110</v>
      </c>
      <c r="AA4" s="146" t="s">
        <v>111</v>
      </c>
      <c r="AB4" s="146" t="s">
        <v>112</v>
      </c>
      <c r="AC4" s="154" t="s">
        <v>113</v>
      </c>
      <c r="AD4" s="154" t="s">
        <v>114</v>
      </c>
      <c r="AE4" s="154" t="s">
        <v>115</v>
      </c>
      <c r="AF4" s="155" t="s">
        <v>116</v>
      </c>
      <c r="AG4" s="155" t="s">
        <v>117</v>
      </c>
      <c r="AH4" s="155" t="s">
        <v>118</v>
      </c>
      <c r="AI4" s="155" t="s">
        <v>119</v>
      </c>
      <c r="AJ4" s="155" t="s">
        <v>120</v>
      </c>
      <c r="AK4" s="155" t="s">
        <v>121</v>
      </c>
      <c r="AL4" s="155" t="s">
        <v>122</v>
      </c>
      <c r="AM4" s="155" t="s">
        <v>123</v>
      </c>
      <c r="AN4" s="155" t="s">
        <v>124</v>
      </c>
      <c r="AO4" s="155" t="s">
        <v>125</v>
      </c>
      <c r="AP4" s="155" t="s">
        <v>126</v>
      </c>
      <c r="AQ4" s="168" t="s">
        <v>127</v>
      </c>
      <c r="AR4" s="69"/>
      <c r="AS4" s="69"/>
    </row>
    <row r="5" spans="1:45" s="42" customFormat="1" ht="84">
      <c r="A5" s="59">
        <v>1</v>
      </c>
      <c r="B5" s="48" t="s">
        <v>128</v>
      </c>
      <c r="C5" s="79" t="str">
        <f>IF(VLOOKUP(Table4[[#This Row],[T ID]],Table5[#All],5,FALSE)="No","Not in scope",VLOOKUP(Table4[[#This Row],[T ID]],Table5[#All],2,FALSE))</f>
        <v>Deliver undirected malware</v>
      </c>
      <c r="D5" s="48" t="s">
        <v>69</v>
      </c>
      <c r="E5" s="79" t="str">
        <f>IF(VLOOKUP(Table4[[#This Row],[V ID]],Vulnerabilities[#All],3,FALSE)="No","Not in scope",VLOOKUP(Table4[[#This Row],[V ID]],Vulnerabilities[#All],2,FALSE))</f>
        <v>Unrestricted Wifi communication with open/untrusted sources</v>
      </c>
      <c r="F5" s="82" t="s">
        <v>33</v>
      </c>
      <c r="G5" s="79" t="str">
        <f>VLOOKUP(Table4[[#This Row],[A ID]],Assets[#All],3,FALSE)</f>
        <v>Wireless communication interfaces (Wifi, BT,etc..)</v>
      </c>
      <c r="H5" s="182" t="s">
        <v>326</v>
      </c>
      <c r="I5" s="48"/>
      <c r="J5" s="80" t="s">
        <v>131</v>
      </c>
      <c r="K5" s="80" t="s">
        <v>129</v>
      </c>
      <c r="L5" s="80" t="s">
        <v>136</v>
      </c>
      <c r="M5" s="145" t="s">
        <v>130</v>
      </c>
      <c r="N5" s="145" t="s">
        <v>129</v>
      </c>
      <c r="O5" s="145" t="s">
        <v>129</v>
      </c>
      <c r="P5" s="145" t="s">
        <v>137</v>
      </c>
      <c r="Q5" s="145" t="s">
        <v>132</v>
      </c>
      <c r="R5"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5" s="149">
        <f>(1 - ((1 - VLOOKUP(Table4[[#This Row],[Confidentiality]],'Reference - CVSSv3.0'!$B$15:$C$17,2,FALSE)) * (1 - VLOOKUP(Table4[[#This Row],[Integrity]],'Reference - CVSSv3.0'!$B$15:$C$17,2,FALSE)) *  (1 - VLOOKUP(Table4[[#This Row],[Availability]],'Reference - CVSSv3.0'!$B$15:$C$17,2,FALSE))))</f>
        <v>0.65680000000000005</v>
      </c>
      <c r="T5" s="149">
        <f>IF(Table4[[#This Row],[Scope]]="Unchanged",6.42*Table4[[#This Row],[ISC Base]],IF(Table4[[#This Row],[Scope]]="Changed",7.52*(Table4[[#This Row],[ISC Base]] - 0.029) - 3.25 * POWER(Table4[[#This Row],[ISC Base]] - 0.02,15),NA()))</f>
        <v>4.2166560000000004</v>
      </c>
      <c r="U5" s="149">
        <f>IF(Table4[[#This Row],[Impact Sub Score]]&lt;=0,0,IF(Table4[[#This Row],[Scope]]="Unchanged",ROUNDUP(MIN((Table4[[#This Row],[Impact Sub Score]]+Table4[[#This Row],[Exploitability Sub Score]]),10),1),IF(Table4[[#This Row],[Scope]]="Changed",ROUNDUP(MIN((1.08*(Table4[[#This Row],[Impact Sub Score]]+Table4[[#This Row],[Exploitability Sub Score]])),10),1),NA())))</f>
        <v>6.3</v>
      </c>
      <c r="V5" s="178" t="s">
        <v>142</v>
      </c>
      <c r="W5" s="149">
        <f>VLOOKUP(Table4[[#This Row],[Threat Event Initiation]],NIST_Scale_LOAI[],2,FALSE)</f>
        <v>0.5</v>
      </c>
      <c r="X5"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5"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 s="182"/>
      <c r="AA5" s="182"/>
      <c r="AB5" s="187"/>
      <c r="AC5" s="48"/>
      <c r="AD5" s="48"/>
      <c r="AE5" s="48"/>
      <c r="AF5" s="145"/>
      <c r="AG5" s="145"/>
      <c r="AH5" s="145"/>
      <c r="AI5" s="145"/>
      <c r="AJ5" s="145"/>
      <c r="AK5"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 s="149" t="e">
        <f>(1 - ((1 - VLOOKUP(Table4[[#This Row],[ConfidentialityP]],'Reference - CVSSv3.0'!$B$15:$C$17,2,FALSE)) * (1 - VLOOKUP(Table4[[#This Row],[IntegrityP]],'Reference - CVSSv3.0'!$B$15:$C$17,2,FALSE)) *  (1 - VLOOKUP(Table4[[#This Row],[AvailabilityP]],'Reference - CVSSv3.0'!$B$15:$C$17,2,FALSE))))</f>
        <v>#N/A</v>
      </c>
      <c r="AM5" s="149" t="e">
        <f>IF(Table4[[#This Row],[ScopeP]]="Unchanged",6.42*Table4[[#This Row],[ISC BaseP]],IF(Table4[[#This Row],[ScopeP]]="Changed",7.52*(Table4[[#This Row],[ISC BaseP]] - 0.029) - 3.25 * POWER(Table4[[#This Row],[ISC BaseP]] - 0.02,15),NA()))</f>
        <v>#N/A</v>
      </c>
      <c r="AN5"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48"/>
    </row>
    <row r="6" spans="1:45" s="42" customFormat="1" ht="84">
      <c r="A6" s="59">
        <v>2</v>
      </c>
      <c r="B6" s="48" t="s">
        <v>128</v>
      </c>
      <c r="C6" s="79" t="str">
        <f>IF(VLOOKUP(Table4[[#This Row],[T ID]],Table5[#All],5,FALSE)="No","Not in scope",VLOOKUP(Table4[[#This Row],[T ID]],Table5[#All],2,FALSE))</f>
        <v>Deliver undirected malware</v>
      </c>
      <c r="D6" s="48" t="s">
        <v>70</v>
      </c>
      <c r="E6" s="79" t="str">
        <f>IF(VLOOKUP(Table4[[#This Row],[V ID]],Vulnerabilities[#All],3,FALSE)="No","Not in scope",VLOOKUP(Table4[[#This Row],[V ID]],Vulnerabilities[#All],2,FALSE))</f>
        <v>Unrestricted BT communication/transfer with multiple sources</v>
      </c>
      <c r="F6" s="82" t="s">
        <v>33</v>
      </c>
      <c r="G6" s="79" t="str">
        <f>VLOOKUP(Table4[[#This Row],[A ID]],Assets[#All],3,FALSE)</f>
        <v>Wireless communication interfaces (Wifi, BT,etc..)</v>
      </c>
      <c r="H6" s="182" t="s">
        <v>326</v>
      </c>
      <c r="I6" s="48"/>
      <c r="J6" s="80" t="s">
        <v>131</v>
      </c>
      <c r="K6" s="80" t="s">
        <v>129</v>
      </c>
      <c r="L6" s="80" t="s">
        <v>136</v>
      </c>
      <c r="M6" s="145" t="s">
        <v>130</v>
      </c>
      <c r="N6" s="145" t="s">
        <v>129</v>
      </c>
      <c r="O6" s="145" t="s">
        <v>129</v>
      </c>
      <c r="P6" s="145" t="s">
        <v>137</v>
      </c>
      <c r="Q6" s="145" t="s">
        <v>132</v>
      </c>
      <c r="R6"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6" s="149">
        <f>(1 - ((1 - VLOOKUP(Table4[[#This Row],[Confidentiality]],'Reference - CVSSv3.0'!$B$15:$C$17,2,FALSE)) * (1 - VLOOKUP(Table4[[#This Row],[Integrity]],'Reference - CVSSv3.0'!$B$15:$C$17,2,FALSE)) *  (1 - VLOOKUP(Table4[[#This Row],[Availability]],'Reference - CVSSv3.0'!$B$15:$C$17,2,FALSE))))</f>
        <v>0.65680000000000005</v>
      </c>
      <c r="T6" s="149">
        <f>IF(Table4[[#This Row],[Scope]]="Unchanged",6.42*Table4[[#This Row],[ISC Base]],IF(Table4[[#This Row],[Scope]]="Changed",7.52*(Table4[[#This Row],[ISC Base]] - 0.029) - 3.25 * POWER(Table4[[#This Row],[ISC Base]] - 0.02,15),NA()))</f>
        <v>4.2166560000000004</v>
      </c>
      <c r="U6" s="149">
        <f>IF(Table4[[#This Row],[Impact Sub Score]]&lt;=0,0,IF(Table4[[#This Row],[Scope]]="Unchanged",ROUNDUP(MIN((Table4[[#This Row],[Impact Sub Score]]+Table4[[#This Row],[Exploitability Sub Score]]),10),1),IF(Table4[[#This Row],[Scope]]="Changed",ROUNDUP(MIN((1.08*(Table4[[#This Row],[Impact Sub Score]]+Table4[[#This Row],[Exploitability Sub Score]])),10),1),NA())))</f>
        <v>6.3</v>
      </c>
      <c r="V6" s="178" t="s">
        <v>142</v>
      </c>
      <c r="W6" s="149">
        <f>VLOOKUP(Table4[[#This Row],[Threat Event Initiation]],NIST_Scale_LOAI[],2,FALSE)</f>
        <v>0.5</v>
      </c>
      <c r="X6"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6"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 s="182"/>
      <c r="AA6" s="182"/>
      <c r="AB6" s="187"/>
      <c r="AC6" s="48"/>
      <c r="AD6" s="48"/>
      <c r="AE6" s="48"/>
      <c r="AF6" s="145"/>
      <c r="AG6" s="145"/>
      <c r="AH6" s="145"/>
      <c r="AI6" s="145"/>
      <c r="AJ6" s="145"/>
      <c r="AK6"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149" t="e">
        <f>(1 - ((1 - VLOOKUP(Table4[[#This Row],[ConfidentialityP]],'Reference - CVSSv3.0'!$B$15:$C$17,2,FALSE)) * (1 - VLOOKUP(Table4[[#This Row],[IntegrityP]],'Reference - CVSSv3.0'!$B$15:$C$17,2,FALSE)) *  (1 - VLOOKUP(Table4[[#This Row],[AvailabilityP]],'Reference - CVSSv3.0'!$B$15:$C$17,2,FALSE))))</f>
        <v>#N/A</v>
      </c>
      <c r="AM6" s="149" t="e">
        <f>IF(Table4[[#This Row],[ScopeP]]="Unchanged",6.42*Table4[[#This Row],[ISC BaseP]],IF(Table4[[#This Row],[ScopeP]]="Changed",7.52*(Table4[[#This Row],[ISC BaseP]] - 0.029) - 3.25 * POWER(Table4[[#This Row],[ISC BaseP]] - 0.02,15),NA()))</f>
        <v>#N/A</v>
      </c>
      <c r="AN6"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48"/>
    </row>
    <row r="7" spans="1:45" s="42" customFormat="1" ht="84">
      <c r="A7" s="59">
        <v>3</v>
      </c>
      <c r="B7" s="48" t="s">
        <v>128</v>
      </c>
      <c r="C7" s="79" t="str">
        <f>IF(VLOOKUP(Table4[[#This Row],[T ID]],Table5[#All],5,FALSE)="No","Not in scope",VLOOKUP(Table4[[#This Row],[T ID]],Table5[#All],2,FALSE))</f>
        <v>Deliver undirected malware</v>
      </c>
      <c r="D7" s="48" t="s">
        <v>71</v>
      </c>
      <c r="E7" s="79" t="str">
        <f>IF(VLOOKUP(Table4[[#This Row],[V ID]],Vulnerabilities[#All],3,FALSE)="No","Not in scope",VLOOKUP(Table4[[#This Row],[V ID]],Vulnerabilities[#All],2,FALSE))</f>
        <v>Removable device communication through charging interfaces</v>
      </c>
      <c r="F7" s="82" t="s">
        <v>34</v>
      </c>
      <c r="G7" s="79" t="str">
        <f>VLOOKUP(Table4[[#This Row],[A ID]],Assets[#All],3,FALSE)</f>
        <v>Physical charging ports/interfaces</v>
      </c>
      <c r="H7" s="182" t="s">
        <v>326</v>
      </c>
      <c r="I7" s="48"/>
      <c r="J7" s="80" t="s">
        <v>131</v>
      </c>
      <c r="K7" s="80" t="s">
        <v>129</v>
      </c>
      <c r="L7" s="80" t="s">
        <v>136</v>
      </c>
      <c r="M7" s="145" t="s">
        <v>138</v>
      </c>
      <c r="N7" s="145" t="s">
        <v>129</v>
      </c>
      <c r="O7" s="145" t="s">
        <v>129</v>
      </c>
      <c r="P7" s="145" t="s">
        <v>137</v>
      </c>
      <c r="Q7" s="145" t="s">
        <v>132</v>
      </c>
      <c r="R7"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7" s="149">
        <f>(1 - ((1 - VLOOKUP(Table4[[#This Row],[Confidentiality]],'Reference - CVSSv3.0'!$B$15:$C$17,2,FALSE)) * (1 - VLOOKUP(Table4[[#This Row],[Integrity]],'Reference - CVSSv3.0'!$B$15:$C$17,2,FALSE)) *  (1 - VLOOKUP(Table4[[#This Row],[Availability]],'Reference - CVSSv3.0'!$B$15:$C$17,2,FALSE))))</f>
        <v>0.65680000000000005</v>
      </c>
      <c r="T7" s="149">
        <f>IF(Table4[[#This Row],[Scope]]="Unchanged",6.42*Table4[[#This Row],[ISC Base]],IF(Table4[[#This Row],[Scope]]="Changed",7.52*(Table4[[#This Row],[ISC Base]] - 0.029) - 3.25 * POWER(Table4[[#This Row],[ISC Base]] - 0.02,15),NA()))</f>
        <v>4.2166560000000004</v>
      </c>
      <c r="U7" s="149">
        <f>IF(Table4[[#This Row],[Impact Sub Score]]&lt;=0,0,IF(Table4[[#This Row],[Scope]]="Unchanged",ROUNDUP(MIN((Table4[[#This Row],[Impact Sub Score]]+Table4[[#This Row],[Exploitability Sub Score]]),10),1),IF(Table4[[#This Row],[Scope]]="Changed",ROUNDUP(MIN((1.08*(Table4[[#This Row],[Impact Sub Score]]+Table4[[#This Row],[Exploitability Sub Score]])),10),1),NA())))</f>
        <v>4.8</v>
      </c>
      <c r="V7" s="178" t="s">
        <v>180</v>
      </c>
      <c r="W7" s="149">
        <f>VLOOKUP(Table4[[#This Row],[Threat Event Initiation]],NIST_Scale_LOAI[],2,FALSE)</f>
        <v>0.04</v>
      </c>
      <c r="X7"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7"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 s="182"/>
      <c r="AA7" s="182"/>
      <c r="AB7" s="187"/>
      <c r="AC7" s="48"/>
      <c r="AD7" s="48"/>
      <c r="AE7" s="48"/>
      <c r="AF7" s="145"/>
      <c r="AG7" s="145"/>
      <c r="AH7" s="145"/>
      <c r="AI7" s="145"/>
      <c r="AJ7" s="145"/>
      <c r="AK7"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149" t="e">
        <f>(1 - ((1 - VLOOKUP(Table4[[#This Row],[ConfidentialityP]],'Reference - CVSSv3.0'!$B$15:$C$17,2,FALSE)) * (1 - VLOOKUP(Table4[[#This Row],[IntegrityP]],'Reference - CVSSv3.0'!$B$15:$C$17,2,FALSE)) *  (1 - VLOOKUP(Table4[[#This Row],[AvailabilityP]],'Reference - CVSSv3.0'!$B$15:$C$17,2,FALSE))))</f>
        <v>#N/A</v>
      </c>
      <c r="AM7" s="149" t="e">
        <f>IF(Table4[[#This Row],[ScopeP]]="Unchanged",6.42*Table4[[#This Row],[ISC BaseP]],IF(Table4[[#This Row],[ScopeP]]="Changed",7.52*(Table4[[#This Row],[ISC BaseP]] - 0.029) - 3.25 * POWER(Table4[[#This Row],[ISC BaseP]] - 0.02,15),NA()))</f>
        <v>#N/A</v>
      </c>
      <c r="AN7"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48"/>
    </row>
    <row r="8" spans="1:45" s="42" customFormat="1" ht="98">
      <c r="A8" s="59">
        <v>4</v>
      </c>
      <c r="B8" s="48" t="s">
        <v>128</v>
      </c>
      <c r="C8" s="79" t="str">
        <f>IF(VLOOKUP(Table4[[#This Row],[T ID]],Table5[#All],5,FALSE)="No","Not in scope",VLOOKUP(Table4[[#This Row],[T ID]],Table5[#All],2,FALSE))</f>
        <v>Deliver undirected malware</v>
      </c>
      <c r="D8" s="48" t="s">
        <v>58</v>
      </c>
      <c r="E8" s="79" t="str">
        <f>IF(VLOOKUP(Table4[[#This Row],[V ID]],Vulnerabilities[#All],3,FALSE)="No","Not in scope",VLOOKUP(Table4[[#This Row],[V ID]],Vulnerabilities[#All],2,FALSE))</f>
        <v>3rd Party Component Dependency &amp; Vulnerabilities in Application</v>
      </c>
      <c r="F8" s="82" t="s">
        <v>18</v>
      </c>
      <c r="G8" s="79" t="str">
        <f>VLOOKUP(Table4[[#This Row],[A ID]],Assets[#All],3,FALSE)</f>
        <v>Knee balancer supporting software components (binaries, frameworks, 3rd party components, etc..)</v>
      </c>
      <c r="H8" s="182" t="s">
        <v>326</v>
      </c>
      <c r="I8" s="48"/>
      <c r="J8" s="80" t="s">
        <v>131</v>
      </c>
      <c r="K8" s="80" t="s">
        <v>131</v>
      </c>
      <c r="L8" s="80" t="s">
        <v>136</v>
      </c>
      <c r="M8" s="145" t="s">
        <v>134</v>
      </c>
      <c r="N8" s="145" t="s">
        <v>129</v>
      </c>
      <c r="O8" s="145" t="s">
        <v>129</v>
      </c>
      <c r="P8" s="145" t="s">
        <v>131</v>
      </c>
      <c r="Q8" s="145" t="s">
        <v>132</v>
      </c>
      <c r="R8"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8" s="149">
        <f>(1 - ((1 - VLOOKUP(Table4[[#This Row],[Confidentiality]],'Reference - CVSSv3.0'!$B$15:$C$17,2,FALSE)) * (1 - VLOOKUP(Table4[[#This Row],[Integrity]],'Reference - CVSSv3.0'!$B$15:$C$17,2,FALSE)) *  (1 - VLOOKUP(Table4[[#This Row],[Availability]],'Reference - CVSSv3.0'!$B$15:$C$17,2,FALSE))))</f>
        <v>0.56000000000000005</v>
      </c>
      <c r="T8" s="149">
        <f>IF(Table4[[#This Row],[Scope]]="Unchanged",6.42*Table4[[#This Row],[ISC Base]],IF(Table4[[#This Row],[Scope]]="Changed",7.52*(Table4[[#This Row],[ISC Base]] - 0.029) - 3.25 * POWER(Table4[[#This Row],[ISC Base]] - 0.02,15),NA()))</f>
        <v>3.5952000000000002</v>
      </c>
      <c r="U8" s="149">
        <f>IF(Table4[[#This Row],[Impact Sub Score]]&lt;=0,0,IF(Table4[[#This Row],[Scope]]="Unchanged",ROUNDUP(MIN((Table4[[#This Row],[Impact Sub Score]]+Table4[[#This Row],[Exploitability Sub Score]]),10),1),IF(Table4[[#This Row],[Scope]]="Changed",ROUNDUP(MIN((1.08*(Table4[[#This Row],[Impact Sub Score]]+Table4[[#This Row],[Exploitability Sub Score]])),10),1),NA())))</f>
        <v>5.5</v>
      </c>
      <c r="V8" s="178" t="s">
        <v>129</v>
      </c>
      <c r="W8" s="149">
        <f>VLOOKUP(Table4[[#This Row],[Threat Event Initiation]],NIST_Scale_LOAI[],2,FALSE)</f>
        <v>0.2</v>
      </c>
      <c r="X8"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8"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 s="182"/>
      <c r="AA8" s="182"/>
      <c r="AB8" s="81"/>
      <c r="AC8" s="48"/>
      <c r="AD8" s="48"/>
      <c r="AE8" s="48"/>
      <c r="AF8" s="145"/>
      <c r="AG8" s="145"/>
      <c r="AH8" s="145"/>
      <c r="AI8" s="145"/>
      <c r="AJ8" s="145"/>
      <c r="AK8"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149" t="e">
        <f>(1 - ((1 - VLOOKUP(Table4[[#This Row],[ConfidentialityP]],'Reference - CVSSv3.0'!$B$15:$C$17,2,FALSE)) * (1 - VLOOKUP(Table4[[#This Row],[IntegrityP]],'Reference - CVSSv3.0'!$B$15:$C$17,2,FALSE)) *  (1 - VLOOKUP(Table4[[#This Row],[AvailabilityP]],'Reference - CVSSv3.0'!$B$15:$C$17,2,FALSE))))</f>
        <v>#N/A</v>
      </c>
      <c r="AM8" s="149" t="e">
        <f>IF(Table4[[#This Row],[ScopeP]]="Unchanged",6.42*Table4[[#This Row],[ISC BaseP]],IF(Table4[[#This Row],[ScopeP]]="Changed",7.52*(Table4[[#This Row],[ISC BaseP]] - 0.029) - 3.25 * POWER(Table4[[#This Row],[ISC BaseP]] - 0.02,15),NA()))</f>
        <v>#N/A</v>
      </c>
      <c r="AN8"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48"/>
    </row>
    <row r="9" spans="1:45" s="42" customFormat="1" ht="56">
      <c r="A9" s="59">
        <v>5</v>
      </c>
      <c r="B9" s="48" t="s">
        <v>128</v>
      </c>
      <c r="C9" s="79" t="str">
        <f>IF(VLOOKUP(Table4[[#This Row],[T ID]],Table5[#All],5,FALSE)="No","Not in scope",VLOOKUP(Table4[[#This Row],[T ID]],Table5[#All],2,FALSE))</f>
        <v>Deliver undirected malware</v>
      </c>
      <c r="D9" s="48" t="s">
        <v>281</v>
      </c>
      <c r="E9" s="79" t="str">
        <f>IF(VLOOKUP(Table4[[#This Row],[V ID]],Vulnerabilities[#All],3,FALSE)="No","Not in scope",VLOOKUP(Table4[[#This Row],[V ID]],Vulnerabilities[#All],2,FALSE))</f>
        <v>3rd party installed applications from app store</v>
      </c>
      <c r="F9" s="82" t="s">
        <v>10</v>
      </c>
      <c r="G9" s="79" t="str">
        <f>VLOOKUP(Table4[[#This Row],[A ID]],Assets[#All],3,FALSE)</f>
        <v>Mobile Device (ipad, iphone V8-13)</v>
      </c>
      <c r="H9" s="182" t="s">
        <v>288</v>
      </c>
      <c r="I9" s="48"/>
      <c r="J9" s="80" t="s">
        <v>131</v>
      </c>
      <c r="K9" s="80" t="s">
        <v>131</v>
      </c>
      <c r="L9" s="80" t="s">
        <v>136</v>
      </c>
      <c r="M9" s="145" t="s">
        <v>134</v>
      </c>
      <c r="N9" s="145" t="s">
        <v>129</v>
      </c>
      <c r="O9" s="145" t="s">
        <v>129</v>
      </c>
      <c r="P9" s="145" t="s">
        <v>131</v>
      </c>
      <c r="Q9" s="145" t="s">
        <v>132</v>
      </c>
      <c r="R9"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9" s="149">
        <f>(1 - ((1 - VLOOKUP(Table4[[#This Row],[Confidentiality]],'Reference - CVSSv3.0'!$B$15:$C$17,2,FALSE)) * (1 - VLOOKUP(Table4[[#This Row],[Integrity]],'Reference - CVSSv3.0'!$B$15:$C$17,2,FALSE)) *  (1 - VLOOKUP(Table4[[#This Row],[Availability]],'Reference - CVSSv3.0'!$B$15:$C$17,2,FALSE))))</f>
        <v>0.56000000000000005</v>
      </c>
      <c r="T9" s="149">
        <f>IF(Table4[[#This Row],[Scope]]="Unchanged",6.42*Table4[[#This Row],[ISC Base]],IF(Table4[[#This Row],[Scope]]="Changed",7.52*(Table4[[#This Row],[ISC Base]] - 0.029) - 3.25 * POWER(Table4[[#This Row],[ISC Base]] - 0.02,15),NA()))</f>
        <v>3.5952000000000002</v>
      </c>
      <c r="U9" s="149">
        <f>IF(Table4[[#This Row],[Impact Sub Score]]&lt;=0,0,IF(Table4[[#This Row],[Scope]]="Unchanged",ROUNDUP(MIN((Table4[[#This Row],[Impact Sub Score]]+Table4[[#This Row],[Exploitability Sub Score]]),10),1),IF(Table4[[#This Row],[Scope]]="Changed",ROUNDUP(MIN((1.08*(Table4[[#This Row],[Impact Sub Score]]+Table4[[#This Row],[Exploitability Sub Score]])),10),1),NA())))</f>
        <v>5.5</v>
      </c>
      <c r="V9" s="178" t="s">
        <v>129</v>
      </c>
      <c r="W9" s="149">
        <f>VLOOKUP(Table4[[#This Row],[Threat Event Initiation]],NIST_Scale_LOAI[],2,FALSE)</f>
        <v>0.2</v>
      </c>
      <c r="X9"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9"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 s="182"/>
      <c r="AA9" s="182"/>
      <c r="AB9" s="81"/>
      <c r="AC9" s="48"/>
      <c r="AD9" s="48"/>
      <c r="AE9" s="48"/>
      <c r="AF9" s="145"/>
      <c r="AG9" s="145"/>
      <c r="AH9" s="145"/>
      <c r="AI9" s="145"/>
      <c r="AJ9" s="145"/>
      <c r="AK9"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149" t="e">
        <f>(1 - ((1 - VLOOKUP(Table4[[#This Row],[ConfidentialityP]],'Reference - CVSSv3.0'!$B$15:$C$17,2,FALSE)) * (1 - VLOOKUP(Table4[[#This Row],[IntegrityP]],'Reference - CVSSv3.0'!$B$15:$C$17,2,FALSE)) *  (1 - VLOOKUP(Table4[[#This Row],[AvailabilityP]],'Reference - CVSSv3.0'!$B$15:$C$17,2,FALSE))))</f>
        <v>#N/A</v>
      </c>
      <c r="AM9" s="149" t="e">
        <f>IF(Table4[[#This Row],[ScopeP]]="Unchanged",6.42*Table4[[#This Row],[ISC BaseP]],IF(Table4[[#This Row],[ScopeP]]="Changed",7.52*(Table4[[#This Row],[ISC BaseP]] - 0.029) - 3.25 * POWER(Table4[[#This Row],[ISC BaseP]] - 0.02,15),NA()))</f>
        <v>#N/A</v>
      </c>
      <c r="AN9"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48"/>
    </row>
    <row r="10" spans="1:45" s="42" customFormat="1" ht="70">
      <c r="A10" s="59">
        <v>6</v>
      </c>
      <c r="B10" s="46" t="s">
        <v>135</v>
      </c>
      <c r="C10" s="78" t="str">
        <f>IF(VLOOKUP(Table4[[#This Row],[T ID]],Table5[#All],5,FALSE)="No","Not in scope",VLOOKUP(Table4[[#This Row],[T ID]],Table5[#All],2,FALSE))</f>
        <v>Deliver directed malware</v>
      </c>
      <c r="D10" s="48" t="s">
        <v>69</v>
      </c>
      <c r="E10" s="78" t="str">
        <f>IF(VLOOKUP(Table4[[#This Row],[V ID]],Vulnerabilities[#All],3,FALSE)="No","Not in scope",VLOOKUP(Table4[[#This Row],[V ID]],Vulnerabilities[#All],2,FALSE))</f>
        <v>Unrestricted Wifi communication with open/untrusted sources</v>
      </c>
      <c r="F10" s="48" t="s">
        <v>33</v>
      </c>
      <c r="G10" s="79" t="str">
        <f>VLOOKUP(Table4[[#This Row],[A ID]],Assets[#All],3,FALSE)</f>
        <v>Wireless communication interfaces (Wifi, BT,etc..)</v>
      </c>
      <c r="H10" s="182" t="s">
        <v>327</v>
      </c>
      <c r="I10" s="48"/>
      <c r="J10" s="80" t="s">
        <v>131</v>
      </c>
      <c r="K10" s="80" t="s">
        <v>129</v>
      </c>
      <c r="L10" s="80" t="s">
        <v>136</v>
      </c>
      <c r="M10" s="145" t="s">
        <v>130</v>
      </c>
      <c r="N10" s="145" t="s">
        <v>129</v>
      </c>
      <c r="O10" s="145" t="s">
        <v>129</v>
      </c>
      <c r="P10" s="145" t="s">
        <v>137</v>
      </c>
      <c r="Q10" s="145" t="s">
        <v>132</v>
      </c>
      <c r="R10" s="14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10" s="149">
        <f>(1 - ((1 - VLOOKUP(Table4[[#This Row],[Confidentiality]],'Reference - CVSSv3.0'!$B$15:$C$17,2,FALSE)) * (1 - VLOOKUP(Table4[[#This Row],[Integrity]],'Reference - CVSSv3.0'!$B$15:$C$17,2,FALSE)) *  (1 - VLOOKUP(Table4[[#This Row],[Availability]],'Reference - CVSSv3.0'!$B$15:$C$17,2,FALSE))))</f>
        <v>0.65680000000000005</v>
      </c>
      <c r="T10" s="149">
        <f>IF(Table4[[#This Row],[Scope]]="Unchanged",6.42*Table4[[#This Row],[ISC Base]],IF(Table4[[#This Row],[Scope]]="Changed",7.52*(Table4[[#This Row],[ISC Base]] - 0.029) - 3.25 * POWER(Table4[[#This Row],[ISC Base]] - 0.02,15),NA()))</f>
        <v>4.2166560000000004</v>
      </c>
      <c r="U10" s="149">
        <f>IF(Table4[[#This Row],[Impact Sub Score]]&lt;=0,0,IF(Table4[[#This Row],[Scope]]="Unchanged",ROUNDUP(MIN((Table4[[#This Row],[Impact Sub Score]]+Table4[[#This Row],[Exploitability Sub Score]]),10),1),IF(Table4[[#This Row],[Scope]]="Changed",ROUNDUP(MIN((1.08*(Table4[[#This Row],[Impact Sub Score]]+Table4[[#This Row],[Exploitability Sub Score]])),10),1),NA())))</f>
        <v>6.3</v>
      </c>
      <c r="V10" s="178" t="s">
        <v>142</v>
      </c>
      <c r="W10" s="169">
        <f>VLOOKUP(Table4[[#This Row],[Threat Event Initiation]],NIST_Scale_LOAI[],2,FALSE)</f>
        <v>0.5</v>
      </c>
      <c r="X10"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10" s="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 s="182"/>
      <c r="AA10" s="183"/>
      <c r="AB10" s="81"/>
      <c r="AC10" s="80"/>
      <c r="AD10" s="80"/>
      <c r="AE10" s="80"/>
      <c r="AF10" s="145"/>
      <c r="AG10" s="145"/>
      <c r="AH10" s="145"/>
      <c r="AI10" s="145"/>
      <c r="AJ10" s="145"/>
      <c r="AK10"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149" t="e">
        <f>(1 - ((1 - VLOOKUP(Table4[[#This Row],[ConfidentialityP]],'Reference - CVSSv3.0'!$B$15:$C$17,2,FALSE)) * (1 - VLOOKUP(Table4[[#This Row],[IntegrityP]],'Reference - CVSSv3.0'!$B$15:$C$17,2,FALSE)) *  (1 - VLOOKUP(Table4[[#This Row],[AvailabilityP]],'Reference - CVSSv3.0'!$B$15:$C$17,2,FALSE))))</f>
        <v>#N/A</v>
      </c>
      <c r="AM10" s="149" t="e">
        <f>IF(Table4[[#This Row],[ScopeP]]="Unchanged",6.42*Table4[[#This Row],[ISC BaseP]],IF(Table4[[#This Row],[ScopeP]]="Changed",7.52*(Table4[[#This Row],[ISC BaseP]] - 0.029) - 3.25 * POWER(Table4[[#This Row],[ISC BaseP]] - 0.02,15),NA()))</f>
        <v>#N/A</v>
      </c>
      <c r="AN10"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48"/>
    </row>
    <row r="11" spans="1:45" s="42" customFormat="1" ht="70">
      <c r="A11" s="59">
        <v>7</v>
      </c>
      <c r="B11" s="46" t="s">
        <v>135</v>
      </c>
      <c r="C11" s="78" t="str">
        <f>IF(VLOOKUP(Table4[[#This Row],[T ID]],Table5[#All],5,FALSE)="No","Not in scope",VLOOKUP(Table4[[#This Row],[T ID]],Table5[#All],2,FALSE))</f>
        <v>Deliver directed malware</v>
      </c>
      <c r="D11" s="48" t="s">
        <v>70</v>
      </c>
      <c r="E11" s="78" t="str">
        <f>IF(VLOOKUP(Table4[[#This Row],[V ID]],Vulnerabilities[#All],3,FALSE)="No","Not in scope",VLOOKUP(Table4[[#This Row],[V ID]],Vulnerabilities[#All],2,FALSE))</f>
        <v>Unrestricted BT communication/transfer with multiple sources</v>
      </c>
      <c r="F11" s="48" t="s">
        <v>33</v>
      </c>
      <c r="G11" s="79" t="str">
        <f>VLOOKUP(Table4[[#This Row],[A ID]],Assets[#All],3,FALSE)</f>
        <v>Wireless communication interfaces (Wifi, BT,etc..)</v>
      </c>
      <c r="H11" s="182" t="s">
        <v>327</v>
      </c>
      <c r="I11" s="48"/>
      <c r="J11" s="80" t="s">
        <v>131</v>
      </c>
      <c r="K11" s="80" t="s">
        <v>129</v>
      </c>
      <c r="L11" s="80" t="s">
        <v>136</v>
      </c>
      <c r="M11" s="145" t="s">
        <v>130</v>
      </c>
      <c r="N11" s="145" t="s">
        <v>129</v>
      </c>
      <c r="O11" s="145" t="s">
        <v>129</v>
      </c>
      <c r="P11" s="145" t="s">
        <v>137</v>
      </c>
      <c r="Q11" s="145" t="s">
        <v>132</v>
      </c>
      <c r="R11" s="14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11" s="149">
        <f>(1 - ((1 - VLOOKUP(Table4[[#This Row],[Confidentiality]],'Reference - CVSSv3.0'!$B$15:$C$17,2,FALSE)) * (1 - VLOOKUP(Table4[[#This Row],[Integrity]],'Reference - CVSSv3.0'!$B$15:$C$17,2,FALSE)) *  (1 - VLOOKUP(Table4[[#This Row],[Availability]],'Reference - CVSSv3.0'!$B$15:$C$17,2,FALSE))))</f>
        <v>0.65680000000000005</v>
      </c>
      <c r="T11" s="149">
        <f>IF(Table4[[#This Row],[Scope]]="Unchanged",6.42*Table4[[#This Row],[ISC Base]],IF(Table4[[#This Row],[Scope]]="Changed",7.52*(Table4[[#This Row],[ISC Base]] - 0.029) - 3.25 * POWER(Table4[[#This Row],[ISC Base]] - 0.02,15),NA()))</f>
        <v>4.2166560000000004</v>
      </c>
      <c r="U11" s="149">
        <f>IF(Table4[[#This Row],[Impact Sub Score]]&lt;=0,0,IF(Table4[[#This Row],[Scope]]="Unchanged",ROUNDUP(MIN((Table4[[#This Row],[Impact Sub Score]]+Table4[[#This Row],[Exploitability Sub Score]]),10),1),IF(Table4[[#This Row],[Scope]]="Changed",ROUNDUP(MIN((1.08*(Table4[[#This Row],[Impact Sub Score]]+Table4[[#This Row],[Exploitability Sub Score]])),10),1),NA())))</f>
        <v>6.3</v>
      </c>
      <c r="V11" s="178" t="s">
        <v>142</v>
      </c>
      <c r="W11" s="169">
        <f>VLOOKUP(Table4[[#This Row],[Threat Event Initiation]],NIST_Scale_LOAI[],2,FALSE)</f>
        <v>0.5</v>
      </c>
      <c r="X11"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11" s="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 s="182"/>
      <c r="AA11" s="183"/>
      <c r="AB11" s="81"/>
      <c r="AC11" s="80"/>
      <c r="AD11" s="80"/>
      <c r="AE11" s="80"/>
      <c r="AF11" s="145"/>
      <c r="AG11" s="145"/>
      <c r="AH11" s="145"/>
      <c r="AI11" s="145"/>
      <c r="AJ11" s="145"/>
      <c r="AK11"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149" t="e">
        <f>(1 - ((1 - VLOOKUP(Table4[[#This Row],[ConfidentialityP]],'Reference - CVSSv3.0'!$B$15:$C$17,2,FALSE)) * (1 - VLOOKUP(Table4[[#This Row],[IntegrityP]],'Reference - CVSSv3.0'!$B$15:$C$17,2,FALSE)) *  (1 - VLOOKUP(Table4[[#This Row],[AvailabilityP]],'Reference - CVSSv3.0'!$B$15:$C$17,2,FALSE))))</f>
        <v>#N/A</v>
      </c>
      <c r="AM11" s="149" t="e">
        <f>IF(Table4[[#This Row],[ScopeP]]="Unchanged",6.42*Table4[[#This Row],[ISC BaseP]],IF(Table4[[#This Row],[ScopeP]]="Changed",7.52*(Table4[[#This Row],[ISC BaseP]] - 0.029) - 3.25 * POWER(Table4[[#This Row],[ISC BaseP]] - 0.02,15),NA()))</f>
        <v>#N/A</v>
      </c>
      <c r="AN11"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48"/>
    </row>
    <row r="12" spans="1:45" s="42" customFormat="1" ht="70">
      <c r="A12" s="59">
        <v>8</v>
      </c>
      <c r="B12" s="46" t="s">
        <v>135</v>
      </c>
      <c r="C12" s="78" t="str">
        <f>IF(VLOOKUP(Table4[[#This Row],[T ID]],Table5[#All],5,FALSE)="No","Not in scope",VLOOKUP(Table4[[#This Row],[T ID]],Table5[#All],2,FALSE))</f>
        <v>Deliver directed malware</v>
      </c>
      <c r="D12" s="48" t="s">
        <v>71</v>
      </c>
      <c r="E12" s="78" t="str">
        <f>IF(VLOOKUP(Table4[[#This Row],[V ID]],Vulnerabilities[#All],3,FALSE)="No","Not in scope",VLOOKUP(Table4[[#This Row],[V ID]],Vulnerabilities[#All],2,FALSE))</f>
        <v>Removable device communication through charging interfaces</v>
      </c>
      <c r="F12" s="48" t="s">
        <v>34</v>
      </c>
      <c r="G12" s="79" t="str">
        <f>VLOOKUP(Table4[[#This Row],[A ID]],Assets[#All],3,FALSE)</f>
        <v>Physical charging ports/interfaces</v>
      </c>
      <c r="H12" s="182" t="s">
        <v>327</v>
      </c>
      <c r="I12" s="48"/>
      <c r="J12" s="80" t="s">
        <v>131</v>
      </c>
      <c r="K12" s="80" t="s">
        <v>129</v>
      </c>
      <c r="L12" s="80" t="s">
        <v>136</v>
      </c>
      <c r="M12" s="145" t="s">
        <v>138</v>
      </c>
      <c r="N12" s="145" t="s">
        <v>129</v>
      </c>
      <c r="O12" s="145" t="s">
        <v>129</v>
      </c>
      <c r="P12" s="145" t="s">
        <v>137</v>
      </c>
      <c r="Q12" s="145" t="s">
        <v>132</v>
      </c>
      <c r="R12" s="14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12" s="149">
        <f>(1 - ((1 - VLOOKUP(Table4[[#This Row],[Confidentiality]],'Reference - CVSSv3.0'!$B$15:$C$17,2,FALSE)) * (1 - VLOOKUP(Table4[[#This Row],[Integrity]],'Reference - CVSSv3.0'!$B$15:$C$17,2,FALSE)) *  (1 - VLOOKUP(Table4[[#This Row],[Availability]],'Reference - CVSSv3.0'!$B$15:$C$17,2,FALSE))))</f>
        <v>0.65680000000000005</v>
      </c>
      <c r="T12" s="149">
        <f>IF(Table4[[#This Row],[Scope]]="Unchanged",6.42*Table4[[#This Row],[ISC Base]],IF(Table4[[#This Row],[Scope]]="Changed",7.52*(Table4[[#This Row],[ISC Base]] - 0.029) - 3.25 * POWER(Table4[[#This Row],[ISC Base]] - 0.02,15),NA()))</f>
        <v>4.2166560000000004</v>
      </c>
      <c r="U12" s="149">
        <f>IF(Table4[[#This Row],[Impact Sub Score]]&lt;=0,0,IF(Table4[[#This Row],[Scope]]="Unchanged",ROUNDUP(MIN((Table4[[#This Row],[Impact Sub Score]]+Table4[[#This Row],[Exploitability Sub Score]]),10),1),IF(Table4[[#This Row],[Scope]]="Changed",ROUNDUP(MIN((1.08*(Table4[[#This Row],[Impact Sub Score]]+Table4[[#This Row],[Exploitability Sub Score]])),10),1),NA())))</f>
        <v>4.8</v>
      </c>
      <c r="V12" s="178" t="s">
        <v>180</v>
      </c>
      <c r="W12" s="169">
        <f>VLOOKUP(Table4[[#This Row],[Threat Event Initiation]],NIST_Scale_LOAI[],2,FALSE)</f>
        <v>0.04</v>
      </c>
      <c r="X12"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12" s="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 s="182"/>
      <c r="AA12" s="183"/>
      <c r="AB12" s="81"/>
      <c r="AC12" s="80"/>
      <c r="AD12" s="80"/>
      <c r="AE12" s="80"/>
      <c r="AF12" s="145"/>
      <c r="AG12" s="145"/>
      <c r="AH12" s="145"/>
      <c r="AI12" s="145"/>
      <c r="AJ12" s="145"/>
      <c r="AK12"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149" t="e">
        <f>(1 - ((1 - VLOOKUP(Table4[[#This Row],[ConfidentialityP]],'Reference - CVSSv3.0'!$B$15:$C$17,2,FALSE)) * (1 - VLOOKUP(Table4[[#This Row],[IntegrityP]],'Reference - CVSSv3.0'!$B$15:$C$17,2,FALSE)) *  (1 - VLOOKUP(Table4[[#This Row],[AvailabilityP]],'Reference - CVSSv3.0'!$B$15:$C$17,2,FALSE))))</f>
        <v>#N/A</v>
      </c>
      <c r="AM12" s="149" t="e">
        <f>IF(Table4[[#This Row],[ScopeP]]="Unchanged",6.42*Table4[[#This Row],[ISC BaseP]],IF(Table4[[#This Row],[ScopeP]]="Changed",7.52*(Table4[[#This Row],[ISC BaseP]] - 0.029) - 3.25 * POWER(Table4[[#This Row],[ISC BaseP]] - 0.02,15),NA()))</f>
        <v>#N/A</v>
      </c>
      <c r="AN12"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48"/>
    </row>
    <row r="13" spans="1:45" s="42" customFormat="1" ht="56">
      <c r="A13" s="59">
        <v>9</v>
      </c>
      <c r="B13" s="48" t="s">
        <v>139</v>
      </c>
      <c r="C13" s="79" t="str">
        <f>IF(VLOOKUP(Table4[[#This Row],[T ID]],Table5[#All],5,FALSE)="No","Not in scope",VLOOKUP(Table4[[#This Row],[T ID]],Table5[#All],2,FALSE))</f>
        <v xml:space="preserve">Perform wireless perimeter network reconnaissance/scanning. </v>
      </c>
      <c r="D13" s="48" t="s">
        <v>315</v>
      </c>
      <c r="E13" s="79" t="str">
        <f>IF(VLOOKUP(Table4[[#This Row],[V ID]],Vulnerabilities[#All],3,FALSE)="No","Not in scope",VLOOKUP(Table4[[#This Row],[V ID]],Vulnerabilities[#All],2,FALSE))</f>
        <v>Unsecured/Unhardened Network Interfaces</v>
      </c>
      <c r="F13" s="82" t="s">
        <v>10</v>
      </c>
      <c r="G13" s="79" t="str">
        <f>VLOOKUP(Table4[[#This Row],[A ID]],Assets[#All],3,FALSE)</f>
        <v>Mobile Device (ipad, iphone V8-13)</v>
      </c>
      <c r="H13" s="182" t="s">
        <v>328</v>
      </c>
      <c r="I13" s="48"/>
      <c r="J13" s="180" t="s">
        <v>129</v>
      </c>
      <c r="K13" s="180" t="s">
        <v>131</v>
      </c>
      <c r="L13" s="180" t="s">
        <v>136</v>
      </c>
      <c r="M13" s="145" t="s">
        <v>130</v>
      </c>
      <c r="N13" s="145" t="s">
        <v>136</v>
      </c>
      <c r="O13" s="145" t="s">
        <v>131</v>
      </c>
      <c r="P13" s="145" t="s">
        <v>131</v>
      </c>
      <c r="Q13" s="145" t="s">
        <v>132</v>
      </c>
      <c r="R13"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2.2211672999999998</v>
      </c>
      <c r="S13" s="149">
        <f>(1 - ((1 - VLOOKUP(Table4[[#This Row],[Confidentiality]],'Reference - CVSSv3.0'!$B$15:$C$17,2,FALSE)) * (1 - VLOOKUP(Table4[[#This Row],[Integrity]],'Reference - CVSSv3.0'!$B$15:$C$17,2,FALSE)) *  (1 - VLOOKUP(Table4[[#This Row],[Availability]],'Reference - CVSSv3.0'!$B$15:$C$17,2,FALSE))))</f>
        <v>0.65680000000000005</v>
      </c>
      <c r="T13" s="149">
        <f>IF(Table4[[#This Row],[Scope]]="Unchanged",6.42*Table4[[#This Row],[ISC Base]],IF(Table4[[#This Row],[Scope]]="Changed",7.52*(Table4[[#This Row],[ISC Base]] - 0.029) - 3.25 * POWER(Table4[[#This Row],[ISC Base]] - 0.02,15),NA()))</f>
        <v>4.2166560000000004</v>
      </c>
      <c r="U13" s="149">
        <f>IF(Table4[[#This Row],[Impact Sub Score]]&lt;=0,0,IF(Table4[[#This Row],[Scope]]="Unchanged",ROUNDUP(MIN((Table4[[#This Row],[Impact Sub Score]]+Table4[[#This Row],[Exploitability Sub Score]]),10),1),IF(Table4[[#This Row],[Scope]]="Changed",ROUNDUP(MIN((1.08*(Table4[[#This Row],[Impact Sub Score]]+Table4[[#This Row],[Exploitability Sub Score]])),10),1),NA())))</f>
        <v>6.5</v>
      </c>
      <c r="V13" s="178" t="s">
        <v>142</v>
      </c>
      <c r="W13" s="149">
        <f>VLOOKUP(Table4[[#This Row],[Threat Event Initiation]],NIST_Scale_LOAI[],2,FALSE)</f>
        <v>0.5</v>
      </c>
      <c r="X13"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5.3999999999999995</v>
      </c>
      <c r="Y13"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 s="182"/>
      <c r="AA13" s="183"/>
      <c r="AB13" s="81"/>
      <c r="AC13" s="48"/>
      <c r="AD13" s="48"/>
      <c r="AE13" s="48"/>
      <c r="AF13" s="145"/>
      <c r="AG13" s="145"/>
      <c r="AH13" s="145"/>
      <c r="AI13" s="145"/>
      <c r="AJ13" s="145"/>
      <c r="AK13"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149" t="e">
        <f>(1 - ((1 - VLOOKUP(Table4[[#This Row],[ConfidentialityP]],'Reference - CVSSv3.0'!$B$15:$C$17,2,FALSE)) * (1 - VLOOKUP(Table4[[#This Row],[IntegrityP]],'Reference - CVSSv3.0'!$B$15:$C$17,2,FALSE)) *  (1 - VLOOKUP(Table4[[#This Row],[AvailabilityP]],'Reference - CVSSv3.0'!$B$15:$C$17,2,FALSE))))</f>
        <v>#N/A</v>
      </c>
      <c r="AM13" s="149" t="e">
        <f>IF(Table4[[#This Row],[ScopeP]]="Unchanged",6.42*Table4[[#This Row],[ISC BaseP]],IF(Table4[[#This Row],[ScopeP]]="Changed",7.52*(Table4[[#This Row],[ISC BaseP]] - 0.029) - 3.25 * POWER(Table4[[#This Row],[ISC BaseP]] - 0.02,15),NA()))</f>
        <v>#N/A</v>
      </c>
      <c r="AN13"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48"/>
    </row>
    <row r="14" spans="1:45" s="42" customFormat="1" ht="56">
      <c r="A14" s="59">
        <v>10</v>
      </c>
      <c r="B14" s="48" t="s">
        <v>139</v>
      </c>
      <c r="C14" s="79" t="str">
        <f>IF(VLOOKUP(Table4[[#This Row],[T ID]],Table5[#All],5,FALSE)="No","Not in scope",VLOOKUP(Table4[[#This Row],[T ID]],Table5[#All],2,FALSE))</f>
        <v xml:space="preserve">Perform wireless perimeter network reconnaissance/scanning. </v>
      </c>
      <c r="D14" s="48" t="s">
        <v>60</v>
      </c>
      <c r="E14" s="79" t="str">
        <f>IF(VLOOKUP(Table4[[#This Row],[V ID]],Vulnerabilities[#All],3,FALSE)="No","Not in scope",VLOOKUP(Table4[[#This Row],[V ID]],Vulnerabilities[#All],2,FALSE))</f>
        <v>No Static Analysis for developed code &amp; SCA for SOUP in Application</v>
      </c>
      <c r="F14" s="82" t="s">
        <v>12</v>
      </c>
      <c r="G14" s="79" t="str">
        <f>VLOOKUP(Table4[[#This Row],[A ID]],Assets[#All],3,FALSE)</f>
        <v>Knee balancer application</v>
      </c>
      <c r="H14" s="182" t="s">
        <v>328</v>
      </c>
      <c r="I14" s="48"/>
      <c r="J14" s="180" t="s">
        <v>129</v>
      </c>
      <c r="K14" s="180" t="s">
        <v>131</v>
      </c>
      <c r="L14" s="180" t="s">
        <v>136</v>
      </c>
      <c r="M14" s="145" t="s">
        <v>130</v>
      </c>
      <c r="N14" s="145" t="s">
        <v>136</v>
      </c>
      <c r="O14" s="145" t="s">
        <v>131</v>
      </c>
      <c r="P14" s="145" t="s">
        <v>131</v>
      </c>
      <c r="Q14" s="145" t="s">
        <v>132</v>
      </c>
      <c r="R14"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2.2211672999999998</v>
      </c>
      <c r="S14" s="149">
        <f>(1 - ((1 - VLOOKUP(Table4[[#This Row],[Confidentiality]],'Reference - CVSSv3.0'!$B$15:$C$17,2,FALSE)) * (1 - VLOOKUP(Table4[[#This Row],[Integrity]],'Reference - CVSSv3.0'!$B$15:$C$17,2,FALSE)) *  (1 - VLOOKUP(Table4[[#This Row],[Availability]],'Reference - CVSSv3.0'!$B$15:$C$17,2,FALSE))))</f>
        <v>0.65680000000000005</v>
      </c>
      <c r="T14" s="149">
        <f>IF(Table4[[#This Row],[Scope]]="Unchanged",6.42*Table4[[#This Row],[ISC Base]],IF(Table4[[#This Row],[Scope]]="Changed",7.52*(Table4[[#This Row],[ISC Base]] - 0.029) - 3.25 * POWER(Table4[[#This Row],[ISC Base]] - 0.02,15),NA()))</f>
        <v>4.2166560000000004</v>
      </c>
      <c r="U14" s="149">
        <f>IF(Table4[[#This Row],[Impact Sub Score]]&lt;=0,0,IF(Table4[[#This Row],[Scope]]="Unchanged",ROUNDUP(MIN((Table4[[#This Row],[Impact Sub Score]]+Table4[[#This Row],[Exploitability Sub Score]]),10),1),IF(Table4[[#This Row],[Scope]]="Changed",ROUNDUP(MIN((1.08*(Table4[[#This Row],[Impact Sub Score]]+Table4[[#This Row],[Exploitability Sub Score]])),10),1),NA())))</f>
        <v>6.5</v>
      </c>
      <c r="V14" s="178" t="s">
        <v>142</v>
      </c>
      <c r="W14" s="149">
        <f>VLOOKUP(Table4[[#This Row],[Threat Event Initiation]],NIST_Scale_LOAI[],2,FALSE)</f>
        <v>0.5</v>
      </c>
      <c r="X14"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5.3999999999999995</v>
      </c>
      <c r="Y14"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4" s="182"/>
      <c r="AA14" s="182"/>
      <c r="AB14" s="81"/>
      <c r="AC14" s="48"/>
      <c r="AD14" s="48"/>
      <c r="AE14" s="48"/>
      <c r="AF14" s="145"/>
      <c r="AG14" s="145"/>
      <c r="AH14" s="145"/>
      <c r="AI14" s="145"/>
      <c r="AJ14" s="145"/>
      <c r="AK14"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149" t="e">
        <f>(1 - ((1 - VLOOKUP(Table4[[#This Row],[ConfidentialityP]],'Reference - CVSSv3.0'!$B$15:$C$17,2,FALSE)) * (1 - VLOOKUP(Table4[[#This Row],[IntegrityP]],'Reference - CVSSv3.0'!$B$15:$C$17,2,FALSE)) *  (1 - VLOOKUP(Table4[[#This Row],[AvailabilityP]],'Reference - CVSSv3.0'!$B$15:$C$17,2,FALSE))))</f>
        <v>#N/A</v>
      </c>
      <c r="AM14" s="149" t="e">
        <f>IF(Table4[[#This Row],[ScopeP]]="Unchanged",6.42*Table4[[#This Row],[ISC BaseP]],IF(Table4[[#This Row],[ScopeP]]="Changed",7.52*(Table4[[#This Row],[ISC BaseP]] - 0.029) - 3.25 * POWER(Table4[[#This Row],[ISC BaseP]] - 0.02,15),NA()))</f>
        <v>#N/A</v>
      </c>
      <c r="AN14"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48"/>
    </row>
    <row r="15" spans="1:45" s="42" customFormat="1" ht="98">
      <c r="A15" s="59">
        <v>11</v>
      </c>
      <c r="B15" s="48" t="s">
        <v>161</v>
      </c>
      <c r="C15" s="79" t="str">
        <f>IF(VLOOKUP(Table4[[#This Row],[T ID]],Table5[#All],5,FALSE)="No","Not in scope",VLOOKUP(Table4[[#This Row],[T ID]],Table5[#All],2,FALSE))</f>
        <v>Unauthorized modifications  to Knee Balancer Software</v>
      </c>
      <c r="D15" s="48" t="s">
        <v>53</v>
      </c>
      <c r="E15" s="79" t="str">
        <f>IF(VLOOKUP(Table4[[#This Row],[V ID]],Vulnerabilities[#All],3,FALSE)="No","Not in scope",VLOOKUP(Table4[[#This Row],[V ID]],Vulnerabilities[#All],2,FALSE))</f>
        <v>Unsafely compiled Application Binaries in Application</v>
      </c>
      <c r="F15" s="82" t="s">
        <v>18</v>
      </c>
      <c r="G15" s="79" t="str">
        <f>VLOOKUP(Table4[[#This Row],[A ID]],Assets[#All],3,FALSE)</f>
        <v>Knee balancer supporting software components (binaries, frameworks, 3rd party components, etc..)</v>
      </c>
      <c r="H15" s="182" t="s">
        <v>290</v>
      </c>
      <c r="I15" s="48"/>
      <c r="J15" s="180" t="s">
        <v>131</v>
      </c>
      <c r="K15" s="180" t="s">
        <v>136</v>
      </c>
      <c r="L15" s="180" t="s">
        <v>129</v>
      </c>
      <c r="M15" s="145" t="s">
        <v>134</v>
      </c>
      <c r="N15" s="145" t="s">
        <v>129</v>
      </c>
      <c r="O15" s="145" t="s">
        <v>129</v>
      </c>
      <c r="P15" s="145" t="s">
        <v>131</v>
      </c>
      <c r="Q15" s="145" t="s">
        <v>132</v>
      </c>
      <c r="R15"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5" s="149">
        <f>(1 - ((1 - VLOOKUP(Table4[[#This Row],[Confidentiality]],'Reference - CVSSv3.0'!$B$15:$C$17,2,FALSE)) * (1 - VLOOKUP(Table4[[#This Row],[Integrity]],'Reference - CVSSv3.0'!$B$15:$C$17,2,FALSE)) *  (1 - VLOOKUP(Table4[[#This Row],[Availability]],'Reference - CVSSv3.0'!$B$15:$C$17,2,FALSE))))</f>
        <v>0.65680000000000005</v>
      </c>
      <c r="T15" s="149">
        <f>IF(Table4[[#This Row],[Scope]]="Unchanged",6.42*Table4[[#This Row],[ISC Base]],IF(Table4[[#This Row],[Scope]]="Changed",7.52*(Table4[[#This Row],[ISC Base]] - 0.029) - 3.25 * POWER(Table4[[#This Row],[ISC Base]] - 0.02,15),NA()))</f>
        <v>4.2166560000000004</v>
      </c>
      <c r="U15"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15" s="178" t="s">
        <v>142</v>
      </c>
      <c r="W15" s="149">
        <f>VLOOKUP(Table4[[#This Row],[Threat Event Initiation]],NIST_Scale_LOAI[],2,FALSE)</f>
        <v>0.5</v>
      </c>
      <c r="X15"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15"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5" s="182"/>
      <c r="AA15" s="182"/>
      <c r="AB15" s="81"/>
      <c r="AC15" s="48"/>
      <c r="AD15" s="48"/>
      <c r="AE15" s="48"/>
      <c r="AF15" s="145"/>
      <c r="AG15" s="145"/>
      <c r="AH15" s="145"/>
      <c r="AI15" s="145"/>
      <c r="AJ15" s="145"/>
      <c r="AK15"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149" t="e">
        <f>(1 - ((1 - VLOOKUP(Table4[[#This Row],[ConfidentialityP]],'Reference - CVSSv3.0'!$B$15:$C$17,2,FALSE)) * (1 - VLOOKUP(Table4[[#This Row],[IntegrityP]],'Reference - CVSSv3.0'!$B$15:$C$17,2,FALSE)) *  (1 - VLOOKUP(Table4[[#This Row],[AvailabilityP]],'Reference - CVSSv3.0'!$B$15:$C$17,2,FALSE))))</f>
        <v>#N/A</v>
      </c>
      <c r="AM15" s="149" t="e">
        <f>IF(Table4[[#This Row],[ScopeP]]="Unchanged",6.42*Table4[[#This Row],[ISC BaseP]],IF(Table4[[#This Row],[ScopeP]]="Changed",7.52*(Table4[[#This Row],[ISC BaseP]] - 0.029) - 3.25 * POWER(Table4[[#This Row],[ISC BaseP]] - 0.02,15),NA()))</f>
        <v>#N/A</v>
      </c>
      <c r="AN15"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48"/>
    </row>
    <row r="16" spans="1:45" s="42" customFormat="1" ht="98">
      <c r="A16" s="59">
        <v>12</v>
      </c>
      <c r="B16" s="48" t="s">
        <v>161</v>
      </c>
      <c r="C16" s="79" t="str">
        <f>IF(VLOOKUP(Table4[[#This Row],[T ID]],Table5[#All],5,FALSE)="No","Not in scope",VLOOKUP(Table4[[#This Row],[T ID]],Table5[#All],2,FALSE))</f>
        <v>Unauthorized modifications  to Knee Balancer Software</v>
      </c>
      <c r="D16" s="48" t="s">
        <v>58</v>
      </c>
      <c r="E16" s="79" t="str">
        <f>IF(VLOOKUP(Table4[[#This Row],[V ID]],Vulnerabilities[#All],3,FALSE)="No","Not in scope",VLOOKUP(Table4[[#This Row],[V ID]],Vulnerabilities[#All],2,FALSE))</f>
        <v>3rd Party Component Dependency &amp; Vulnerabilities in Application</v>
      </c>
      <c r="F16" s="82" t="s">
        <v>18</v>
      </c>
      <c r="G16" s="79" t="str">
        <f>VLOOKUP(Table4[[#This Row],[A ID]],Assets[#All],3,FALSE)</f>
        <v>Knee balancer supporting software components (binaries, frameworks, 3rd party components, etc..)</v>
      </c>
      <c r="H16" s="182" t="s">
        <v>290</v>
      </c>
      <c r="I16" s="48"/>
      <c r="J16" s="180" t="s">
        <v>131</v>
      </c>
      <c r="K16" s="180" t="s">
        <v>136</v>
      </c>
      <c r="L16" s="180" t="s">
        <v>129</v>
      </c>
      <c r="M16" s="145" t="s">
        <v>134</v>
      </c>
      <c r="N16" s="145" t="s">
        <v>129</v>
      </c>
      <c r="O16" s="145" t="s">
        <v>129</v>
      </c>
      <c r="P16" s="145" t="s">
        <v>131</v>
      </c>
      <c r="Q16" s="145" t="s">
        <v>132</v>
      </c>
      <c r="R16"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6" s="149">
        <f>(1 - ((1 - VLOOKUP(Table4[[#This Row],[Confidentiality]],'Reference - CVSSv3.0'!$B$15:$C$17,2,FALSE)) * (1 - VLOOKUP(Table4[[#This Row],[Integrity]],'Reference - CVSSv3.0'!$B$15:$C$17,2,FALSE)) *  (1 - VLOOKUP(Table4[[#This Row],[Availability]],'Reference - CVSSv3.0'!$B$15:$C$17,2,FALSE))))</f>
        <v>0.65680000000000005</v>
      </c>
      <c r="T16" s="149">
        <f>IF(Table4[[#This Row],[Scope]]="Unchanged",6.42*Table4[[#This Row],[ISC Base]],IF(Table4[[#This Row],[Scope]]="Changed",7.52*(Table4[[#This Row],[ISC Base]] - 0.029) - 3.25 * POWER(Table4[[#This Row],[ISC Base]] - 0.02,15),NA()))</f>
        <v>4.2166560000000004</v>
      </c>
      <c r="U16"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16" s="178" t="s">
        <v>142</v>
      </c>
      <c r="W16" s="149">
        <f>VLOOKUP(Table4[[#This Row],[Threat Event Initiation]],NIST_Scale_LOAI[],2,FALSE)</f>
        <v>0.5</v>
      </c>
      <c r="X16"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16"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6" s="182"/>
      <c r="AA16" s="182"/>
      <c r="AB16" s="81"/>
      <c r="AC16" s="48"/>
      <c r="AD16" s="48"/>
      <c r="AE16" s="48"/>
      <c r="AF16" s="145"/>
      <c r="AG16" s="145"/>
      <c r="AH16" s="145"/>
      <c r="AI16" s="145"/>
      <c r="AJ16" s="145"/>
      <c r="AK16"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149" t="e">
        <f>(1 - ((1 - VLOOKUP(Table4[[#This Row],[ConfidentialityP]],'Reference - CVSSv3.0'!$B$15:$C$17,2,FALSE)) * (1 - VLOOKUP(Table4[[#This Row],[IntegrityP]],'Reference - CVSSv3.0'!$B$15:$C$17,2,FALSE)) *  (1 - VLOOKUP(Table4[[#This Row],[AvailabilityP]],'Reference - CVSSv3.0'!$B$15:$C$17,2,FALSE))))</f>
        <v>#N/A</v>
      </c>
      <c r="AM16" s="149" t="e">
        <f>IF(Table4[[#This Row],[ScopeP]]="Unchanged",6.42*Table4[[#This Row],[ISC BaseP]],IF(Table4[[#This Row],[ScopeP]]="Changed",7.52*(Table4[[#This Row],[ISC BaseP]] - 0.029) - 3.25 * POWER(Table4[[#This Row],[ISC BaseP]] - 0.02,15),NA()))</f>
        <v>#N/A</v>
      </c>
      <c r="AN16"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48"/>
    </row>
    <row r="17" spans="1:43" s="42" customFormat="1" ht="98">
      <c r="A17" s="59">
        <v>13</v>
      </c>
      <c r="B17" s="48" t="s">
        <v>161</v>
      </c>
      <c r="C17" s="79" t="str">
        <f>IF(VLOOKUP(Table4[[#This Row],[T ID]],Table5[#All],5,FALSE)="No","Not in scope",VLOOKUP(Table4[[#This Row],[T ID]],Table5[#All],2,FALSE))</f>
        <v>Unauthorized modifications  to Knee Balancer Software</v>
      </c>
      <c r="D17" s="48" t="s">
        <v>59</v>
      </c>
      <c r="E17" s="79" t="str">
        <f>IF(VLOOKUP(Table4[[#This Row],[V ID]],Vulnerabilities[#All],3,FALSE)="No","Not in scope",VLOOKUP(Table4[[#This Row],[V ID]],Vulnerabilities[#All],2,FALSE))</f>
        <v>Corrupting the binaries/injecting malicious source code in Application</v>
      </c>
      <c r="F17" s="82" t="s">
        <v>18</v>
      </c>
      <c r="G17" s="79" t="str">
        <f>VLOOKUP(Table4[[#This Row],[A ID]],Assets[#All],3,FALSE)</f>
        <v>Knee balancer supporting software components (binaries, frameworks, 3rd party components, etc..)</v>
      </c>
      <c r="H17" s="182" t="s">
        <v>290</v>
      </c>
      <c r="I17" s="48"/>
      <c r="J17" s="180" t="s">
        <v>131</v>
      </c>
      <c r="K17" s="180" t="s">
        <v>136</v>
      </c>
      <c r="L17" s="180" t="s">
        <v>129</v>
      </c>
      <c r="M17" s="145" t="s">
        <v>134</v>
      </c>
      <c r="N17" s="145" t="s">
        <v>129</v>
      </c>
      <c r="O17" s="145" t="s">
        <v>129</v>
      </c>
      <c r="P17" s="145" t="s">
        <v>131</v>
      </c>
      <c r="Q17" s="145" t="s">
        <v>132</v>
      </c>
      <c r="R17"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7" s="149">
        <f>(1 - ((1 - VLOOKUP(Table4[[#This Row],[Confidentiality]],'Reference - CVSSv3.0'!$B$15:$C$17,2,FALSE)) * (1 - VLOOKUP(Table4[[#This Row],[Integrity]],'Reference - CVSSv3.0'!$B$15:$C$17,2,FALSE)) *  (1 - VLOOKUP(Table4[[#This Row],[Availability]],'Reference - CVSSv3.0'!$B$15:$C$17,2,FALSE))))</f>
        <v>0.65680000000000005</v>
      </c>
      <c r="T17" s="149">
        <f>IF(Table4[[#This Row],[Scope]]="Unchanged",6.42*Table4[[#This Row],[ISC Base]],IF(Table4[[#This Row],[Scope]]="Changed",7.52*(Table4[[#This Row],[ISC Base]] - 0.029) - 3.25 * POWER(Table4[[#This Row],[ISC Base]] - 0.02,15),NA()))</f>
        <v>4.2166560000000004</v>
      </c>
      <c r="U17"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17" s="178" t="s">
        <v>142</v>
      </c>
      <c r="W17" s="149">
        <f>VLOOKUP(Table4[[#This Row],[Threat Event Initiation]],NIST_Scale_LOAI[],2,FALSE)</f>
        <v>0.5</v>
      </c>
      <c r="X17"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17"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7" s="182"/>
      <c r="AA17" s="182"/>
      <c r="AB17" s="81"/>
      <c r="AC17" s="48"/>
      <c r="AD17" s="48"/>
      <c r="AE17" s="48"/>
      <c r="AF17" s="145"/>
      <c r="AG17" s="145"/>
      <c r="AH17" s="145"/>
      <c r="AI17" s="145"/>
      <c r="AJ17" s="145"/>
      <c r="AK17"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149" t="e">
        <f>(1 - ((1 - VLOOKUP(Table4[[#This Row],[ConfidentialityP]],'Reference - CVSSv3.0'!$B$15:$C$17,2,FALSE)) * (1 - VLOOKUP(Table4[[#This Row],[IntegrityP]],'Reference - CVSSv3.0'!$B$15:$C$17,2,FALSE)) *  (1 - VLOOKUP(Table4[[#This Row],[AvailabilityP]],'Reference - CVSSv3.0'!$B$15:$C$17,2,FALSE))))</f>
        <v>#N/A</v>
      </c>
      <c r="AM17" s="149" t="e">
        <f>IF(Table4[[#This Row],[ScopeP]]="Unchanged",6.42*Table4[[#This Row],[ISC BaseP]],IF(Table4[[#This Row],[ScopeP]]="Changed",7.52*(Table4[[#This Row],[ISC BaseP]] - 0.029) - 3.25 * POWER(Table4[[#This Row],[ISC BaseP]] - 0.02,15),NA()))</f>
        <v>#N/A</v>
      </c>
      <c r="AN17"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48"/>
    </row>
    <row r="18" spans="1:43" s="42" customFormat="1" ht="98">
      <c r="A18" s="59">
        <v>14</v>
      </c>
      <c r="B18" s="48" t="s">
        <v>161</v>
      </c>
      <c r="C18" s="79" t="str">
        <f>IF(VLOOKUP(Table4[[#This Row],[T ID]],Table5[#All],5,FALSE)="No","Not in scope",VLOOKUP(Table4[[#This Row],[T ID]],Table5[#All],2,FALSE))</f>
        <v>Unauthorized modifications  to Knee Balancer Software</v>
      </c>
      <c r="D18" s="48" t="s">
        <v>60</v>
      </c>
      <c r="E18" s="79" t="str">
        <f>IF(VLOOKUP(Table4[[#This Row],[V ID]],Vulnerabilities[#All],3,FALSE)="No","Not in scope",VLOOKUP(Table4[[#This Row],[V ID]],Vulnerabilities[#All],2,FALSE))</f>
        <v>No Static Analysis for developed code &amp; SCA for SOUP in Application</v>
      </c>
      <c r="F18" s="82" t="s">
        <v>18</v>
      </c>
      <c r="G18" s="79" t="str">
        <f>VLOOKUP(Table4[[#This Row],[A ID]],Assets[#All],3,FALSE)</f>
        <v>Knee balancer supporting software components (binaries, frameworks, 3rd party components, etc..)</v>
      </c>
      <c r="H18" s="182" t="s">
        <v>290</v>
      </c>
      <c r="I18" s="48"/>
      <c r="J18" s="180" t="s">
        <v>131</v>
      </c>
      <c r="K18" s="180" t="s">
        <v>136</v>
      </c>
      <c r="L18" s="180" t="s">
        <v>129</v>
      </c>
      <c r="M18" s="145" t="s">
        <v>134</v>
      </c>
      <c r="N18" s="145" t="s">
        <v>129</v>
      </c>
      <c r="O18" s="145" t="s">
        <v>129</v>
      </c>
      <c r="P18" s="145" t="s">
        <v>131</v>
      </c>
      <c r="Q18" s="145" t="s">
        <v>132</v>
      </c>
      <c r="R18"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8" s="149">
        <f>(1 - ((1 - VLOOKUP(Table4[[#This Row],[Confidentiality]],'Reference - CVSSv3.0'!$B$15:$C$17,2,FALSE)) * (1 - VLOOKUP(Table4[[#This Row],[Integrity]],'Reference - CVSSv3.0'!$B$15:$C$17,2,FALSE)) *  (1 - VLOOKUP(Table4[[#This Row],[Availability]],'Reference - CVSSv3.0'!$B$15:$C$17,2,FALSE))))</f>
        <v>0.65680000000000005</v>
      </c>
      <c r="T18" s="149">
        <f>IF(Table4[[#This Row],[Scope]]="Unchanged",6.42*Table4[[#This Row],[ISC Base]],IF(Table4[[#This Row],[Scope]]="Changed",7.52*(Table4[[#This Row],[ISC Base]] - 0.029) - 3.25 * POWER(Table4[[#This Row],[ISC Base]] - 0.02,15),NA()))</f>
        <v>4.2166560000000004</v>
      </c>
      <c r="U18"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18" s="178" t="s">
        <v>142</v>
      </c>
      <c r="W18" s="149">
        <f>VLOOKUP(Table4[[#This Row],[Threat Event Initiation]],NIST_Scale_LOAI[],2,FALSE)</f>
        <v>0.5</v>
      </c>
      <c r="X18"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18"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8" s="182"/>
      <c r="AA18" s="182"/>
      <c r="AB18" s="81"/>
      <c r="AC18" s="48"/>
      <c r="AD18" s="48"/>
      <c r="AE18" s="48"/>
      <c r="AF18" s="145"/>
      <c r="AG18" s="145"/>
      <c r="AH18" s="145"/>
      <c r="AI18" s="145"/>
      <c r="AJ18" s="145"/>
      <c r="AK18"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149" t="e">
        <f>(1 - ((1 - VLOOKUP(Table4[[#This Row],[ConfidentialityP]],'Reference - CVSSv3.0'!$B$15:$C$17,2,FALSE)) * (1 - VLOOKUP(Table4[[#This Row],[IntegrityP]],'Reference - CVSSv3.0'!$B$15:$C$17,2,FALSE)) *  (1 - VLOOKUP(Table4[[#This Row],[AvailabilityP]],'Reference - CVSSv3.0'!$B$15:$C$17,2,FALSE))))</f>
        <v>#N/A</v>
      </c>
      <c r="AM18" s="149" t="e">
        <f>IF(Table4[[#This Row],[ScopeP]]="Unchanged",6.42*Table4[[#This Row],[ISC BaseP]],IF(Table4[[#This Row],[ScopeP]]="Changed",7.52*(Table4[[#This Row],[ISC BaseP]] - 0.029) - 3.25 * POWER(Table4[[#This Row],[ISC BaseP]] - 0.02,15),NA()))</f>
        <v>#N/A</v>
      </c>
      <c r="AN18"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48"/>
    </row>
    <row r="19" spans="1:43" s="42" customFormat="1" ht="70">
      <c r="A19" s="59">
        <v>15</v>
      </c>
      <c r="B19" s="48" t="s">
        <v>140</v>
      </c>
      <c r="C19" s="79" t="str">
        <f>IF(VLOOKUP(Table4[[#This Row],[T ID]],Table5[#All],5,FALSE)="No","Not in scope",VLOOKUP(Table4[[#This Row],[T ID]],Table5[#All],2,FALSE))</f>
        <v>Unauthorized access to Knee Balancer App</v>
      </c>
      <c r="D19" s="48" t="s">
        <v>46</v>
      </c>
      <c r="E19" s="79" t="str">
        <f>IF(VLOOKUP(Table4[[#This Row],[V ID]],Vulnerabilities[#All],3,FALSE)="No","Not in scope",VLOOKUP(Table4[[#This Row],[V ID]],Vulnerabilities[#All],2,FALSE))</f>
        <v>Not in scope</v>
      </c>
      <c r="F19" s="82" t="s">
        <v>11</v>
      </c>
      <c r="G19" s="79" t="str">
        <f>VLOOKUP(Table4[[#This Row],[A ID]],Assets[#All],3,FALSE)</f>
        <v>Login (4-digit pin) management</v>
      </c>
      <c r="H19" s="182" t="s">
        <v>291</v>
      </c>
      <c r="I19" s="48"/>
      <c r="J19" s="180" t="s">
        <v>136</v>
      </c>
      <c r="K19" s="180" t="s">
        <v>131</v>
      </c>
      <c r="L19" s="180" t="s">
        <v>129</v>
      </c>
      <c r="M19" s="145" t="s">
        <v>134</v>
      </c>
      <c r="N19" s="145" t="s">
        <v>129</v>
      </c>
      <c r="O19" s="145" t="s">
        <v>129</v>
      </c>
      <c r="P19" s="145" t="s">
        <v>131</v>
      </c>
      <c r="Q19" s="145" t="s">
        <v>132</v>
      </c>
      <c r="R19"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9" s="149">
        <f>(1 - ((1 - VLOOKUP(Table4[[#This Row],[Confidentiality]],'Reference - CVSSv3.0'!$B$15:$C$17,2,FALSE)) * (1 - VLOOKUP(Table4[[#This Row],[Integrity]],'Reference - CVSSv3.0'!$B$15:$C$17,2,FALSE)) *  (1 - VLOOKUP(Table4[[#This Row],[Availability]],'Reference - CVSSv3.0'!$B$15:$C$17,2,FALSE))))</f>
        <v>0.65680000000000005</v>
      </c>
      <c r="T19" s="149">
        <f>IF(Table4[[#This Row],[Scope]]="Unchanged",6.42*Table4[[#This Row],[ISC Base]],IF(Table4[[#This Row],[Scope]]="Changed",7.52*(Table4[[#This Row],[ISC Base]] - 0.029) - 3.25 * POWER(Table4[[#This Row],[ISC Base]] - 0.02,15),NA()))</f>
        <v>4.2166560000000004</v>
      </c>
      <c r="U19"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19" s="178" t="s">
        <v>142</v>
      </c>
      <c r="W19" s="149">
        <f>VLOOKUP(Table4[[#This Row],[Threat Event Initiation]],NIST_Scale_LOAI[],2,FALSE)</f>
        <v>0.5</v>
      </c>
      <c r="X19"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19"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9" s="182"/>
      <c r="AA19" s="182"/>
      <c r="AB19" s="81"/>
      <c r="AC19" s="48"/>
      <c r="AD19" s="48"/>
      <c r="AE19" s="48"/>
      <c r="AF19" s="145"/>
      <c r="AG19" s="145"/>
      <c r="AH19" s="145"/>
      <c r="AI19" s="145"/>
      <c r="AJ19" s="145"/>
      <c r="AK19"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149" t="e">
        <f>(1 - ((1 - VLOOKUP(Table4[[#This Row],[ConfidentialityP]],'Reference - CVSSv3.0'!$B$15:$C$17,2,FALSE)) * (1 - VLOOKUP(Table4[[#This Row],[IntegrityP]],'Reference - CVSSv3.0'!$B$15:$C$17,2,FALSE)) *  (1 - VLOOKUP(Table4[[#This Row],[AvailabilityP]],'Reference - CVSSv3.0'!$B$15:$C$17,2,FALSE))))</f>
        <v>#N/A</v>
      </c>
      <c r="AM19" s="149" t="e">
        <f>IF(Table4[[#This Row],[ScopeP]]="Unchanged",6.42*Table4[[#This Row],[ISC BaseP]],IF(Table4[[#This Row],[ScopeP]]="Changed",7.52*(Table4[[#This Row],[ISC BaseP]] - 0.029) - 3.25 * POWER(Table4[[#This Row],[ISC BaseP]] - 0.02,15),NA()))</f>
        <v>#N/A</v>
      </c>
      <c r="AN19"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48"/>
    </row>
    <row r="20" spans="1:43" s="42" customFormat="1" ht="70">
      <c r="A20" s="59">
        <v>16</v>
      </c>
      <c r="B20" s="48" t="s">
        <v>140</v>
      </c>
      <c r="C20" s="79" t="str">
        <f>IF(VLOOKUP(Table4[[#This Row],[T ID]],Table5[#All],5,FALSE)="No","Not in scope",VLOOKUP(Table4[[#This Row],[T ID]],Table5[#All],2,FALSE))</f>
        <v>Unauthorized access to Knee Balancer App</v>
      </c>
      <c r="D20" s="48" t="s">
        <v>49</v>
      </c>
      <c r="E20" s="79" t="str">
        <f>IF(VLOOKUP(Table4[[#This Row],[V ID]],Vulnerabilities[#All],3,FALSE)="No","Not in scope",VLOOKUP(Table4[[#This Row],[V ID]],Vulnerabilities[#All],2,FALSE))</f>
        <v>Not in scope</v>
      </c>
      <c r="F20" s="82" t="s">
        <v>11</v>
      </c>
      <c r="G20" s="79" t="str">
        <f>VLOOKUP(Table4[[#This Row],[A ID]],Assets[#All],3,FALSE)</f>
        <v>Login (4-digit pin) management</v>
      </c>
      <c r="H20" s="182" t="s">
        <v>291</v>
      </c>
      <c r="I20" s="48"/>
      <c r="J20" s="180" t="s">
        <v>136</v>
      </c>
      <c r="K20" s="180" t="s">
        <v>131</v>
      </c>
      <c r="L20" s="180" t="s">
        <v>129</v>
      </c>
      <c r="M20" s="145" t="s">
        <v>134</v>
      </c>
      <c r="N20" s="145" t="s">
        <v>129</v>
      </c>
      <c r="O20" s="145" t="s">
        <v>129</v>
      </c>
      <c r="P20" s="145" t="s">
        <v>131</v>
      </c>
      <c r="Q20" s="145" t="s">
        <v>132</v>
      </c>
      <c r="R20"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0" s="149">
        <f>(1 - ((1 - VLOOKUP(Table4[[#This Row],[Confidentiality]],'Reference - CVSSv3.0'!$B$15:$C$17,2,FALSE)) * (1 - VLOOKUP(Table4[[#This Row],[Integrity]],'Reference - CVSSv3.0'!$B$15:$C$17,2,FALSE)) *  (1 - VLOOKUP(Table4[[#This Row],[Availability]],'Reference - CVSSv3.0'!$B$15:$C$17,2,FALSE))))</f>
        <v>0.65680000000000005</v>
      </c>
      <c r="T20" s="149">
        <f>IF(Table4[[#This Row],[Scope]]="Unchanged",6.42*Table4[[#This Row],[ISC Base]],IF(Table4[[#This Row],[Scope]]="Changed",7.52*(Table4[[#This Row],[ISC Base]] - 0.029) - 3.25 * POWER(Table4[[#This Row],[ISC Base]] - 0.02,15),NA()))</f>
        <v>4.2166560000000004</v>
      </c>
      <c r="U20"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20" s="178" t="s">
        <v>142</v>
      </c>
      <c r="W20" s="149">
        <f>VLOOKUP(Table4[[#This Row],[Threat Event Initiation]],NIST_Scale_LOAI[],2,FALSE)</f>
        <v>0.5</v>
      </c>
      <c r="X20"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20"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0" s="182"/>
      <c r="AA20" s="182"/>
      <c r="AB20" s="81"/>
      <c r="AC20" s="48"/>
      <c r="AD20" s="48"/>
      <c r="AE20" s="48"/>
      <c r="AF20" s="145"/>
      <c r="AG20" s="145"/>
      <c r="AH20" s="145"/>
      <c r="AI20" s="145"/>
      <c r="AJ20" s="145"/>
      <c r="AK20"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149" t="e">
        <f>(1 - ((1 - VLOOKUP(Table4[[#This Row],[ConfidentialityP]],'Reference - CVSSv3.0'!$B$15:$C$17,2,FALSE)) * (1 - VLOOKUP(Table4[[#This Row],[IntegrityP]],'Reference - CVSSv3.0'!$B$15:$C$17,2,FALSE)) *  (1 - VLOOKUP(Table4[[#This Row],[AvailabilityP]],'Reference - CVSSv3.0'!$B$15:$C$17,2,FALSE))))</f>
        <v>#N/A</v>
      </c>
      <c r="AM20" s="149" t="e">
        <f>IF(Table4[[#This Row],[ScopeP]]="Unchanged",6.42*Table4[[#This Row],[ISC BaseP]],IF(Table4[[#This Row],[ScopeP]]="Changed",7.52*(Table4[[#This Row],[ISC BaseP]] - 0.029) - 3.25 * POWER(Table4[[#This Row],[ISC BaseP]] - 0.02,15),NA()))</f>
        <v>#N/A</v>
      </c>
      <c r="AN20"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48"/>
    </row>
    <row r="21" spans="1:43" s="42" customFormat="1" ht="70">
      <c r="A21" s="59">
        <v>17</v>
      </c>
      <c r="B21" s="48" t="s">
        <v>140</v>
      </c>
      <c r="C21" s="79" t="str">
        <f>IF(VLOOKUP(Table4[[#This Row],[T ID]],Table5[#All],5,FALSE)="No","Not in scope",VLOOKUP(Table4[[#This Row],[T ID]],Table5[#All],2,FALSE))</f>
        <v>Unauthorized access to Knee Balancer App</v>
      </c>
      <c r="D21" s="48" t="s">
        <v>51</v>
      </c>
      <c r="E21" s="79" t="str">
        <f>IF(VLOOKUP(Table4[[#This Row],[V ID]],Vulnerabilities[#All],3,FALSE)="No","Not in scope",VLOOKUP(Table4[[#This Row],[V ID]],Vulnerabilities[#All],2,FALSE))</f>
        <v>Improper Storage of Stryker Credentials</v>
      </c>
      <c r="F21" s="82" t="s">
        <v>11</v>
      </c>
      <c r="G21" s="79" t="str">
        <f>VLOOKUP(Table4[[#This Row],[A ID]],Assets[#All],3,FALSE)</f>
        <v>Login (4-digit pin) management</v>
      </c>
      <c r="H21" s="182" t="s">
        <v>291</v>
      </c>
      <c r="I21" s="48"/>
      <c r="J21" s="180" t="s">
        <v>136</v>
      </c>
      <c r="K21" s="180" t="s">
        <v>131</v>
      </c>
      <c r="L21" s="180" t="s">
        <v>129</v>
      </c>
      <c r="M21" s="145" t="s">
        <v>134</v>
      </c>
      <c r="N21" s="145" t="s">
        <v>129</v>
      </c>
      <c r="O21" s="145" t="s">
        <v>129</v>
      </c>
      <c r="P21" s="145" t="s">
        <v>131</v>
      </c>
      <c r="Q21" s="145" t="s">
        <v>132</v>
      </c>
      <c r="R21"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1" s="149">
        <f>(1 - ((1 - VLOOKUP(Table4[[#This Row],[Confidentiality]],'Reference - CVSSv3.0'!$B$15:$C$17,2,FALSE)) * (1 - VLOOKUP(Table4[[#This Row],[Integrity]],'Reference - CVSSv3.0'!$B$15:$C$17,2,FALSE)) *  (1 - VLOOKUP(Table4[[#This Row],[Availability]],'Reference - CVSSv3.0'!$B$15:$C$17,2,FALSE))))</f>
        <v>0.65680000000000005</v>
      </c>
      <c r="T21" s="149">
        <f>IF(Table4[[#This Row],[Scope]]="Unchanged",6.42*Table4[[#This Row],[ISC Base]],IF(Table4[[#This Row],[Scope]]="Changed",7.52*(Table4[[#This Row],[ISC Base]] - 0.029) - 3.25 * POWER(Table4[[#This Row],[ISC Base]] - 0.02,15),NA()))</f>
        <v>4.2166560000000004</v>
      </c>
      <c r="U21"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21" s="178" t="s">
        <v>142</v>
      </c>
      <c r="W21" s="149">
        <f>VLOOKUP(Table4[[#This Row],[Threat Event Initiation]],NIST_Scale_LOAI[],2,FALSE)</f>
        <v>0.5</v>
      </c>
      <c r="X21"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21"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1" s="182"/>
      <c r="AA21" s="182"/>
      <c r="AB21" s="81"/>
      <c r="AC21" s="48"/>
      <c r="AD21" s="48"/>
      <c r="AE21" s="48"/>
      <c r="AF21" s="145"/>
      <c r="AG21" s="145"/>
      <c r="AH21" s="145"/>
      <c r="AI21" s="145"/>
      <c r="AJ21" s="145"/>
      <c r="AK21"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149" t="e">
        <f>(1 - ((1 - VLOOKUP(Table4[[#This Row],[ConfidentialityP]],'Reference - CVSSv3.0'!$B$15:$C$17,2,FALSE)) * (1 - VLOOKUP(Table4[[#This Row],[IntegrityP]],'Reference - CVSSv3.0'!$B$15:$C$17,2,FALSE)) *  (1 - VLOOKUP(Table4[[#This Row],[AvailabilityP]],'Reference - CVSSv3.0'!$B$15:$C$17,2,FALSE))))</f>
        <v>#N/A</v>
      </c>
      <c r="AM21" s="149" t="e">
        <f>IF(Table4[[#This Row],[ScopeP]]="Unchanged",6.42*Table4[[#This Row],[ISC BaseP]],IF(Table4[[#This Row],[ScopeP]]="Changed",7.52*(Table4[[#This Row],[ISC BaseP]] - 0.029) - 3.25 * POWER(Table4[[#This Row],[ISC BaseP]] - 0.02,15),NA()))</f>
        <v>#N/A</v>
      </c>
      <c r="AN21"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48"/>
    </row>
    <row r="22" spans="1:43" s="42" customFormat="1" ht="70">
      <c r="A22" s="59">
        <v>18</v>
      </c>
      <c r="B22" s="48" t="s">
        <v>140</v>
      </c>
      <c r="C22" s="79" t="str">
        <f>IF(VLOOKUP(Table4[[#This Row],[T ID]],Table5[#All],5,FALSE)="No","Not in scope",VLOOKUP(Table4[[#This Row],[T ID]],Table5[#All],2,FALSE))</f>
        <v>Unauthorized access to Knee Balancer App</v>
      </c>
      <c r="D22" s="48" t="s">
        <v>46</v>
      </c>
      <c r="E22" s="79" t="str">
        <f>IF(VLOOKUP(Table4[[#This Row],[V ID]],Vulnerabilities[#All],3,FALSE)="No","Not in scope",VLOOKUP(Table4[[#This Row],[V ID]],Vulnerabilities[#All],2,FALSE))</f>
        <v>Not in scope</v>
      </c>
      <c r="F22" s="82" t="s">
        <v>12</v>
      </c>
      <c r="G22" s="79" t="str">
        <f>VLOOKUP(Table4[[#This Row],[A ID]],Assets[#All],3,FALSE)</f>
        <v>Knee balancer application</v>
      </c>
      <c r="H22" s="182" t="s">
        <v>291</v>
      </c>
      <c r="I22" s="48"/>
      <c r="J22" s="180" t="s">
        <v>136</v>
      </c>
      <c r="K22" s="180" t="s">
        <v>131</v>
      </c>
      <c r="L22" s="180" t="s">
        <v>129</v>
      </c>
      <c r="M22" s="145" t="s">
        <v>134</v>
      </c>
      <c r="N22" s="145" t="s">
        <v>129</v>
      </c>
      <c r="O22" s="145" t="s">
        <v>129</v>
      </c>
      <c r="P22" s="145" t="s">
        <v>131</v>
      </c>
      <c r="Q22" s="145" t="s">
        <v>132</v>
      </c>
      <c r="R22"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2" s="149">
        <f>(1 - ((1 - VLOOKUP(Table4[[#This Row],[Confidentiality]],'Reference - CVSSv3.0'!$B$15:$C$17,2,FALSE)) * (1 - VLOOKUP(Table4[[#This Row],[Integrity]],'Reference - CVSSv3.0'!$B$15:$C$17,2,FALSE)) *  (1 - VLOOKUP(Table4[[#This Row],[Availability]],'Reference - CVSSv3.0'!$B$15:$C$17,2,FALSE))))</f>
        <v>0.65680000000000005</v>
      </c>
      <c r="T22" s="149">
        <f>IF(Table4[[#This Row],[Scope]]="Unchanged",6.42*Table4[[#This Row],[ISC Base]],IF(Table4[[#This Row],[Scope]]="Changed",7.52*(Table4[[#This Row],[ISC Base]] - 0.029) - 3.25 * POWER(Table4[[#This Row],[ISC Base]] - 0.02,15),NA()))</f>
        <v>4.2166560000000004</v>
      </c>
      <c r="U22"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22" s="178" t="s">
        <v>142</v>
      </c>
      <c r="W22" s="149">
        <f>VLOOKUP(Table4[[#This Row],[Threat Event Initiation]],NIST_Scale_LOAI[],2,FALSE)</f>
        <v>0.5</v>
      </c>
      <c r="X22"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22"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2" s="182"/>
      <c r="AA22" s="183"/>
      <c r="AB22" s="81"/>
      <c r="AC22" s="48"/>
      <c r="AD22" s="48"/>
      <c r="AE22" s="48"/>
      <c r="AF22" s="145"/>
      <c r="AG22" s="145"/>
      <c r="AH22" s="145"/>
      <c r="AI22" s="145"/>
      <c r="AJ22" s="145"/>
      <c r="AK22"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149" t="e">
        <f>(1 - ((1 - VLOOKUP(Table4[[#This Row],[ConfidentialityP]],'Reference - CVSSv3.0'!$B$15:$C$17,2,FALSE)) * (1 - VLOOKUP(Table4[[#This Row],[IntegrityP]],'Reference - CVSSv3.0'!$B$15:$C$17,2,FALSE)) *  (1 - VLOOKUP(Table4[[#This Row],[AvailabilityP]],'Reference - CVSSv3.0'!$B$15:$C$17,2,FALSE))))</f>
        <v>#N/A</v>
      </c>
      <c r="AM22" s="149" t="e">
        <f>IF(Table4[[#This Row],[ScopeP]]="Unchanged",6.42*Table4[[#This Row],[ISC BaseP]],IF(Table4[[#This Row],[ScopeP]]="Changed",7.52*(Table4[[#This Row],[ISC BaseP]] - 0.029) - 3.25 * POWER(Table4[[#This Row],[ISC BaseP]] - 0.02,15),NA()))</f>
        <v>#N/A</v>
      </c>
      <c r="AN22"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48"/>
    </row>
    <row r="23" spans="1:43" s="42" customFormat="1" ht="70">
      <c r="A23" s="59">
        <v>19</v>
      </c>
      <c r="B23" s="48" t="s">
        <v>140</v>
      </c>
      <c r="C23" s="79" t="str">
        <f>IF(VLOOKUP(Table4[[#This Row],[T ID]],Table5[#All],5,FALSE)="No","Not in scope",VLOOKUP(Table4[[#This Row],[T ID]],Table5[#All],2,FALSE))</f>
        <v>Unauthorized access to Knee Balancer App</v>
      </c>
      <c r="D23" s="48" t="s">
        <v>51</v>
      </c>
      <c r="E23" s="79" t="str">
        <f>IF(VLOOKUP(Table4[[#This Row],[V ID]],Vulnerabilities[#All],3,FALSE)="No","Not in scope",VLOOKUP(Table4[[#This Row],[V ID]],Vulnerabilities[#All],2,FALSE))</f>
        <v>Improper Storage of Stryker Credentials</v>
      </c>
      <c r="F23" s="82" t="s">
        <v>12</v>
      </c>
      <c r="G23" s="79" t="str">
        <f>VLOOKUP(Table4[[#This Row],[A ID]],Assets[#All],3,FALSE)</f>
        <v>Knee balancer application</v>
      </c>
      <c r="H23" s="182" t="s">
        <v>291</v>
      </c>
      <c r="I23" s="48"/>
      <c r="J23" s="180" t="s">
        <v>136</v>
      </c>
      <c r="K23" s="180" t="s">
        <v>131</v>
      </c>
      <c r="L23" s="180" t="s">
        <v>129</v>
      </c>
      <c r="M23" s="145" t="s">
        <v>134</v>
      </c>
      <c r="N23" s="145" t="s">
        <v>129</v>
      </c>
      <c r="O23" s="145" t="s">
        <v>129</v>
      </c>
      <c r="P23" s="145" t="s">
        <v>131</v>
      </c>
      <c r="Q23" s="145" t="s">
        <v>132</v>
      </c>
      <c r="R23"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3" s="149">
        <f>(1 - ((1 - VLOOKUP(Table4[[#This Row],[Confidentiality]],'Reference - CVSSv3.0'!$B$15:$C$17,2,FALSE)) * (1 - VLOOKUP(Table4[[#This Row],[Integrity]],'Reference - CVSSv3.0'!$B$15:$C$17,2,FALSE)) *  (1 - VLOOKUP(Table4[[#This Row],[Availability]],'Reference - CVSSv3.0'!$B$15:$C$17,2,FALSE))))</f>
        <v>0.65680000000000005</v>
      </c>
      <c r="T23" s="149">
        <f>IF(Table4[[#This Row],[Scope]]="Unchanged",6.42*Table4[[#This Row],[ISC Base]],IF(Table4[[#This Row],[Scope]]="Changed",7.52*(Table4[[#This Row],[ISC Base]] - 0.029) - 3.25 * POWER(Table4[[#This Row],[ISC Base]] - 0.02,15),NA()))</f>
        <v>4.2166560000000004</v>
      </c>
      <c r="U23"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23" s="178" t="s">
        <v>142</v>
      </c>
      <c r="W23" s="149">
        <f>VLOOKUP(Table4[[#This Row],[Threat Event Initiation]],NIST_Scale_LOAI[],2,FALSE)</f>
        <v>0.5</v>
      </c>
      <c r="X23"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23"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3" s="182"/>
      <c r="AA23" s="183"/>
      <c r="AB23" s="81"/>
      <c r="AC23" s="48"/>
      <c r="AD23" s="48"/>
      <c r="AE23" s="48"/>
      <c r="AF23" s="145"/>
      <c r="AG23" s="145"/>
      <c r="AH23" s="145"/>
      <c r="AI23" s="145"/>
      <c r="AJ23" s="145"/>
      <c r="AK23"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149" t="e">
        <f>(1 - ((1 - VLOOKUP(Table4[[#This Row],[ConfidentialityP]],'Reference - CVSSv3.0'!$B$15:$C$17,2,FALSE)) * (1 - VLOOKUP(Table4[[#This Row],[IntegrityP]],'Reference - CVSSv3.0'!$B$15:$C$17,2,FALSE)) *  (1 - VLOOKUP(Table4[[#This Row],[AvailabilityP]],'Reference - CVSSv3.0'!$B$15:$C$17,2,FALSE))))</f>
        <v>#N/A</v>
      </c>
      <c r="AM23" s="149" t="e">
        <f>IF(Table4[[#This Row],[ScopeP]]="Unchanged",6.42*Table4[[#This Row],[ISC BaseP]],IF(Table4[[#This Row],[ScopeP]]="Changed",7.52*(Table4[[#This Row],[ISC BaseP]] - 0.029) - 3.25 * POWER(Table4[[#This Row],[ISC BaseP]] - 0.02,15),NA()))</f>
        <v>#N/A</v>
      </c>
      <c r="AN23"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48"/>
    </row>
    <row r="24" spans="1:43" s="42" customFormat="1" ht="70">
      <c r="A24" s="59">
        <v>20</v>
      </c>
      <c r="B24" s="48" t="s">
        <v>141</v>
      </c>
      <c r="C24" s="79" t="str">
        <f>IF(VLOOKUP(Table4[[#This Row],[T ID]],Table5[#All],5,FALSE)="No","Not in scope",VLOOKUP(Table4[[#This Row],[T ID]],Table5[#All],2,FALSE))</f>
        <v>Unauthorized access/modification to Treatment data/plan</v>
      </c>
      <c r="D24" s="48" t="s">
        <v>61</v>
      </c>
      <c r="E24" s="79" t="str">
        <f>IF(VLOOKUP(Table4[[#This Row],[V ID]],Vulnerabilities[#All],3,FALSE)="No","Not in scope",VLOOKUP(Table4[[#This Row],[V ID]],Vulnerabilities[#All],2,FALSE))</f>
        <v>Unencrypted data at rest in all possible locations (Device, Cloud)</v>
      </c>
      <c r="F24" s="82" t="s">
        <v>12</v>
      </c>
      <c r="G24" s="79" t="str">
        <f>VLOOKUP(Table4[[#This Row],[A ID]],Assets[#All],3,FALSE)</f>
        <v>Knee balancer application</v>
      </c>
      <c r="H24" s="182" t="s">
        <v>298</v>
      </c>
      <c r="I24" s="48"/>
      <c r="J24" s="180" t="s">
        <v>136</v>
      </c>
      <c r="K24" s="180" t="s">
        <v>131</v>
      </c>
      <c r="L24" s="180" t="s">
        <v>129</v>
      </c>
      <c r="M24" s="145" t="s">
        <v>134</v>
      </c>
      <c r="N24" s="145" t="s">
        <v>129</v>
      </c>
      <c r="O24" s="145" t="s">
        <v>129</v>
      </c>
      <c r="P24" s="145" t="s">
        <v>131</v>
      </c>
      <c r="Q24" s="145" t="s">
        <v>132</v>
      </c>
      <c r="R24"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4" s="149">
        <f>(1 - ((1 - VLOOKUP(Table4[[#This Row],[Confidentiality]],'Reference - CVSSv3.0'!$B$15:$C$17,2,FALSE)) * (1 - VLOOKUP(Table4[[#This Row],[Integrity]],'Reference - CVSSv3.0'!$B$15:$C$17,2,FALSE)) *  (1 - VLOOKUP(Table4[[#This Row],[Availability]],'Reference - CVSSv3.0'!$B$15:$C$17,2,FALSE))))</f>
        <v>0.65680000000000005</v>
      </c>
      <c r="T24" s="149">
        <f>IF(Table4[[#This Row],[Scope]]="Unchanged",6.42*Table4[[#This Row],[ISC Base]],IF(Table4[[#This Row],[Scope]]="Changed",7.52*(Table4[[#This Row],[ISC Base]] - 0.029) - 3.25 * POWER(Table4[[#This Row],[ISC Base]] - 0.02,15),NA()))</f>
        <v>4.2166560000000004</v>
      </c>
      <c r="U24"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24" s="178" t="s">
        <v>142</v>
      </c>
      <c r="W24" s="149">
        <f>VLOOKUP(Table4[[#This Row],[Threat Event Initiation]],NIST_Scale_LOAI[],2,FALSE)</f>
        <v>0.5</v>
      </c>
      <c r="X24"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24"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4" s="182"/>
      <c r="AA24" s="182"/>
      <c r="AB24" s="81"/>
      <c r="AC24" s="48"/>
      <c r="AD24" s="48"/>
      <c r="AE24" s="48"/>
      <c r="AF24" s="145"/>
      <c r="AG24" s="145"/>
      <c r="AH24" s="145"/>
      <c r="AI24" s="145"/>
      <c r="AJ24" s="145"/>
      <c r="AK24"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149" t="e">
        <f>(1 - ((1 - VLOOKUP(Table4[[#This Row],[ConfidentialityP]],'Reference - CVSSv3.0'!$B$15:$C$17,2,FALSE)) * (1 - VLOOKUP(Table4[[#This Row],[IntegrityP]],'Reference - CVSSv3.0'!$B$15:$C$17,2,FALSE)) *  (1 - VLOOKUP(Table4[[#This Row],[AvailabilityP]],'Reference - CVSSv3.0'!$B$15:$C$17,2,FALSE))))</f>
        <v>#N/A</v>
      </c>
      <c r="AM24" s="149" t="e">
        <f>IF(Table4[[#This Row],[ScopeP]]="Unchanged",6.42*Table4[[#This Row],[ISC BaseP]],IF(Table4[[#This Row],[ScopeP]]="Changed",7.52*(Table4[[#This Row],[ISC BaseP]] - 0.029) - 3.25 * POWER(Table4[[#This Row],[ISC BaseP]] - 0.02,15),NA()))</f>
        <v>#N/A</v>
      </c>
      <c r="AN24"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48"/>
    </row>
    <row r="25" spans="1:43" s="42" customFormat="1" ht="70">
      <c r="A25" s="59">
        <v>21</v>
      </c>
      <c r="B25" s="48" t="s">
        <v>141</v>
      </c>
      <c r="C25" s="79" t="str">
        <f>IF(VLOOKUP(Table4[[#This Row],[T ID]],Table5[#All],5,FALSE)="No","Not in scope",VLOOKUP(Table4[[#This Row],[T ID]],Table5[#All],2,FALSE))</f>
        <v>Unauthorized access/modification to Treatment data/plan</v>
      </c>
      <c r="D25" s="48" t="s">
        <v>49</v>
      </c>
      <c r="E25" s="79" t="str">
        <f>IF(VLOOKUP(Table4[[#This Row],[V ID]],Vulnerabilities[#All],3,FALSE)="No","Not in scope",VLOOKUP(Table4[[#This Row],[V ID]],Vulnerabilities[#All],2,FALSE))</f>
        <v>Not in scope</v>
      </c>
      <c r="F25" s="82" t="s">
        <v>12</v>
      </c>
      <c r="G25" s="79" t="str">
        <f>VLOOKUP(Table4[[#This Row],[A ID]],Assets[#All],3,FALSE)</f>
        <v>Knee balancer application</v>
      </c>
      <c r="H25" s="182" t="s">
        <v>298</v>
      </c>
      <c r="I25" s="48"/>
      <c r="J25" s="180" t="s">
        <v>136</v>
      </c>
      <c r="K25" s="180" t="s">
        <v>131</v>
      </c>
      <c r="L25" s="180" t="s">
        <v>129</v>
      </c>
      <c r="M25" s="145" t="s">
        <v>134</v>
      </c>
      <c r="N25" s="145" t="s">
        <v>129</v>
      </c>
      <c r="O25" s="145" t="s">
        <v>129</v>
      </c>
      <c r="P25" s="145" t="s">
        <v>131</v>
      </c>
      <c r="Q25" s="145" t="s">
        <v>132</v>
      </c>
      <c r="R25"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5" s="149">
        <f>(1 - ((1 - VLOOKUP(Table4[[#This Row],[Confidentiality]],'Reference - CVSSv3.0'!$B$15:$C$17,2,FALSE)) * (1 - VLOOKUP(Table4[[#This Row],[Integrity]],'Reference - CVSSv3.0'!$B$15:$C$17,2,FALSE)) *  (1 - VLOOKUP(Table4[[#This Row],[Availability]],'Reference - CVSSv3.0'!$B$15:$C$17,2,FALSE))))</f>
        <v>0.65680000000000005</v>
      </c>
      <c r="T25" s="149">
        <f>IF(Table4[[#This Row],[Scope]]="Unchanged",6.42*Table4[[#This Row],[ISC Base]],IF(Table4[[#This Row],[Scope]]="Changed",7.52*(Table4[[#This Row],[ISC Base]] - 0.029) - 3.25 * POWER(Table4[[#This Row],[ISC Base]] - 0.02,15),NA()))</f>
        <v>4.2166560000000004</v>
      </c>
      <c r="U25"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25" s="178" t="s">
        <v>142</v>
      </c>
      <c r="W25" s="149">
        <f>VLOOKUP(Table4[[#This Row],[Threat Event Initiation]],NIST_Scale_LOAI[],2,FALSE)</f>
        <v>0.5</v>
      </c>
      <c r="X25"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25"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5" s="182"/>
      <c r="AA25" s="182"/>
      <c r="AB25" s="81"/>
      <c r="AC25" s="48"/>
      <c r="AD25" s="48"/>
      <c r="AE25" s="48"/>
      <c r="AF25" s="145"/>
      <c r="AG25" s="145"/>
      <c r="AH25" s="145"/>
      <c r="AI25" s="145"/>
      <c r="AJ25" s="145"/>
      <c r="AK25"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5" s="149" t="e">
        <f>(1 - ((1 - VLOOKUP(Table4[[#This Row],[ConfidentialityP]],'Reference - CVSSv3.0'!$B$15:$C$17,2,FALSE)) * (1 - VLOOKUP(Table4[[#This Row],[IntegrityP]],'Reference - CVSSv3.0'!$B$15:$C$17,2,FALSE)) *  (1 - VLOOKUP(Table4[[#This Row],[AvailabilityP]],'Reference - CVSSv3.0'!$B$15:$C$17,2,FALSE))))</f>
        <v>#N/A</v>
      </c>
      <c r="AM25" s="149" t="e">
        <f>IF(Table4[[#This Row],[ScopeP]]="Unchanged",6.42*Table4[[#This Row],[ISC BaseP]],IF(Table4[[#This Row],[ScopeP]]="Changed",7.52*(Table4[[#This Row],[ISC BaseP]] - 0.029) - 3.25 * POWER(Table4[[#This Row],[ISC BaseP]] - 0.02,15),NA()))</f>
        <v>#N/A</v>
      </c>
      <c r="AN25"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48"/>
    </row>
    <row r="26" spans="1:43" s="42" customFormat="1" ht="98">
      <c r="A26" s="59">
        <v>22</v>
      </c>
      <c r="B26" s="48" t="s">
        <v>141</v>
      </c>
      <c r="C26" s="79" t="str">
        <f>IF(VLOOKUP(Table4[[#This Row],[T ID]],Table5[#All],5,FALSE)="No","Not in scope",VLOOKUP(Table4[[#This Row],[T ID]],Table5[#All],2,FALSE))</f>
        <v>Unauthorized access/modification to Treatment data/plan</v>
      </c>
      <c r="D26" s="48" t="s">
        <v>50</v>
      </c>
      <c r="E26" s="79" t="str">
        <f>IF(VLOOKUP(Table4[[#This Row],[V ID]],Vulnerabilities[#All],3,FALSE)="No","Not in scope",VLOOKUP(Table4[[#This Row],[V ID]],Vulnerabilities[#All],2,FALSE))</f>
        <v>Improper Input Validation (allowed range)</v>
      </c>
      <c r="F26" s="82" t="s">
        <v>10</v>
      </c>
      <c r="G26" s="79" t="str">
        <f>VLOOKUP(Table4[[#This Row],[A ID]],Assets[#All],3,FALSE)</f>
        <v>Mobile Device (ipad, iphone V8-13)</v>
      </c>
      <c r="H26" s="182" t="s">
        <v>356</v>
      </c>
      <c r="I26" s="48"/>
      <c r="J26" s="180" t="s">
        <v>136</v>
      </c>
      <c r="K26" s="180" t="s">
        <v>131</v>
      </c>
      <c r="L26" s="180" t="s">
        <v>129</v>
      </c>
      <c r="M26" s="145" t="s">
        <v>134</v>
      </c>
      <c r="N26" s="145" t="s">
        <v>129</v>
      </c>
      <c r="O26" s="145" t="s">
        <v>129</v>
      </c>
      <c r="P26" s="145" t="s">
        <v>131</v>
      </c>
      <c r="Q26" s="145" t="s">
        <v>132</v>
      </c>
      <c r="R26"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6" s="149">
        <f>(1 - ((1 - VLOOKUP(Table4[[#This Row],[Confidentiality]],'Reference - CVSSv3.0'!$B$15:$C$17,2,FALSE)) * (1 - VLOOKUP(Table4[[#This Row],[Integrity]],'Reference - CVSSv3.0'!$B$15:$C$17,2,FALSE)) *  (1 - VLOOKUP(Table4[[#This Row],[Availability]],'Reference - CVSSv3.0'!$B$15:$C$17,2,FALSE))))</f>
        <v>0.65680000000000005</v>
      </c>
      <c r="T26" s="149">
        <f>IF(Table4[[#This Row],[Scope]]="Unchanged",6.42*Table4[[#This Row],[ISC Base]],IF(Table4[[#This Row],[Scope]]="Changed",7.52*(Table4[[#This Row],[ISC Base]] - 0.029) - 3.25 * POWER(Table4[[#This Row],[ISC Base]] - 0.02,15),NA()))</f>
        <v>4.2166560000000004</v>
      </c>
      <c r="U26"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26" s="178" t="s">
        <v>142</v>
      </c>
      <c r="W26" s="149">
        <f>VLOOKUP(Table4[[#This Row],[Threat Event Initiation]],NIST_Scale_LOAI[],2,FALSE)</f>
        <v>0.5</v>
      </c>
      <c r="X26"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26"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6" s="182"/>
      <c r="AA26" s="182"/>
      <c r="AB26" s="81"/>
      <c r="AC26" s="48"/>
      <c r="AD26" s="48"/>
      <c r="AE26" s="48"/>
      <c r="AF26" s="145"/>
      <c r="AG26" s="145"/>
      <c r="AH26" s="145"/>
      <c r="AI26" s="145"/>
      <c r="AJ26" s="145"/>
      <c r="AK26"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149" t="e">
        <f>(1 - ((1 - VLOOKUP(Table4[[#This Row],[ConfidentialityP]],'Reference - CVSSv3.0'!$B$15:$C$17,2,FALSE)) * (1 - VLOOKUP(Table4[[#This Row],[IntegrityP]],'Reference - CVSSv3.0'!$B$15:$C$17,2,FALSE)) *  (1 - VLOOKUP(Table4[[#This Row],[AvailabilityP]],'Reference - CVSSv3.0'!$B$15:$C$17,2,FALSE))))</f>
        <v>#N/A</v>
      </c>
      <c r="AM26" s="149" t="e">
        <f>IF(Table4[[#This Row],[ScopeP]]="Unchanged",6.42*Table4[[#This Row],[ISC BaseP]],IF(Table4[[#This Row],[ScopeP]]="Changed",7.52*(Table4[[#This Row],[ISC BaseP]] - 0.029) - 3.25 * POWER(Table4[[#This Row],[ISC BaseP]] - 0.02,15),NA()))</f>
        <v>#N/A</v>
      </c>
      <c r="AN26"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48"/>
    </row>
    <row r="27" spans="1:43" s="42" customFormat="1" ht="70">
      <c r="A27" s="59">
        <v>23</v>
      </c>
      <c r="B27" s="48" t="s">
        <v>141</v>
      </c>
      <c r="C27" s="79" t="str">
        <f>IF(VLOOKUP(Table4[[#This Row],[T ID]],Table5[#All],5,FALSE)="No","Not in scope",VLOOKUP(Table4[[#This Row],[T ID]],Table5[#All],2,FALSE))</f>
        <v>Unauthorized access/modification to Treatment data/plan</v>
      </c>
      <c r="D27" s="48" t="s">
        <v>65</v>
      </c>
      <c r="E27" s="79" t="str">
        <f>IF(VLOOKUP(Table4[[#This Row],[V ID]],Vulnerabilities[#All],3,FALSE)="No","Not in scope",VLOOKUP(Table4[[#This Row],[V ID]],Vulnerabilities[#All],2,FALSE))</f>
        <v>Insecure Storage of Sensitive Information (Application data)</v>
      </c>
      <c r="F27" s="82" t="s">
        <v>10</v>
      </c>
      <c r="G27" s="79" t="str">
        <f>VLOOKUP(Table4[[#This Row],[A ID]],Assets[#All],3,FALSE)</f>
        <v>Mobile Device (ipad, iphone V8-13)</v>
      </c>
      <c r="H27" s="182" t="s">
        <v>298</v>
      </c>
      <c r="I27" s="48"/>
      <c r="J27" s="180" t="s">
        <v>136</v>
      </c>
      <c r="K27" s="180" t="s">
        <v>131</v>
      </c>
      <c r="L27" s="180" t="s">
        <v>129</v>
      </c>
      <c r="M27" s="145" t="s">
        <v>134</v>
      </c>
      <c r="N27" s="145" t="s">
        <v>129</v>
      </c>
      <c r="O27" s="145" t="s">
        <v>129</v>
      </c>
      <c r="P27" s="145" t="s">
        <v>131</v>
      </c>
      <c r="Q27" s="145" t="s">
        <v>132</v>
      </c>
      <c r="R27"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7" s="149">
        <f>(1 - ((1 - VLOOKUP(Table4[[#This Row],[Confidentiality]],'Reference - CVSSv3.0'!$B$15:$C$17,2,FALSE)) * (1 - VLOOKUP(Table4[[#This Row],[Integrity]],'Reference - CVSSv3.0'!$B$15:$C$17,2,FALSE)) *  (1 - VLOOKUP(Table4[[#This Row],[Availability]],'Reference - CVSSv3.0'!$B$15:$C$17,2,FALSE))))</f>
        <v>0.65680000000000005</v>
      </c>
      <c r="T27" s="149">
        <f>IF(Table4[[#This Row],[Scope]]="Unchanged",6.42*Table4[[#This Row],[ISC Base]],IF(Table4[[#This Row],[Scope]]="Changed",7.52*(Table4[[#This Row],[ISC Base]] - 0.029) - 3.25 * POWER(Table4[[#This Row],[ISC Base]] - 0.02,15),NA()))</f>
        <v>4.2166560000000004</v>
      </c>
      <c r="U27"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27" s="178" t="s">
        <v>142</v>
      </c>
      <c r="W27" s="149">
        <f>VLOOKUP(Table4[[#This Row],[Threat Event Initiation]],NIST_Scale_LOAI[],2,FALSE)</f>
        <v>0.5</v>
      </c>
      <c r="X27"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27"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7" s="182"/>
      <c r="AA27" s="182"/>
      <c r="AB27" s="81"/>
      <c r="AC27" s="48"/>
      <c r="AD27" s="48"/>
      <c r="AE27" s="48"/>
      <c r="AF27" s="145"/>
      <c r="AG27" s="145"/>
      <c r="AH27" s="145"/>
      <c r="AI27" s="145"/>
      <c r="AJ27" s="145"/>
      <c r="AK27"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149" t="e">
        <f>(1 - ((1 - VLOOKUP(Table4[[#This Row],[ConfidentialityP]],'Reference - CVSSv3.0'!$B$15:$C$17,2,FALSE)) * (1 - VLOOKUP(Table4[[#This Row],[IntegrityP]],'Reference - CVSSv3.0'!$B$15:$C$17,2,FALSE)) *  (1 - VLOOKUP(Table4[[#This Row],[AvailabilityP]],'Reference - CVSSv3.0'!$B$15:$C$17,2,FALSE))))</f>
        <v>#N/A</v>
      </c>
      <c r="AM27" s="149" t="e">
        <f>IF(Table4[[#This Row],[ScopeP]]="Unchanged",6.42*Table4[[#This Row],[ISC BaseP]],IF(Table4[[#This Row],[ScopeP]]="Changed",7.52*(Table4[[#This Row],[ISC BaseP]] - 0.029) - 3.25 * POWER(Table4[[#This Row],[ISC BaseP]] - 0.02,15),NA()))</f>
        <v>#N/A</v>
      </c>
      <c r="AN27"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48"/>
    </row>
    <row r="28" spans="1:43" s="42" customFormat="1" ht="70">
      <c r="A28" s="59">
        <v>24</v>
      </c>
      <c r="B28" s="48" t="s">
        <v>143</v>
      </c>
      <c r="C28" s="79" t="str">
        <f>IF(VLOOKUP(Table4[[#This Row],[T ID]],Table5[#All],5,FALSE)="No","Not in scope",VLOOKUP(Table4[[#This Row],[T ID]],Table5[#All],2,FALSE))</f>
        <v>Unauthorized access/modification to PHI/Health data</v>
      </c>
      <c r="D28" s="48" t="s">
        <v>61</v>
      </c>
      <c r="E28" s="79" t="str">
        <f>IF(VLOOKUP(Table4[[#This Row],[V ID]],Vulnerabilities[#All],3,FALSE)="No","Not in scope",VLOOKUP(Table4[[#This Row],[V ID]],Vulnerabilities[#All],2,FALSE))</f>
        <v>Unencrypted data at rest in all possible locations (Device, Cloud)</v>
      </c>
      <c r="F28" s="82" t="s">
        <v>14</v>
      </c>
      <c r="G28" s="79" t="str">
        <f>VLOOKUP(Table4[[#This Row],[A ID]],Assets[#All],3,FALSE)</f>
        <v>Patient Identifiable data</v>
      </c>
      <c r="H28" s="182" t="s">
        <v>292</v>
      </c>
      <c r="I28" s="48"/>
      <c r="J28" s="180" t="s">
        <v>136</v>
      </c>
      <c r="K28" s="180" t="s">
        <v>131</v>
      </c>
      <c r="L28" s="180" t="s">
        <v>129</v>
      </c>
      <c r="M28" s="145" t="s">
        <v>134</v>
      </c>
      <c r="N28" s="145" t="s">
        <v>129</v>
      </c>
      <c r="O28" s="145" t="s">
        <v>129</v>
      </c>
      <c r="P28" s="145" t="s">
        <v>131</v>
      </c>
      <c r="Q28" s="145" t="s">
        <v>132</v>
      </c>
      <c r="R28"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8" s="149">
        <f>(1 - ((1 - VLOOKUP(Table4[[#This Row],[Confidentiality]],'Reference - CVSSv3.0'!$B$15:$C$17,2,FALSE)) * (1 - VLOOKUP(Table4[[#This Row],[Integrity]],'Reference - CVSSv3.0'!$B$15:$C$17,2,FALSE)) *  (1 - VLOOKUP(Table4[[#This Row],[Availability]],'Reference - CVSSv3.0'!$B$15:$C$17,2,FALSE))))</f>
        <v>0.65680000000000005</v>
      </c>
      <c r="T28" s="149">
        <f>IF(Table4[[#This Row],[Scope]]="Unchanged",6.42*Table4[[#This Row],[ISC Base]],IF(Table4[[#This Row],[Scope]]="Changed",7.52*(Table4[[#This Row],[ISC Base]] - 0.029) - 3.25 * POWER(Table4[[#This Row],[ISC Base]] - 0.02,15),NA()))</f>
        <v>4.2166560000000004</v>
      </c>
      <c r="U28"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28" s="178" t="s">
        <v>142</v>
      </c>
      <c r="W28" s="149">
        <f>VLOOKUP(Table4[[#This Row],[Threat Event Initiation]],NIST_Scale_LOAI[],2,FALSE)</f>
        <v>0.5</v>
      </c>
      <c r="X28"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28"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8" s="182"/>
      <c r="AA28" s="182"/>
      <c r="AB28" s="81"/>
      <c r="AC28" s="48"/>
      <c r="AD28" s="48"/>
      <c r="AE28" s="48"/>
      <c r="AF28" s="145"/>
      <c r="AG28" s="145"/>
      <c r="AH28" s="145"/>
      <c r="AI28" s="145"/>
      <c r="AJ28" s="145"/>
      <c r="AK28"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149" t="e">
        <f>(1 - ((1 - VLOOKUP(Table4[[#This Row],[ConfidentialityP]],'Reference - CVSSv3.0'!$B$15:$C$17,2,FALSE)) * (1 - VLOOKUP(Table4[[#This Row],[IntegrityP]],'Reference - CVSSv3.0'!$B$15:$C$17,2,FALSE)) *  (1 - VLOOKUP(Table4[[#This Row],[AvailabilityP]],'Reference - CVSSv3.0'!$B$15:$C$17,2,FALSE))))</f>
        <v>#N/A</v>
      </c>
      <c r="AM28" s="149" t="e">
        <f>IF(Table4[[#This Row],[ScopeP]]="Unchanged",6.42*Table4[[#This Row],[ISC BaseP]],IF(Table4[[#This Row],[ScopeP]]="Changed",7.52*(Table4[[#This Row],[ISC BaseP]] - 0.029) - 3.25 * POWER(Table4[[#This Row],[ISC BaseP]] - 0.02,15),NA()))</f>
        <v>#N/A</v>
      </c>
      <c r="AN28"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48"/>
    </row>
    <row r="29" spans="1:43" s="42" customFormat="1" ht="70">
      <c r="A29" s="59">
        <v>25</v>
      </c>
      <c r="B29" s="48" t="s">
        <v>143</v>
      </c>
      <c r="C29" s="79" t="str">
        <f>IF(VLOOKUP(Table4[[#This Row],[T ID]],Table5[#All],5,FALSE)="No","Not in scope",VLOOKUP(Table4[[#This Row],[T ID]],Table5[#All],2,FALSE))</f>
        <v>Unauthorized access/modification to PHI/Health data</v>
      </c>
      <c r="D29" s="48" t="s">
        <v>65</v>
      </c>
      <c r="E29" s="79" t="str">
        <f>IF(VLOOKUP(Table4[[#This Row],[V ID]],Vulnerabilities[#All],3,FALSE)="No","Not in scope",VLOOKUP(Table4[[#This Row],[V ID]],Vulnerabilities[#All],2,FALSE))</f>
        <v>Insecure Storage of Sensitive Information (Application data)</v>
      </c>
      <c r="F29" s="82" t="s">
        <v>14</v>
      </c>
      <c r="G29" s="79" t="str">
        <f>VLOOKUP(Table4[[#This Row],[A ID]],Assets[#All],3,FALSE)</f>
        <v>Patient Identifiable data</v>
      </c>
      <c r="H29" s="182" t="s">
        <v>292</v>
      </c>
      <c r="I29" s="48"/>
      <c r="J29" s="180" t="s">
        <v>136</v>
      </c>
      <c r="K29" s="180" t="s">
        <v>131</v>
      </c>
      <c r="L29" s="180" t="s">
        <v>129</v>
      </c>
      <c r="M29" s="145" t="s">
        <v>134</v>
      </c>
      <c r="N29" s="145" t="s">
        <v>129</v>
      </c>
      <c r="O29" s="145" t="s">
        <v>129</v>
      </c>
      <c r="P29" s="145" t="s">
        <v>131</v>
      </c>
      <c r="Q29" s="145" t="s">
        <v>132</v>
      </c>
      <c r="R29"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9" s="149">
        <f>(1 - ((1 - VLOOKUP(Table4[[#This Row],[Confidentiality]],'Reference - CVSSv3.0'!$B$15:$C$17,2,FALSE)) * (1 - VLOOKUP(Table4[[#This Row],[Integrity]],'Reference - CVSSv3.0'!$B$15:$C$17,2,FALSE)) *  (1 - VLOOKUP(Table4[[#This Row],[Availability]],'Reference - CVSSv3.0'!$B$15:$C$17,2,FALSE))))</f>
        <v>0.65680000000000005</v>
      </c>
      <c r="T29" s="149">
        <f>IF(Table4[[#This Row],[Scope]]="Unchanged",6.42*Table4[[#This Row],[ISC Base]],IF(Table4[[#This Row],[Scope]]="Changed",7.52*(Table4[[#This Row],[ISC Base]] - 0.029) - 3.25 * POWER(Table4[[#This Row],[ISC Base]] - 0.02,15),NA()))</f>
        <v>4.2166560000000004</v>
      </c>
      <c r="U29"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29" s="178" t="s">
        <v>142</v>
      </c>
      <c r="W29" s="149">
        <f>VLOOKUP(Table4[[#This Row],[Threat Event Initiation]],NIST_Scale_LOAI[],2,FALSE)</f>
        <v>0.5</v>
      </c>
      <c r="X29"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29"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9" s="182"/>
      <c r="AA29" s="182"/>
      <c r="AB29" s="81"/>
      <c r="AC29" s="48"/>
      <c r="AD29" s="48"/>
      <c r="AE29" s="48"/>
      <c r="AF29" s="145"/>
      <c r="AG29" s="145"/>
      <c r="AH29" s="145"/>
      <c r="AI29" s="145"/>
      <c r="AJ29" s="145"/>
      <c r="AK29"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149" t="e">
        <f>(1 - ((1 - VLOOKUP(Table4[[#This Row],[ConfidentialityP]],'Reference - CVSSv3.0'!$B$15:$C$17,2,FALSE)) * (1 - VLOOKUP(Table4[[#This Row],[IntegrityP]],'Reference - CVSSv3.0'!$B$15:$C$17,2,FALSE)) *  (1 - VLOOKUP(Table4[[#This Row],[AvailabilityP]],'Reference - CVSSv3.0'!$B$15:$C$17,2,FALSE))))</f>
        <v>#N/A</v>
      </c>
      <c r="AM29" s="149" t="e">
        <f>IF(Table4[[#This Row],[ScopeP]]="Unchanged",6.42*Table4[[#This Row],[ISC BaseP]],IF(Table4[[#This Row],[ScopeP]]="Changed",7.52*(Table4[[#This Row],[ISC BaseP]] - 0.029) - 3.25 * POWER(Table4[[#This Row],[ISC BaseP]] - 0.02,15),NA()))</f>
        <v>#N/A</v>
      </c>
      <c r="AN29"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48"/>
    </row>
    <row r="30" spans="1:43" s="42" customFormat="1" ht="56">
      <c r="A30" s="59">
        <v>26</v>
      </c>
      <c r="B30" s="48" t="s">
        <v>144</v>
      </c>
      <c r="C30" s="79" t="str">
        <f>IF(VLOOKUP(Table4[[#This Row],[T ID]],Table5[#All],5,FALSE)="No","Not in scope",VLOOKUP(Table4[[#This Row],[T ID]],Table5[#All],2,FALSE))</f>
        <v>Unauthorized access to app sensitive data (device's keys/certificates/crypto algorithms)</v>
      </c>
      <c r="D30" s="48" t="s">
        <v>61</v>
      </c>
      <c r="E30" s="79" t="str">
        <f>IF(VLOOKUP(Table4[[#This Row],[V ID]],Vulnerabilities[#All],3,FALSE)="No","Not in scope",VLOOKUP(Table4[[#This Row],[V ID]],Vulnerabilities[#All],2,FALSE))</f>
        <v>Unencrypted data at rest in all possible locations (Device, Cloud)</v>
      </c>
      <c r="F30" s="82" t="s">
        <v>14</v>
      </c>
      <c r="G30" s="79" t="str">
        <f>VLOOKUP(Table4[[#This Row],[A ID]],Assets[#All],3,FALSE)</f>
        <v>Patient Identifiable data</v>
      </c>
      <c r="H30" s="182" t="s">
        <v>294</v>
      </c>
      <c r="I30" s="48"/>
      <c r="J30" s="180" t="s">
        <v>131</v>
      </c>
      <c r="K30" s="180" t="s">
        <v>136</v>
      </c>
      <c r="L30" s="180" t="s">
        <v>129</v>
      </c>
      <c r="M30" s="145" t="s">
        <v>134</v>
      </c>
      <c r="N30" s="145" t="s">
        <v>129</v>
      </c>
      <c r="O30" s="145" t="s">
        <v>136</v>
      </c>
      <c r="P30" s="145" t="s">
        <v>131</v>
      </c>
      <c r="Q30" s="145" t="s">
        <v>132</v>
      </c>
      <c r="R30"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30" s="149">
        <f>(1 - ((1 - VLOOKUP(Table4[[#This Row],[Confidentiality]],'Reference - CVSSv3.0'!$B$15:$C$17,2,FALSE)) * (1 - VLOOKUP(Table4[[#This Row],[Integrity]],'Reference - CVSSv3.0'!$B$15:$C$17,2,FALSE)) *  (1 - VLOOKUP(Table4[[#This Row],[Availability]],'Reference - CVSSv3.0'!$B$15:$C$17,2,FALSE))))</f>
        <v>0.65680000000000005</v>
      </c>
      <c r="T30" s="149">
        <f>IF(Table4[[#This Row],[Scope]]="Unchanged",6.42*Table4[[#This Row],[ISC Base]],IF(Table4[[#This Row],[Scope]]="Changed",7.52*(Table4[[#This Row],[ISC Base]] - 0.029) - 3.25 * POWER(Table4[[#This Row],[ISC Base]] - 0.02,15),NA()))</f>
        <v>4.2166560000000004</v>
      </c>
      <c r="U30" s="149">
        <f>IF(Table4[[#This Row],[Impact Sub Score]]&lt;=0,0,IF(Table4[[#This Row],[Scope]]="Unchanged",ROUNDUP(MIN((Table4[[#This Row],[Impact Sub Score]]+Table4[[#This Row],[Exploitability Sub Score]]),10),1),IF(Table4[[#This Row],[Scope]]="Changed",ROUNDUP(MIN((1.08*(Table4[[#This Row],[Impact Sub Score]]+Table4[[#This Row],[Exploitability Sub Score]])),10),1),NA())))</f>
        <v>5.0999999999999996</v>
      </c>
      <c r="V30" s="178" t="s">
        <v>129</v>
      </c>
      <c r="W30" s="149">
        <f>VLOOKUP(Table4[[#This Row],[Threat Event Initiation]],NIST_Scale_LOAI[],2,FALSE)</f>
        <v>0.2</v>
      </c>
      <c r="X30"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30"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0" s="212"/>
      <c r="AA30" s="182"/>
      <c r="AB30" s="81"/>
      <c r="AC30" s="48"/>
      <c r="AD30" s="48"/>
      <c r="AE30" s="48"/>
      <c r="AF30" s="145"/>
      <c r="AG30" s="145"/>
      <c r="AH30" s="145"/>
      <c r="AI30" s="145"/>
      <c r="AJ30" s="145"/>
      <c r="AK30"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149" t="e">
        <f>(1 - ((1 - VLOOKUP(Table4[[#This Row],[ConfidentialityP]],'Reference - CVSSv3.0'!$B$15:$C$17,2,FALSE)) * (1 - VLOOKUP(Table4[[#This Row],[IntegrityP]],'Reference - CVSSv3.0'!$B$15:$C$17,2,FALSE)) *  (1 - VLOOKUP(Table4[[#This Row],[AvailabilityP]],'Reference - CVSSv3.0'!$B$15:$C$17,2,FALSE))))</f>
        <v>#N/A</v>
      </c>
      <c r="AM30" s="149" t="e">
        <f>IF(Table4[[#This Row],[ScopeP]]="Unchanged",6.42*Table4[[#This Row],[ISC BaseP]],IF(Table4[[#This Row],[ScopeP]]="Changed",7.52*(Table4[[#This Row],[ISC BaseP]] - 0.029) - 3.25 * POWER(Table4[[#This Row],[ISC BaseP]] - 0.02,15),NA()))</f>
        <v>#N/A</v>
      </c>
      <c r="AN30"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48"/>
    </row>
    <row r="31" spans="1:43" s="42" customFormat="1" ht="56">
      <c r="A31" s="59">
        <v>27</v>
      </c>
      <c r="B31" s="48" t="s">
        <v>144</v>
      </c>
      <c r="C31" s="79" t="str">
        <f>IF(VLOOKUP(Table4[[#This Row],[T ID]],Table5[#All],5,FALSE)="No","Not in scope",VLOOKUP(Table4[[#This Row],[T ID]],Table5[#All],2,FALSE))</f>
        <v>Unauthorized access to app sensitive data (device's keys/certificates/crypto algorithms)</v>
      </c>
      <c r="D31" s="48" t="s">
        <v>65</v>
      </c>
      <c r="E31" s="79" t="str">
        <f>IF(VLOOKUP(Table4[[#This Row],[V ID]],Vulnerabilities[#All],3,FALSE)="No","Not in scope",VLOOKUP(Table4[[#This Row],[V ID]],Vulnerabilities[#All],2,FALSE))</f>
        <v>Insecure Storage of Sensitive Information (Application data)</v>
      </c>
      <c r="F31" s="82" t="s">
        <v>14</v>
      </c>
      <c r="G31" s="79" t="str">
        <f>VLOOKUP(Table4[[#This Row],[A ID]],Assets[#All],3,FALSE)</f>
        <v>Patient Identifiable data</v>
      </c>
      <c r="H31" s="182" t="s">
        <v>294</v>
      </c>
      <c r="I31" s="48"/>
      <c r="J31" s="180" t="s">
        <v>131</v>
      </c>
      <c r="K31" s="180" t="s">
        <v>136</v>
      </c>
      <c r="L31" s="180" t="s">
        <v>129</v>
      </c>
      <c r="M31" s="145" t="s">
        <v>134</v>
      </c>
      <c r="N31" s="145" t="s">
        <v>129</v>
      </c>
      <c r="O31" s="145" t="s">
        <v>136</v>
      </c>
      <c r="P31" s="145" t="s">
        <v>131</v>
      </c>
      <c r="Q31" s="145" t="s">
        <v>132</v>
      </c>
      <c r="R31"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31" s="149">
        <f>(1 - ((1 - VLOOKUP(Table4[[#This Row],[Confidentiality]],'Reference - CVSSv3.0'!$B$15:$C$17,2,FALSE)) * (1 - VLOOKUP(Table4[[#This Row],[Integrity]],'Reference - CVSSv3.0'!$B$15:$C$17,2,FALSE)) *  (1 - VLOOKUP(Table4[[#This Row],[Availability]],'Reference - CVSSv3.0'!$B$15:$C$17,2,FALSE))))</f>
        <v>0.65680000000000005</v>
      </c>
      <c r="T31" s="149">
        <f>IF(Table4[[#This Row],[Scope]]="Unchanged",6.42*Table4[[#This Row],[ISC Base]],IF(Table4[[#This Row],[Scope]]="Changed",7.52*(Table4[[#This Row],[ISC Base]] - 0.029) - 3.25 * POWER(Table4[[#This Row],[ISC Base]] - 0.02,15),NA()))</f>
        <v>4.2166560000000004</v>
      </c>
      <c r="U31" s="149">
        <f>IF(Table4[[#This Row],[Impact Sub Score]]&lt;=0,0,IF(Table4[[#This Row],[Scope]]="Unchanged",ROUNDUP(MIN((Table4[[#This Row],[Impact Sub Score]]+Table4[[#This Row],[Exploitability Sub Score]]),10),1),IF(Table4[[#This Row],[Scope]]="Changed",ROUNDUP(MIN((1.08*(Table4[[#This Row],[Impact Sub Score]]+Table4[[#This Row],[Exploitability Sub Score]])),10),1),NA())))</f>
        <v>5.0999999999999996</v>
      </c>
      <c r="V31" s="178" t="s">
        <v>129</v>
      </c>
      <c r="W31" s="149">
        <f>VLOOKUP(Table4[[#This Row],[Threat Event Initiation]],NIST_Scale_LOAI[],2,FALSE)</f>
        <v>0.2</v>
      </c>
      <c r="X31"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31"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212"/>
      <c r="AA31" s="182"/>
      <c r="AB31" s="81"/>
      <c r="AC31" s="48"/>
      <c r="AD31" s="48"/>
      <c r="AE31" s="48"/>
      <c r="AF31" s="145"/>
      <c r="AG31" s="145"/>
      <c r="AH31" s="145"/>
      <c r="AI31" s="145"/>
      <c r="AJ31" s="145"/>
      <c r="AK31"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149" t="e">
        <f>(1 - ((1 - VLOOKUP(Table4[[#This Row],[ConfidentialityP]],'Reference - CVSSv3.0'!$B$15:$C$17,2,FALSE)) * (1 - VLOOKUP(Table4[[#This Row],[IntegrityP]],'Reference - CVSSv3.0'!$B$15:$C$17,2,FALSE)) *  (1 - VLOOKUP(Table4[[#This Row],[AvailabilityP]],'Reference - CVSSv3.0'!$B$15:$C$17,2,FALSE))))</f>
        <v>#N/A</v>
      </c>
      <c r="AM31" s="149" t="e">
        <f>IF(Table4[[#This Row],[ScopeP]]="Unchanged",6.42*Table4[[#This Row],[ISC BaseP]],IF(Table4[[#This Row],[ScopeP]]="Changed",7.52*(Table4[[#This Row],[ISC BaseP]] - 0.029) - 3.25 * POWER(Table4[[#This Row],[ISC BaseP]] - 0.02,15),NA()))</f>
        <v>#N/A</v>
      </c>
      <c r="AN31"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48"/>
    </row>
    <row r="32" spans="1:43" s="42" customFormat="1" ht="56">
      <c r="A32" s="59">
        <v>28</v>
      </c>
      <c r="B32" s="48" t="s">
        <v>145</v>
      </c>
      <c r="C32" s="79" t="str">
        <f>IF(VLOOKUP(Table4[[#This Row],[T ID]],Table5[#All],5,FALSE)="No","Not in scope",VLOOKUP(Table4[[#This Row],[T ID]],Table5[#All],2,FALSE))</f>
        <v>Brute force login attempts</v>
      </c>
      <c r="D32" s="48" t="s">
        <v>49</v>
      </c>
      <c r="E32" s="79" t="str">
        <f>IF(VLOOKUP(Table4[[#This Row],[V ID]],Vulnerabilities[#All],3,FALSE)="No","Not in scope",VLOOKUP(Table4[[#This Row],[V ID]],Vulnerabilities[#All],2,FALSE))</f>
        <v>Not in scope</v>
      </c>
      <c r="F32" s="82" t="s">
        <v>32</v>
      </c>
      <c r="G32" s="79" t="str">
        <f>VLOOKUP(Table4[[#This Row],[A ID]],Assets[#All],3,FALSE)</f>
        <v>Security keys, tokens, certificates</v>
      </c>
      <c r="H32" s="182" t="s">
        <v>295</v>
      </c>
      <c r="I32" s="48"/>
      <c r="J32" s="80" t="s">
        <v>131</v>
      </c>
      <c r="K32" s="80" t="s">
        <v>129</v>
      </c>
      <c r="L32" s="80" t="s">
        <v>136</v>
      </c>
      <c r="M32" s="145" t="s">
        <v>130</v>
      </c>
      <c r="N32" s="145" t="s">
        <v>136</v>
      </c>
      <c r="O32" s="145" t="s">
        <v>129</v>
      </c>
      <c r="P32" s="145" t="s">
        <v>131</v>
      </c>
      <c r="Q32" s="145" t="s">
        <v>132</v>
      </c>
      <c r="R32"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2" s="149">
        <f>(1 - ((1 - VLOOKUP(Table4[[#This Row],[Confidentiality]],'Reference - CVSSv3.0'!$B$15:$C$17,2,FALSE)) * (1 - VLOOKUP(Table4[[#This Row],[Integrity]],'Reference - CVSSv3.0'!$B$15:$C$17,2,FALSE)) *  (1 - VLOOKUP(Table4[[#This Row],[Availability]],'Reference - CVSSv3.0'!$B$15:$C$17,2,FALSE))))</f>
        <v>0.65680000000000005</v>
      </c>
      <c r="T32" s="149">
        <f>IF(Table4[[#This Row],[Scope]]="Unchanged",6.42*Table4[[#This Row],[ISC Base]],IF(Table4[[#This Row],[Scope]]="Changed",7.52*(Table4[[#This Row],[ISC Base]] - 0.029) - 3.25 * POWER(Table4[[#This Row],[ISC Base]] - 0.02,15),NA()))</f>
        <v>4.2166560000000004</v>
      </c>
      <c r="U32" s="149">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32" s="178" t="s">
        <v>129</v>
      </c>
      <c r="W32" s="149">
        <f>VLOOKUP(Table4[[#This Row],[Threat Event Initiation]],NIST_Scale_LOAI[],2,FALSE)</f>
        <v>0.2</v>
      </c>
      <c r="X32"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2"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2" s="41"/>
      <c r="AA32" s="182"/>
      <c r="AB32" s="81"/>
      <c r="AC32" s="48"/>
      <c r="AD32" s="48"/>
      <c r="AE32" s="48"/>
      <c r="AF32" s="145"/>
      <c r="AG32" s="145"/>
      <c r="AH32" s="145"/>
      <c r="AI32" s="145"/>
      <c r="AJ32" s="145"/>
      <c r="AK32"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149" t="e">
        <f>(1 - ((1 - VLOOKUP(Table4[[#This Row],[ConfidentialityP]],'Reference - CVSSv3.0'!$B$15:$C$17,2,FALSE)) * (1 - VLOOKUP(Table4[[#This Row],[IntegrityP]],'Reference - CVSSv3.0'!$B$15:$C$17,2,FALSE)) *  (1 - VLOOKUP(Table4[[#This Row],[AvailabilityP]],'Reference - CVSSv3.0'!$B$15:$C$17,2,FALSE))))</f>
        <v>#N/A</v>
      </c>
      <c r="AM32" s="149" t="e">
        <f>IF(Table4[[#This Row],[ScopeP]]="Unchanged",6.42*Table4[[#This Row],[ISC BaseP]],IF(Table4[[#This Row],[ScopeP]]="Changed",7.52*(Table4[[#This Row],[ISC BaseP]] - 0.029) - 3.25 * POWER(Table4[[#This Row],[ISC BaseP]] - 0.02,15),NA()))</f>
        <v>#N/A</v>
      </c>
      <c r="AN32"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48"/>
    </row>
    <row r="33" spans="1:43" s="42" customFormat="1" ht="56">
      <c r="A33" s="211">
        <v>29</v>
      </c>
      <c r="B33" s="48" t="s">
        <v>145</v>
      </c>
      <c r="C33" s="79" t="str">
        <f>IF(VLOOKUP(Table4[[#This Row],[T ID]],Table5[#All],5,FALSE)="No","Not in scope",VLOOKUP(Table4[[#This Row],[T ID]],Table5[#All],2,FALSE))</f>
        <v>Brute force login attempts</v>
      </c>
      <c r="D33" s="48" t="s">
        <v>306</v>
      </c>
      <c r="E33" s="79" t="str">
        <f>IF(VLOOKUP(Table4[[#This Row],[V ID]],Vulnerabilities[#All],3,FALSE)="No","Not in scope",VLOOKUP(Table4[[#This Row],[V ID]],Vulnerabilities[#All],2,FALSE))</f>
        <v>Not in scope</v>
      </c>
      <c r="F33" s="82" t="s">
        <v>32</v>
      </c>
      <c r="G33" s="79" t="str">
        <f>VLOOKUP(Table4[[#This Row],[A ID]],Assets[#All],3,FALSE)</f>
        <v>Security keys, tokens, certificates</v>
      </c>
      <c r="H33" s="182" t="s">
        <v>295</v>
      </c>
      <c r="I33" s="48"/>
      <c r="J33" s="80" t="s">
        <v>131</v>
      </c>
      <c r="K33" s="80" t="s">
        <v>129</v>
      </c>
      <c r="L33" s="80" t="s">
        <v>136</v>
      </c>
      <c r="M33" s="145" t="s">
        <v>130</v>
      </c>
      <c r="N33" s="145" t="s">
        <v>136</v>
      </c>
      <c r="O33" s="145" t="s">
        <v>129</v>
      </c>
      <c r="P33" s="145" t="s">
        <v>131</v>
      </c>
      <c r="Q33" s="145" t="s">
        <v>132</v>
      </c>
      <c r="R33"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3" s="149">
        <f>(1 - ((1 - VLOOKUP(Table4[[#This Row],[Confidentiality]],'Reference - CVSSv3.0'!$B$15:$C$17,2,FALSE)) * (1 - VLOOKUP(Table4[[#This Row],[Integrity]],'Reference - CVSSv3.0'!$B$15:$C$17,2,FALSE)) *  (1 - VLOOKUP(Table4[[#This Row],[Availability]],'Reference - CVSSv3.0'!$B$15:$C$17,2,FALSE))))</f>
        <v>0.65680000000000005</v>
      </c>
      <c r="T33" s="149">
        <f>IF(Table4[[#This Row],[Scope]]="Unchanged",6.42*Table4[[#This Row],[ISC Base]],IF(Table4[[#This Row],[Scope]]="Changed",7.52*(Table4[[#This Row],[ISC Base]] - 0.029) - 3.25 * POWER(Table4[[#This Row],[ISC Base]] - 0.02,15),NA()))</f>
        <v>4.2166560000000004</v>
      </c>
      <c r="U33" s="149">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33" s="178" t="s">
        <v>129</v>
      </c>
      <c r="W33" s="149">
        <f>VLOOKUP(Table4[[#This Row],[Threat Event Initiation]],NIST_Scale_LOAI[],2,FALSE)</f>
        <v>0.2</v>
      </c>
      <c r="X33"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3"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3" s="41"/>
      <c r="AA33" s="182"/>
      <c r="AB33" s="81"/>
      <c r="AC33" s="48"/>
      <c r="AD33" s="48"/>
      <c r="AE33" s="48"/>
      <c r="AF33" s="145"/>
      <c r="AG33" s="145"/>
      <c r="AH33" s="145"/>
      <c r="AI33" s="145"/>
      <c r="AJ33" s="145"/>
      <c r="AK33"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149" t="e">
        <f>(1 - ((1 - VLOOKUP(Table4[[#This Row],[ConfidentialityP]],'Reference - CVSSv3.0'!$B$15:$C$17,2,FALSE)) * (1 - VLOOKUP(Table4[[#This Row],[IntegrityP]],'Reference - CVSSv3.0'!$B$15:$C$17,2,FALSE)) *  (1 - VLOOKUP(Table4[[#This Row],[AvailabilityP]],'Reference - CVSSv3.0'!$B$15:$C$17,2,FALSE))))</f>
        <v>#N/A</v>
      </c>
      <c r="AM33" s="149" t="e">
        <f>IF(Table4[[#This Row],[ScopeP]]="Unchanged",6.42*Table4[[#This Row],[ISC BaseP]],IF(Table4[[#This Row],[ScopeP]]="Changed",7.52*(Table4[[#This Row],[ISC BaseP]] - 0.029) - 3.25 * POWER(Table4[[#This Row],[ISC BaseP]] - 0.02,15),NA()))</f>
        <v>#N/A</v>
      </c>
      <c r="AN33"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48"/>
    </row>
    <row r="34" spans="1:43" ht="28">
      <c r="A34" s="197">
        <v>30</v>
      </c>
      <c r="B34" s="198" t="s">
        <v>146</v>
      </c>
      <c r="C34" s="199" t="str">
        <f>IF(VLOOKUP(Table4[[#This Row],[T ID]],Table5[#All],5,FALSE)="No","Not in scope",VLOOKUP(Table4[[#This Row],[T ID]],Table5[#All],2,FALSE))</f>
        <v>Unprotected access to device settings (uninstalling applications, etc..)</v>
      </c>
      <c r="D34" s="198" t="s">
        <v>79</v>
      </c>
      <c r="E34" s="199" t="str">
        <f>IF(VLOOKUP(Table4[[#This Row],[V ID]],Vulnerabilities[#All],3,FALSE)="No","Not in scope",VLOOKUP(Table4[[#This Row],[V ID]],Vulnerabilities[#All],2,FALSE))</f>
        <v>Not in scope</v>
      </c>
      <c r="F34" s="200" t="s">
        <v>12</v>
      </c>
      <c r="G34" s="199" t="str">
        <f>VLOOKUP(Table4[[#This Row],[A ID]],Assets[#All],3,FALSE)</f>
        <v>Knee balancer application</v>
      </c>
      <c r="H34" s="182" t="s">
        <v>296</v>
      </c>
      <c r="I34" s="198"/>
      <c r="J34" s="201" t="s">
        <v>131</v>
      </c>
      <c r="K34" s="201" t="s">
        <v>129</v>
      </c>
      <c r="L34" s="201" t="s">
        <v>136</v>
      </c>
      <c r="M34" s="202" t="s">
        <v>134</v>
      </c>
      <c r="N34" s="202" t="s">
        <v>129</v>
      </c>
      <c r="O34" s="202" t="s">
        <v>129</v>
      </c>
      <c r="P34" s="202" t="s">
        <v>131</v>
      </c>
      <c r="Q34" s="202" t="s">
        <v>132</v>
      </c>
      <c r="R34" s="20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4" s="204">
        <f>(1 - ((1 - VLOOKUP(Table4[[#This Row],[Confidentiality]],'Reference - CVSSv3.0'!$B$15:$C$17,2,FALSE)) * (1 - VLOOKUP(Table4[[#This Row],[Integrity]],'Reference - CVSSv3.0'!$B$15:$C$17,2,FALSE)) *  (1 - VLOOKUP(Table4[[#This Row],[Availability]],'Reference - CVSSv3.0'!$B$15:$C$17,2,FALSE))))</f>
        <v>0.65680000000000005</v>
      </c>
      <c r="T34" s="204">
        <f>IF(Table4[[#This Row],[Scope]]="Unchanged",6.42*Table4[[#This Row],[ISC Base]],IF(Table4[[#This Row],[Scope]]="Changed",7.52*(Table4[[#This Row],[ISC Base]] - 0.029) - 3.25 * POWER(Table4[[#This Row],[ISC Base]] - 0.02,15),NA()))</f>
        <v>4.2166560000000004</v>
      </c>
      <c r="U34" s="204">
        <f>IF(Table4[[#This Row],[Impact Sub Score]]&lt;=0,0,IF(Table4[[#This Row],[Scope]]="Unchanged",ROUNDUP(MIN((Table4[[#This Row],[Impact Sub Score]]+Table4[[#This Row],[Exploitability Sub Score]]),10),1),IF(Table4[[#This Row],[Scope]]="Changed",ROUNDUP(MIN((1.08*(Table4[[#This Row],[Impact Sub Score]]+Table4[[#This Row],[Exploitability Sub Score]])),10),1),NA())))</f>
        <v>6.1</v>
      </c>
      <c r="V34" s="205" t="s">
        <v>142</v>
      </c>
      <c r="W34" s="204">
        <f>VLOOKUP(Table4[[#This Row],[Threat Event Initiation]],NIST_Scale_LOAI[],2,FALSE)</f>
        <v>0.5</v>
      </c>
      <c r="X34" s="20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34" s="20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4" s="212"/>
      <c r="AA34" s="198"/>
      <c r="AB34" s="207"/>
      <c r="AC34" s="198"/>
      <c r="AD34" s="198"/>
      <c r="AE34" s="198"/>
      <c r="AF34" s="202"/>
      <c r="AG34" s="202"/>
      <c r="AH34" s="202"/>
      <c r="AI34" s="202"/>
      <c r="AJ34" s="208"/>
      <c r="AK34" s="20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204" t="e">
        <f>(1 - ((1 - VLOOKUP(Table4[[#This Row],[ConfidentialityP]],'Reference - CVSSv3.0'!$B$15:$C$17,2,FALSE)) * (1 - VLOOKUP(Table4[[#This Row],[IntegrityP]],'Reference - CVSSv3.0'!$B$15:$C$17,2,FALSE)) *  (1 - VLOOKUP(Table4[[#This Row],[AvailabilityP]],'Reference - CVSSv3.0'!$B$15:$C$17,2,FALSE))))</f>
        <v>#N/A</v>
      </c>
      <c r="AM34" s="204" t="e">
        <f>IF(Table4[[#This Row],[ScopeP]]="Unchanged",6.42*Table4[[#This Row],[ISC BaseP]],IF(Table4[[#This Row],[ScopeP]]="Changed",7.52*(Table4[[#This Row],[ISC BaseP]] - 0.029) - 3.25 * POWER(Table4[[#This Row],[ISC BaseP]] - 0.02,15),NA()))</f>
        <v>#N/A</v>
      </c>
      <c r="AN34" s="20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20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20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198"/>
    </row>
    <row r="35" spans="1:43" ht="56">
      <c r="A35" s="197">
        <v>31</v>
      </c>
      <c r="B35" s="198" t="s">
        <v>147</v>
      </c>
      <c r="C35" s="199" t="str">
        <f>IF(VLOOKUP(Table4[[#This Row],[T ID]],Table5[#All],5,FALSE)="No","Not in scope",VLOOKUP(Table4[[#This Row],[T ID]],Table5[#All],2,FALSE))</f>
        <v>Unrestricted wireless communication with multiple sources</v>
      </c>
      <c r="D35" s="198" t="s">
        <v>79</v>
      </c>
      <c r="E35" s="199" t="str">
        <f>IF(VLOOKUP(Table4[[#This Row],[V ID]],Vulnerabilities[#All],3,FALSE)="No","Not in scope",VLOOKUP(Table4[[#This Row],[V ID]],Vulnerabilities[#All],2,FALSE))</f>
        <v>Not in scope</v>
      </c>
      <c r="F35" s="200" t="s">
        <v>10</v>
      </c>
      <c r="G35" s="199" t="str">
        <f>VLOOKUP(Table4[[#This Row],[A ID]],Assets[#All],3,FALSE)</f>
        <v>Mobile Device (ipad, iphone V8-13)</v>
      </c>
      <c r="H35" s="182" t="s">
        <v>297</v>
      </c>
      <c r="I35" s="198"/>
      <c r="J35" s="201" t="s">
        <v>131</v>
      </c>
      <c r="K35" s="201" t="s">
        <v>129</v>
      </c>
      <c r="L35" s="201" t="s">
        <v>136</v>
      </c>
      <c r="M35" s="202" t="s">
        <v>134</v>
      </c>
      <c r="N35" s="202" t="s">
        <v>129</v>
      </c>
      <c r="O35" s="202" t="s">
        <v>129</v>
      </c>
      <c r="P35" s="202" t="s">
        <v>131</v>
      </c>
      <c r="Q35" s="202" t="s">
        <v>132</v>
      </c>
      <c r="R35" s="20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5" s="204">
        <f>(1 - ((1 - VLOOKUP(Table4[[#This Row],[Confidentiality]],'Reference - CVSSv3.0'!$B$15:$C$17,2,FALSE)) * (1 - VLOOKUP(Table4[[#This Row],[Integrity]],'Reference - CVSSv3.0'!$B$15:$C$17,2,FALSE)) *  (1 - VLOOKUP(Table4[[#This Row],[Availability]],'Reference - CVSSv3.0'!$B$15:$C$17,2,FALSE))))</f>
        <v>0.65680000000000005</v>
      </c>
      <c r="T35" s="204">
        <f>IF(Table4[[#This Row],[Scope]]="Unchanged",6.42*Table4[[#This Row],[ISC Base]],IF(Table4[[#This Row],[Scope]]="Changed",7.52*(Table4[[#This Row],[ISC Base]] - 0.029) - 3.25 * POWER(Table4[[#This Row],[ISC Base]] - 0.02,15),NA()))</f>
        <v>4.2166560000000004</v>
      </c>
      <c r="U35" s="204">
        <f>IF(Table4[[#This Row],[Impact Sub Score]]&lt;=0,0,IF(Table4[[#This Row],[Scope]]="Unchanged",ROUNDUP(MIN((Table4[[#This Row],[Impact Sub Score]]+Table4[[#This Row],[Exploitability Sub Score]]),10),1),IF(Table4[[#This Row],[Scope]]="Changed",ROUNDUP(MIN((1.08*(Table4[[#This Row],[Impact Sub Score]]+Table4[[#This Row],[Exploitability Sub Score]])),10),1),NA())))</f>
        <v>6.1</v>
      </c>
      <c r="V35" s="205" t="s">
        <v>142</v>
      </c>
      <c r="W35" s="204">
        <f>VLOOKUP(Table4[[#This Row],[Threat Event Initiation]],NIST_Scale_LOAI[],2,FALSE)</f>
        <v>0.5</v>
      </c>
      <c r="X35" s="20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35" s="20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212"/>
      <c r="AA35" s="198"/>
      <c r="AB35" s="207"/>
      <c r="AC35" s="198"/>
      <c r="AD35" s="198"/>
      <c r="AE35" s="198"/>
      <c r="AF35" s="202"/>
      <c r="AG35" s="202"/>
      <c r="AH35" s="202"/>
      <c r="AI35" s="202"/>
      <c r="AJ35" s="208"/>
      <c r="AK35" s="20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204" t="e">
        <f>(1 - ((1 - VLOOKUP(Table4[[#This Row],[ConfidentialityP]],'Reference - CVSSv3.0'!$B$15:$C$17,2,FALSE)) * (1 - VLOOKUP(Table4[[#This Row],[IntegrityP]],'Reference - CVSSv3.0'!$B$15:$C$17,2,FALSE)) *  (1 - VLOOKUP(Table4[[#This Row],[AvailabilityP]],'Reference - CVSSv3.0'!$B$15:$C$17,2,FALSE))))</f>
        <v>#N/A</v>
      </c>
      <c r="AM35" s="204" t="e">
        <f>IF(Table4[[#This Row],[ScopeP]]="Unchanged",6.42*Table4[[#This Row],[ISC BaseP]],IF(Table4[[#This Row],[ScopeP]]="Changed",7.52*(Table4[[#This Row],[ISC BaseP]] - 0.029) - 3.25 * POWER(Table4[[#This Row],[ISC BaseP]] - 0.02,15),NA()))</f>
        <v>#N/A</v>
      </c>
      <c r="AN35" s="20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20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20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198"/>
    </row>
    <row r="36" spans="1:43" ht="56">
      <c r="A36" s="197">
        <v>32</v>
      </c>
      <c r="B36" s="198" t="s">
        <v>147</v>
      </c>
      <c r="C36" s="199" t="str">
        <f>IF(VLOOKUP(Table4[[#This Row],[T ID]],Table5[#All],5,FALSE)="No","Not in scope",VLOOKUP(Table4[[#This Row],[T ID]],Table5[#All],2,FALSE))</f>
        <v>Unrestricted wireless communication with multiple sources</v>
      </c>
      <c r="D36" s="198" t="s">
        <v>79</v>
      </c>
      <c r="E36" s="199" t="str">
        <f>IF(VLOOKUP(Table4[[#This Row],[V ID]],Vulnerabilities[#All],3,FALSE)="No","Not in scope",VLOOKUP(Table4[[#This Row],[V ID]],Vulnerabilities[#All],2,FALSE))</f>
        <v>Not in scope</v>
      </c>
      <c r="F36" s="200" t="s">
        <v>12</v>
      </c>
      <c r="G36" s="199" t="str">
        <f>VLOOKUP(Table4[[#This Row],[A ID]],Assets[#All],3,FALSE)</f>
        <v>Knee balancer application</v>
      </c>
      <c r="H36" s="182" t="s">
        <v>297</v>
      </c>
      <c r="I36" s="198"/>
      <c r="J36" s="201" t="s">
        <v>131</v>
      </c>
      <c r="K36" s="201" t="s">
        <v>129</v>
      </c>
      <c r="L36" s="201" t="s">
        <v>136</v>
      </c>
      <c r="M36" s="202" t="s">
        <v>134</v>
      </c>
      <c r="N36" s="202" t="s">
        <v>129</v>
      </c>
      <c r="O36" s="202" t="s">
        <v>129</v>
      </c>
      <c r="P36" s="202" t="s">
        <v>131</v>
      </c>
      <c r="Q36" s="202" t="s">
        <v>132</v>
      </c>
      <c r="R36" s="20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6" s="204">
        <f>(1 - ((1 - VLOOKUP(Table4[[#This Row],[Confidentiality]],'Reference - CVSSv3.0'!$B$15:$C$17,2,FALSE)) * (1 - VLOOKUP(Table4[[#This Row],[Integrity]],'Reference - CVSSv3.0'!$B$15:$C$17,2,FALSE)) *  (1 - VLOOKUP(Table4[[#This Row],[Availability]],'Reference - CVSSv3.0'!$B$15:$C$17,2,FALSE))))</f>
        <v>0.65680000000000005</v>
      </c>
      <c r="T36" s="204">
        <f>IF(Table4[[#This Row],[Scope]]="Unchanged",6.42*Table4[[#This Row],[ISC Base]],IF(Table4[[#This Row],[Scope]]="Changed",7.52*(Table4[[#This Row],[ISC Base]] - 0.029) - 3.25 * POWER(Table4[[#This Row],[ISC Base]] - 0.02,15),NA()))</f>
        <v>4.2166560000000004</v>
      </c>
      <c r="U36" s="204">
        <f>IF(Table4[[#This Row],[Impact Sub Score]]&lt;=0,0,IF(Table4[[#This Row],[Scope]]="Unchanged",ROUNDUP(MIN((Table4[[#This Row],[Impact Sub Score]]+Table4[[#This Row],[Exploitability Sub Score]]),10),1),IF(Table4[[#This Row],[Scope]]="Changed",ROUNDUP(MIN((1.08*(Table4[[#This Row],[Impact Sub Score]]+Table4[[#This Row],[Exploitability Sub Score]])),10),1),NA())))</f>
        <v>6.1</v>
      </c>
      <c r="V36" s="205" t="s">
        <v>142</v>
      </c>
      <c r="W36" s="204">
        <f>VLOOKUP(Table4[[#This Row],[Threat Event Initiation]],NIST_Scale_LOAI[],2,FALSE)</f>
        <v>0.5</v>
      </c>
      <c r="X36" s="20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36" s="20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6" s="212"/>
      <c r="AA36" s="198"/>
      <c r="AB36" s="207"/>
      <c r="AC36" s="198"/>
      <c r="AD36" s="198"/>
      <c r="AE36" s="198"/>
      <c r="AF36" s="202"/>
      <c r="AG36" s="202"/>
      <c r="AH36" s="202"/>
      <c r="AI36" s="202"/>
      <c r="AJ36" s="208"/>
      <c r="AK36" s="20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204" t="e">
        <f>(1 - ((1 - VLOOKUP(Table4[[#This Row],[ConfidentialityP]],'Reference - CVSSv3.0'!$B$15:$C$17,2,FALSE)) * (1 - VLOOKUP(Table4[[#This Row],[IntegrityP]],'Reference - CVSSv3.0'!$B$15:$C$17,2,FALSE)) *  (1 - VLOOKUP(Table4[[#This Row],[AvailabilityP]],'Reference - CVSSv3.0'!$B$15:$C$17,2,FALSE))))</f>
        <v>#N/A</v>
      </c>
      <c r="AM36" s="204" t="e">
        <f>IF(Table4[[#This Row],[ScopeP]]="Unchanged",6.42*Table4[[#This Row],[ISC BaseP]],IF(Table4[[#This Row],[ScopeP]]="Changed",7.52*(Table4[[#This Row],[ISC BaseP]] - 0.029) - 3.25 * POWER(Table4[[#This Row],[ISC BaseP]] - 0.02,15),NA()))</f>
        <v>#N/A</v>
      </c>
      <c r="AN36" s="20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20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20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198"/>
    </row>
    <row r="37" spans="1:43" ht="56">
      <c r="A37" s="197">
        <v>33</v>
      </c>
      <c r="B37" s="198" t="s">
        <v>147</v>
      </c>
      <c r="C37" s="199" t="str">
        <f>IF(VLOOKUP(Table4[[#This Row],[T ID]],Table5[#All],5,FALSE)="No","Not in scope",VLOOKUP(Table4[[#This Row],[T ID]],Table5[#All],2,FALSE))</f>
        <v>Unrestricted wireless communication with multiple sources</v>
      </c>
      <c r="D37" s="198" t="s">
        <v>254</v>
      </c>
      <c r="E37" s="199" t="str">
        <f>IF(VLOOKUP(Table4[[#This Row],[V ID]],Vulnerabilities[#All],3,FALSE)="No","Not in scope",VLOOKUP(Table4[[#This Row],[V ID]],Vulnerabilities[#All],2,FALSE))</f>
        <v>Control/modification of System(host) settings or Device Setting</v>
      </c>
      <c r="F37" s="200" t="s">
        <v>10</v>
      </c>
      <c r="G37" s="199" t="str">
        <f>VLOOKUP(Table4[[#This Row],[A ID]],Assets[#All],3,FALSE)</f>
        <v>Mobile Device (ipad, iphone V8-13)</v>
      </c>
      <c r="H37" s="182" t="s">
        <v>297</v>
      </c>
      <c r="I37" s="198"/>
      <c r="J37" s="201" t="s">
        <v>131</v>
      </c>
      <c r="K37" s="201" t="s">
        <v>129</v>
      </c>
      <c r="L37" s="201" t="s">
        <v>136</v>
      </c>
      <c r="M37" s="202" t="s">
        <v>134</v>
      </c>
      <c r="N37" s="202" t="s">
        <v>129</v>
      </c>
      <c r="O37" s="202" t="s">
        <v>129</v>
      </c>
      <c r="P37" s="202" t="s">
        <v>131</v>
      </c>
      <c r="Q37" s="202" t="s">
        <v>132</v>
      </c>
      <c r="R37" s="20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7" s="204">
        <f>(1 - ((1 - VLOOKUP(Table4[[#This Row],[Confidentiality]],'Reference - CVSSv3.0'!$B$15:$C$17,2,FALSE)) * (1 - VLOOKUP(Table4[[#This Row],[Integrity]],'Reference - CVSSv3.0'!$B$15:$C$17,2,FALSE)) *  (1 - VLOOKUP(Table4[[#This Row],[Availability]],'Reference - CVSSv3.0'!$B$15:$C$17,2,FALSE))))</f>
        <v>0.65680000000000005</v>
      </c>
      <c r="T37" s="204">
        <f>IF(Table4[[#This Row],[Scope]]="Unchanged",6.42*Table4[[#This Row],[ISC Base]],IF(Table4[[#This Row],[Scope]]="Changed",7.52*(Table4[[#This Row],[ISC Base]] - 0.029) - 3.25 * POWER(Table4[[#This Row],[ISC Base]] - 0.02,15),NA()))</f>
        <v>4.2166560000000004</v>
      </c>
      <c r="U37" s="204">
        <f>IF(Table4[[#This Row],[Impact Sub Score]]&lt;=0,0,IF(Table4[[#This Row],[Scope]]="Unchanged",ROUNDUP(MIN((Table4[[#This Row],[Impact Sub Score]]+Table4[[#This Row],[Exploitability Sub Score]]),10),1),IF(Table4[[#This Row],[Scope]]="Changed",ROUNDUP(MIN((1.08*(Table4[[#This Row],[Impact Sub Score]]+Table4[[#This Row],[Exploitability Sub Score]])),10),1),NA())))</f>
        <v>6.1</v>
      </c>
      <c r="V37" s="205" t="s">
        <v>142</v>
      </c>
      <c r="W37" s="204">
        <f>VLOOKUP(Table4[[#This Row],[Threat Event Initiation]],NIST_Scale_LOAI[],2,FALSE)</f>
        <v>0.5</v>
      </c>
      <c r="X37" s="20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37" s="20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7" s="212"/>
      <c r="AA37" s="198"/>
      <c r="AB37" s="207"/>
      <c r="AC37" s="198"/>
      <c r="AD37" s="198"/>
      <c r="AE37" s="198"/>
      <c r="AF37" s="202"/>
      <c r="AG37" s="202"/>
      <c r="AH37" s="202"/>
      <c r="AI37" s="202"/>
      <c r="AJ37" s="208"/>
      <c r="AK37" s="20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204" t="e">
        <f>(1 - ((1 - VLOOKUP(Table4[[#This Row],[ConfidentialityP]],'Reference - CVSSv3.0'!$B$15:$C$17,2,FALSE)) * (1 - VLOOKUP(Table4[[#This Row],[IntegrityP]],'Reference - CVSSv3.0'!$B$15:$C$17,2,FALSE)) *  (1 - VLOOKUP(Table4[[#This Row],[AvailabilityP]],'Reference - CVSSv3.0'!$B$15:$C$17,2,FALSE))))</f>
        <v>#N/A</v>
      </c>
      <c r="AM37" s="204" t="e">
        <f>IF(Table4[[#This Row],[ScopeP]]="Unchanged",6.42*Table4[[#This Row],[ISC BaseP]],IF(Table4[[#This Row],[ScopeP]]="Changed",7.52*(Table4[[#This Row],[ISC BaseP]] - 0.029) - 3.25 * POWER(Table4[[#This Row],[ISC BaseP]] - 0.02,15),NA()))</f>
        <v>#N/A</v>
      </c>
      <c r="AN37" s="20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20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20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198"/>
    </row>
    <row r="38" spans="1:43" ht="56">
      <c r="A38" s="197">
        <v>34</v>
      </c>
      <c r="B38" s="198" t="s">
        <v>147</v>
      </c>
      <c r="C38" s="199" t="str">
        <f>IF(VLOOKUP(Table4[[#This Row],[T ID]],Table5[#All],5,FALSE)="No","Not in scope",VLOOKUP(Table4[[#This Row],[T ID]],Table5[#All],2,FALSE))</f>
        <v>Unrestricted wireless communication with multiple sources</v>
      </c>
      <c r="D38" s="198" t="s">
        <v>254</v>
      </c>
      <c r="E38" s="199" t="str">
        <f>IF(VLOOKUP(Table4[[#This Row],[V ID]],Vulnerabilities[#All],3,FALSE)="No","Not in scope",VLOOKUP(Table4[[#This Row],[V ID]],Vulnerabilities[#All],2,FALSE))</f>
        <v>Control/modification of System(host) settings or Device Setting</v>
      </c>
      <c r="F38" s="200" t="s">
        <v>12</v>
      </c>
      <c r="G38" s="199" t="str">
        <f>VLOOKUP(Table4[[#This Row],[A ID]],Assets[#All],3,FALSE)</f>
        <v>Knee balancer application</v>
      </c>
      <c r="H38" s="182" t="s">
        <v>297</v>
      </c>
      <c r="I38" s="198"/>
      <c r="J38" s="201" t="s">
        <v>131</v>
      </c>
      <c r="K38" s="201" t="s">
        <v>129</v>
      </c>
      <c r="L38" s="201" t="s">
        <v>136</v>
      </c>
      <c r="M38" s="202" t="s">
        <v>134</v>
      </c>
      <c r="N38" s="202" t="s">
        <v>129</v>
      </c>
      <c r="O38" s="202" t="s">
        <v>129</v>
      </c>
      <c r="P38" s="202" t="s">
        <v>131</v>
      </c>
      <c r="Q38" s="202" t="s">
        <v>132</v>
      </c>
      <c r="R38" s="20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8" s="204">
        <f>(1 - ((1 - VLOOKUP(Table4[[#This Row],[Confidentiality]],'Reference - CVSSv3.0'!$B$15:$C$17,2,FALSE)) * (1 - VLOOKUP(Table4[[#This Row],[Integrity]],'Reference - CVSSv3.0'!$B$15:$C$17,2,FALSE)) *  (1 - VLOOKUP(Table4[[#This Row],[Availability]],'Reference - CVSSv3.0'!$B$15:$C$17,2,FALSE))))</f>
        <v>0.65680000000000005</v>
      </c>
      <c r="T38" s="204">
        <f>IF(Table4[[#This Row],[Scope]]="Unchanged",6.42*Table4[[#This Row],[ISC Base]],IF(Table4[[#This Row],[Scope]]="Changed",7.52*(Table4[[#This Row],[ISC Base]] - 0.029) - 3.25 * POWER(Table4[[#This Row],[ISC Base]] - 0.02,15),NA()))</f>
        <v>4.2166560000000004</v>
      </c>
      <c r="U38" s="204">
        <f>IF(Table4[[#This Row],[Impact Sub Score]]&lt;=0,0,IF(Table4[[#This Row],[Scope]]="Unchanged",ROUNDUP(MIN((Table4[[#This Row],[Impact Sub Score]]+Table4[[#This Row],[Exploitability Sub Score]]),10),1),IF(Table4[[#This Row],[Scope]]="Changed",ROUNDUP(MIN((1.08*(Table4[[#This Row],[Impact Sub Score]]+Table4[[#This Row],[Exploitability Sub Score]])),10),1),NA())))</f>
        <v>6.1</v>
      </c>
      <c r="V38" s="205" t="s">
        <v>142</v>
      </c>
      <c r="W38" s="204">
        <f>VLOOKUP(Table4[[#This Row],[Threat Event Initiation]],NIST_Scale_LOAI[],2,FALSE)</f>
        <v>0.5</v>
      </c>
      <c r="X38" s="20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38" s="20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8" s="212"/>
      <c r="AA38" s="198"/>
      <c r="AB38" s="207"/>
      <c r="AC38" s="198"/>
      <c r="AD38" s="198"/>
      <c r="AE38" s="198"/>
      <c r="AF38" s="202"/>
      <c r="AG38" s="202"/>
      <c r="AH38" s="202"/>
      <c r="AI38" s="202"/>
      <c r="AJ38" s="208"/>
      <c r="AK38" s="20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204" t="e">
        <f>(1 - ((1 - VLOOKUP(Table4[[#This Row],[ConfidentialityP]],'Reference - CVSSv3.0'!$B$15:$C$17,2,FALSE)) * (1 - VLOOKUP(Table4[[#This Row],[IntegrityP]],'Reference - CVSSv3.0'!$B$15:$C$17,2,FALSE)) *  (1 - VLOOKUP(Table4[[#This Row],[AvailabilityP]],'Reference - CVSSv3.0'!$B$15:$C$17,2,FALSE))))</f>
        <v>#N/A</v>
      </c>
      <c r="AM38" s="204" t="e">
        <f>IF(Table4[[#This Row],[ScopeP]]="Unchanged",6.42*Table4[[#This Row],[ISC BaseP]],IF(Table4[[#This Row],[ScopeP]]="Changed",7.52*(Table4[[#This Row],[ISC BaseP]] - 0.029) - 3.25 * POWER(Table4[[#This Row],[ISC BaseP]] - 0.02,15),NA()))</f>
        <v>#N/A</v>
      </c>
      <c r="AN38" s="20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20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20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198"/>
    </row>
    <row r="39" spans="1:43" ht="84">
      <c r="A39" s="197">
        <v>35</v>
      </c>
      <c r="B39" s="198" t="s">
        <v>329</v>
      </c>
      <c r="C39" s="199" t="str">
        <f>IF(VLOOKUP(Table4[[#This Row],[T ID]],Table5[#All],5,FALSE)="No","Not in scope",VLOOKUP(Table4[[#This Row],[T ID]],Table5[#All],2,FALSE))</f>
        <v>Sensitive information exposure through audit log</v>
      </c>
      <c r="D39" s="198" t="s">
        <v>66</v>
      </c>
      <c r="E39" s="199" t="str">
        <f>IF(VLOOKUP(Table4[[#This Row],[V ID]],Vulnerabilities[#All],3,FALSE)="No","Not in scope",VLOOKUP(Table4[[#This Row],[V ID]],Vulnerabilities[#All],2,FALSE))</f>
        <v>Absence of application (status/behavior) logs and audit logs</v>
      </c>
      <c r="F39" s="200" t="s">
        <v>12</v>
      </c>
      <c r="G39" s="199" t="str">
        <f>VLOOKUP(Table4[[#This Row],[A ID]],Assets[#All],3,FALSE)</f>
        <v>Knee balancer application</v>
      </c>
      <c r="H39" s="212" t="s">
        <v>335</v>
      </c>
      <c r="I39" s="198"/>
      <c r="J39" s="201" t="s">
        <v>136</v>
      </c>
      <c r="K39" s="201" t="s">
        <v>131</v>
      </c>
      <c r="L39" s="201" t="s">
        <v>131</v>
      </c>
      <c r="M39" s="202" t="s">
        <v>134</v>
      </c>
      <c r="N39" s="202" t="s">
        <v>129</v>
      </c>
      <c r="O39" s="202" t="s">
        <v>129</v>
      </c>
      <c r="P39" s="202" t="s">
        <v>131</v>
      </c>
      <c r="Q39" s="202" t="s">
        <v>132</v>
      </c>
      <c r="R39" s="20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9" s="204">
        <f>(1 - ((1 - VLOOKUP(Table4[[#This Row],[Confidentiality]],'Reference - CVSSv3.0'!$B$15:$C$17,2,FALSE)) * (1 - VLOOKUP(Table4[[#This Row],[Integrity]],'Reference - CVSSv3.0'!$B$15:$C$17,2,FALSE)) *  (1 - VLOOKUP(Table4[[#This Row],[Availability]],'Reference - CVSSv3.0'!$B$15:$C$17,2,FALSE))))</f>
        <v>0.56000000000000005</v>
      </c>
      <c r="T39" s="204">
        <f>IF(Table4[[#This Row],[Scope]]="Unchanged",6.42*Table4[[#This Row],[ISC Base]],IF(Table4[[#This Row],[Scope]]="Changed",7.52*(Table4[[#This Row],[ISC Base]] - 0.029) - 3.25 * POWER(Table4[[#This Row],[ISC Base]] - 0.02,15),NA()))</f>
        <v>3.5952000000000002</v>
      </c>
      <c r="U39" s="204">
        <f>IF(Table4[[#This Row],[Impact Sub Score]]&lt;=0,0,IF(Table4[[#This Row],[Scope]]="Unchanged",ROUNDUP(MIN((Table4[[#This Row],[Impact Sub Score]]+Table4[[#This Row],[Exploitability Sub Score]]),10),1),IF(Table4[[#This Row],[Scope]]="Changed",ROUNDUP(MIN((1.08*(Table4[[#This Row],[Impact Sub Score]]+Table4[[#This Row],[Exploitability Sub Score]])),10),1),NA())))</f>
        <v>5.5</v>
      </c>
      <c r="V39" s="205" t="s">
        <v>129</v>
      </c>
      <c r="W39" s="204">
        <f>VLOOKUP(Table4[[#This Row],[Threat Event Initiation]],NIST_Scale_LOAI[],2,FALSE)</f>
        <v>0.2</v>
      </c>
      <c r="X39" s="20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39" s="20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9" s="212"/>
      <c r="AA39" s="198"/>
      <c r="AB39" s="207"/>
      <c r="AC39" s="198"/>
      <c r="AD39" s="198"/>
      <c r="AE39" s="198"/>
      <c r="AF39" s="202"/>
      <c r="AG39" s="202"/>
      <c r="AH39" s="202"/>
      <c r="AI39" s="202"/>
      <c r="AJ39" s="208"/>
      <c r="AK39" s="20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9" s="204" t="e">
        <f>(1 - ((1 - VLOOKUP(Table4[[#This Row],[ConfidentialityP]],'Reference - CVSSv3.0'!$B$15:$C$17,2,FALSE)) * (1 - VLOOKUP(Table4[[#This Row],[IntegrityP]],'Reference - CVSSv3.0'!$B$15:$C$17,2,FALSE)) *  (1 - VLOOKUP(Table4[[#This Row],[AvailabilityP]],'Reference - CVSSv3.0'!$B$15:$C$17,2,FALSE))))</f>
        <v>#N/A</v>
      </c>
      <c r="AM39" s="204" t="e">
        <f>IF(Table4[[#This Row],[ScopeP]]="Unchanged",6.42*Table4[[#This Row],[ISC BaseP]],IF(Table4[[#This Row],[ScopeP]]="Changed",7.52*(Table4[[#This Row],[ISC BaseP]] - 0.029) - 3.25 * POWER(Table4[[#This Row],[ISC BaseP]] - 0.02,15),NA()))</f>
        <v>#N/A</v>
      </c>
      <c r="AN39" s="20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20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20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198"/>
    </row>
    <row r="40" spans="1:43" ht="56">
      <c r="A40" s="197">
        <v>36</v>
      </c>
      <c r="B40" s="198" t="s">
        <v>330</v>
      </c>
      <c r="C40" s="199" t="str">
        <f>IF(VLOOKUP(Table4[[#This Row],[T ID]],Table5[#All],5,FALSE)="No","Not in scope",VLOOKUP(Table4[[#This Row],[T ID]],Table5[#All],2,FALSE))</f>
        <v>Improper access/modification of audit log</v>
      </c>
      <c r="D40" s="198" t="s">
        <v>242</v>
      </c>
      <c r="E40" s="199" t="str">
        <f>IF(VLOOKUP(Table4[[#This Row],[V ID]],Vulnerabilities[#All],3,FALSE)="No","Not in scope",VLOOKUP(Table4[[#This Row],[V ID]],Vulnerabilities[#All],2,FALSE))</f>
        <v>Log Files: Audit Log Manipulation, Log Injection-Tampering-Forging</v>
      </c>
      <c r="F40" s="200" t="s">
        <v>12</v>
      </c>
      <c r="G40" s="199" t="str">
        <f>VLOOKUP(Table4[[#This Row],[A ID]],Assets[#All],3,FALSE)</f>
        <v>Knee balancer application</v>
      </c>
      <c r="H40" s="41" t="s">
        <v>333</v>
      </c>
      <c r="I40" s="198"/>
      <c r="J40" s="201" t="s">
        <v>131</v>
      </c>
      <c r="K40" s="201" t="s">
        <v>136</v>
      </c>
      <c r="L40" s="201" t="s">
        <v>131</v>
      </c>
      <c r="M40" s="202" t="s">
        <v>134</v>
      </c>
      <c r="N40" s="202" t="s">
        <v>129</v>
      </c>
      <c r="O40" s="202" t="s">
        <v>129</v>
      </c>
      <c r="P40" s="202" t="s">
        <v>131</v>
      </c>
      <c r="Q40" s="202" t="s">
        <v>132</v>
      </c>
      <c r="R40" s="20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0" s="204">
        <f>(1 - ((1 - VLOOKUP(Table4[[#This Row],[Confidentiality]],'Reference - CVSSv3.0'!$B$15:$C$17,2,FALSE)) * (1 - VLOOKUP(Table4[[#This Row],[Integrity]],'Reference - CVSSv3.0'!$B$15:$C$17,2,FALSE)) *  (1 - VLOOKUP(Table4[[#This Row],[Availability]],'Reference - CVSSv3.0'!$B$15:$C$17,2,FALSE))))</f>
        <v>0.56000000000000005</v>
      </c>
      <c r="T40" s="204">
        <f>IF(Table4[[#This Row],[Scope]]="Unchanged",6.42*Table4[[#This Row],[ISC Base]],IF(Table4[[#This Row],[Scope]]="Changed",7.52*(Table4[[#This Row],[ISC Base]] - 0.029) - 3.25 * POWER(Table4[[#This Row],[ISC Base]] - 0.02,15),NA()))</f>
        <v>3.5952000000000002</v>
      </c>
      <c r="U40" s="204">
        <f>IF(Table4[[#This Row],[Impact Sub Score]]&lt;=0,0,IF(Table4[[#This Row],[Scope]]="Unchanged",ROUNDUP(MIN((Table4[[#This Row],[Impact Sub Score]]+Table4[[#This Row],[Exploitability Sub Score]]),10),1),IF(Table4[[#This Row],[Scope]]="Changed",ROUNDUP(MIN((1.08*(Table4[[#This Row],[Impact Sub Score]]+Table4[[#This Row],[Exploitability Sub Score]])),10),1),NA())))</f>
        <v>5.5</v>
      </c>
      <c r="V40" s="205" t="s">
        <v>129</v>
      </c>
      <c r="W40" s="204">
        <f>VLOOKUP(Table4[[#This Row],[Threat Event Initiation]],NIST_Scale_LOAI[],2,FALSE)</f>
        <v>0.2</v>
      </c>
      <c r="X40" s="20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40" s="20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0" s="212"/>
      <c r="AA40" s="198"/>
      <c r="AB40" s="207"/>
      <c r="AC40" s="198"/>
      <c r="AD40" s="198"/>
      <c r="AE40" s="198"/>
      <c r="AF40" s="202"/>
      <c r="AG40" s="202"/>
      <c r="AH40" s="202"/>
      <c r="AI40" s="202"/>
      <c r="AJ40" s="208"/>
      <c r="AK40" s="20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0" s="204" t="e">
        <f>(1 - ((1 - VLOOKUP(Table4[[#This Row],[ConfidentialityP]],'Reference - CVSSv3.0'!$B$15:$C$17,2,FALSE)) * (1 - VLOOKUP(Table4[[#This Row],[IntegrityP]],'Reference - CVSSv3.0'!$B$15:$C$17,2,FALSE)) *  (1 - VLOOKUP(Table4[[#This Row],[AvailabilityP]],'Reference - CVSSv3.0'!$B$15:$C$17,2,FALSE))))</f>
        <v>#N/A</v>
      </c>
      <c r="AM40" s="204" t="e">
        <f>IF(Table4[[#This Row],[ScopeP]]="Unchanged",6.42*Table4[[#This Row],[ISC BaseP]],IF(Table4[[#This Row],[ScopeP]]="Changed",7.52*(Table4[[#This Row],[ISC BaseP]] - 0.029) - 3.25 * POWER(Table4[[#This Row],[ISC BaseP]] - 0.02,15),NA()))</f>
        <v>#N/A</v>
      </c>
      <c r="AN40" s="20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20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20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198"/>
    </row>
    <row r="52" spans="26:26">
      <c r="Z52" s="185"/>
    </row>
    <row r="53" spans="26:26">
      <c r="Z53" s="185"/>
    </row>
    <row r="54" spans="26:26">
      <c r="Z54" s="186"/>
    </row>
  </sheetData>
  <mergeCells count="4">
    <mergeCell ref="AC3:AQ3"/>
    <mergeCell ref="Z3:AB3"/>
    <mergeCell ref="F3:I3"/>
    <mergeCell ref="J3:Y3"/>
  </mergeCells>
  <conditionalFormatting sqref="Y5:Y40 AP5:AP40">
    <cfRule type="cellIs" dxfId="152" priority="26" operator="equal">
      <formula>"Critical"</formula>
    </cfRule>
    <cfRule type="cellIs" dxfId="151" priority="27" operator="equal">
      <formula>"HIGH"</formula>
    </cfRule>
    <cfRule type="cellIs" dxfId="150" priority="28" operator="equal">
      <formula>"Medium"</formula>
    </cfRule>
    <cfRule type="cellIs" dxfId="149" priority="29" operator="equal">
      <formula>"None"</formula>
    </cfRule>
    <cfRule type="cellIs" dxfId="148" priority="30"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xr:uid="{00000000-0002-0000-0300-000000000000}"/>
    <dataValidation allowBlank="1" showInputMessage="1" showErrorMessage="1" prompt="This metric measures the impact to integrity of a successfully exploited vulnerability. Integrity refers to the trustworthiness and veracity of information." sqref="K4 AD4" xr:uid="{00000000-0002-0000-0300-000001000000}"/>
    <dataValidation allowBlank="1" showInputMessage="1" showErrorMessage="1" prompt="This metric measures the impact to the confidentiality of the information resources managed by a software component due to a successfully exploited vulnerability. " sqref="J4 AC4" xr:uid="{00000000-0002-0000-0300-000002000000}"/>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300-000003000000}"/>
    <dataValidation allowBlank="1" showInputMessage="1" showErrorMessage="1" prompt="This metric describes the conditions beyond the attacker's control that must exist in order to exploit the vulnerability. The metric is largest for the least complex attacks." sqref="N4 AG4" xr:uid="{00000000-0002-0000-0300-000004000000}"/>
    <dataValidation allowBlank="1" showInputMessage="1" showErrorMessage="1" prompt="This metric describes the level of privileges an attacker must possess before successfully exploiting the vulnerability. This metric is largest if no privileges are required." sqref="O4 AH4" xr:uid="{00000000-0002-0000-0300-000005000000}"/>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300-000006000000}"/>
    <dataValidation allowBlank="1" showInputMessage="1" showErrorMessage="1" prompt="A scope change is the ability for a vulnerability in one software component to impact resources beyond its means, or privilege." sqref="Q4 AJ4" xr:uid="{00000000-0002-0000-0300-000007000000}"/>
    <dataValidation allowBlank="1" showInputMessage="1" showErrorMessage="1" prompt="Threat event initiation is assessed by taking into consideration the characteristics of the threat sources of concern including capability, intent, and targeting." sqref="V4" xr:uid="{00000000-0002-0000-0300-000008000000}"/>
  </dataValidations>
  <pageMargins left="0.70866141732283472" right="0.70866141732283472" top="0.70866141732283472" bottom="0.74803149606299213" header="0.31496062992125984" footer="0.31496062992125984"/>
  <pageSetup scale="20"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r:uid="{00000000-0002-0000-0300-000009000000}">
          <x14:formula1>
            <xm:f>'Reference - CVSSv3.0'!$B$21:$B$23</xm:f>
          </x14:formula1>
          <xm:sqref>AJ5:AJ40 Q5:Q40</xm:sqref>
        </x14:dataValidation>
        <x14:dataValidation type="list" allowBlank="1" showInputMessage="1" showErrorMessage="1" xr:uid="{00000000-0002-0000-0300-00000A000000}">
          <x14:formula1>
            <xm:f>'Reference - CVSSv3.0'!$B$15:$B$18</xm:f>
          </x14:formula1>
          <xm:sqref>AC5:AE40 J5:L40</xm:sqref>
        </x14:dataValidation>
        <x14:dataValidation type="list" allowBlank="1" showInputMessage="1" showErrorMessage="1" xr:uid="{00000000-0002-0000-0300-00000B000000}">
          <x14:formula1>
            <xm:f>'Reference - CVSSv3.0'!$B$6:$B$10</xm:f>
          </x14:formula1>
          <xm:sqref>M5:M40 AF5:AF40</xm:sqref>
        </x14:dataValidation>
        <x14:dataValidation type="list" allowBlank="1" showInputMessage="1" showErrorMessage="1" xr:uid="{00000000-0002-0000-0300-00000C000000}">
          <x14:formula1>
            <xm:f>'Reference - CVSSv3.0'!$E$6:$E$8</xm:f>
          </x14:formula1>
          <xm:sqref>AG5:AG40 N5:N40</xm:sqref>
        </x14:dataValidation>
        <x14:dataValidation type="list" allowBlank="1" showInputMessage="1" showErrorMessage="1" xr:uid="{00000000-0002-0000-0300-00000D000000}">
          <x14:formula1>
            <xm:f>'Reference - CVSSv3.0'!$H$6:$H$9</xm:f>
          </x14:formula1>
          <xm:sqref>AH5:AH40 O5:O40</xm:sqref>
        </x14:dataValidation>
        <x14:dataValidation type="list" allowBlank="1" showInputMessage="1" showErrorMessage="1" xr:uid="{00000000-0002-0000-0300-00000E000000}">
          <x14:formula1>
            <xm:f>'Reference - CVSSv3.0'!$L$6:$L$8</xm:f>
          </x14:formula1>
          <xm:sqref>AI5:AI40 P5:P40</xm:sqref>
        </x14:dataValidation>
        <x14:dataValidation type="list" allowBlank="1" showInputMessage="1" showErrorMessage="1" xr:uid="{00000000-0002-0000-0300-00000F000000}">
          <x14:formula1>
            <xm:f>'Reference - CVSSv3.0'!$Q$5:$Q$10</xm:f>
          </x14:formula1>
          <xm:sqref>V5:V40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17"/>
  <sheetViews>
    <sheetView zoomScale="70" zoomScaleNormal="70" workbookViewId="0">
      <selection activeCell="I9" sqref="I9"/>
    </sheetView>
  </sheetViews>
  <sheetFormatPr defaultColWidth="9.1796875" defaultRowHeight="14.5"/>
  <cols>
    <col min="1" max="1" width="9.1796875" style="23" customWidth="1"/>
    <col min="2" max="2" width="4.81640625" style="23" customWidth="1"/>
    <col min="3" max="3" width="25.54296875" style="24" customWidth="1"/>
    <col min="4" max="4" width="5" style="23" customWidth="1"/>
    <col min="5" max="5" width="22" style="23" customWidth="1"/>
    <col min="6" max="6" width="6.26953125" style="23" customWidth="1"/>
    <col min="7" max="7" width="28.7265625" style="23" customWidth="1"/>
    <col min="8" max="8" width="38" style="23" customWidth="1"/>
    <col min="9" max="9" width="25.453125" style="23" customWidth="1"/>
    <col min="10" max="10" width="15" style="23" customWidth="1"/>
    <col min="11" max="11" width="35.7265625" style="23" customWidth="1"/>
    <col min="12" max="12" width="15" style="23" customWidth="1"/>
    <col min="13" max="13" width="36.81640625" style="23" customWidth="1"/>
    <col min="14" max="16384" width="9.1796875" style="23"/>
  </cols>
  <sheetData>
    <row r="1" spans="1:14" s="42" customFormat="1">
      <c r="A1" s="27" t="s">
        <v>166</v>
      </c>
      <c r="B1" s="64"/>
      <c r="C1" s="64"/>
      <c r="D1" s="64"/>
      <c r="E1" s="64"/>
      <c r="F1" s="64"/>
      <c r="G1" s="64"/>
      <c r="H1" s="64"/>
      <c r="I1" s="64"/>
      <c r="J1" s="64"/>
      <c r="K1" s="64"/>
      <c r="L1" s="64"/>
      <c r="M1" s="64"/>
      <c r="N1"/>
    </row>
    <row r="2" spans="1:14" s="42" customFormat="1">
      <c r="A2" s="27"/>
      <c r="B2" s="64"/>
      <c r="C2" s="64"/>
      <c r="D2" s="64"/>
      <c r="E2" s="64"/>
      <c r="F2" s="64"/>
      <c r="G2" s="64"/>
      <c r="H2" s="64"/>
      <c r="I2" s="64"/>
      <c r="J2" s="64"/>
      <c r="K2" s="64"/>
      <c r="L2" s="64"/>
      <c r="M2" s="64"/>
      <c r="N2"/>
    </row>
    <row r="3" spans="1:14" s="42" customFormat="1">
      <c r="A3" s="64" t="s">
        <v>81</v>
      </c>
      <c r="B3" s="64"/>
      <c r="C3" s="64"/>
      <c r="D3" s="64"/>
      <c r="E3" s="64"/>
      <c r="F3" s="64"/>
      <c r="G3" s="64"/>
      <c r="H3" s="64"/>
      <c r="I3" s="64"/>
      <c r="J3" s="64"/>
      <c r="K3" s="64"/>
      <c r="L3" s="64"/>
      <c r="M3" s="64"/>
      <c r="N3"/>
    </row>
    <row r="4" spans="1:14" s="42" customFormat="1" ht="28">
      <c r="A4" s="156" t="s">
        <v>86</v>
      </c>
      <c r="B4" s="157" t="s">
        <v>87</v>
      </c>
      <c r="C4" s="158" t="s">
        <v>88</v>
      </c>
      <c r="D4" s="159" t="s">
        <v>89</v>
      </c>
      <c r="E4" s="160" t="s">
        <v>90</v>
      </c>
      <c r="F4" s="161" t="s">
        <v>91</v>
      </c>
      <c r="G4" s="162" t="s">
        <v>167</v>
      </c>
      <c r="H4" s="162" t="s">
        <v>92</v>
      </c>
      <c r="I4" s="163" t="s">
        <v>93</v>
      </c>
      <c r="J4" s="164" t="s">
        <v>168</v>
      </c>
      <c r="K4" s="165" t="s">
        <v>110</v>
      </c>
      <c r="L4" s="166" t="s">
        <v>169</v>
      </c>
      <c r="M4" s="167" t="s">
        <v>127</v>
      </c>
      <c r="N4"/>
    </row>
    <row r="5" spans="1:14" s="42" customFormat="1" ht="98">
      <c r="A5" s="60">
        <f>Table4[[#This Row],[
ID '#]]</f>
        <v>1</v>
      </c>
      <c r="B5" s="46" t="str">
        <f>IF(Table4[[#This Row],[A ID]]&gt;0,Table4[[#This Row],[T ID]],"")</f>
        <v>T01</v>
      </c>
      <c r="C5" s="182" t="str">
        <f>Table4[[#This Row],[Threat Event(s)]]</f>
        <v>Deliver undirected malware</v>
      </c>
      <c r="D5" s="46" t="str">
        <f>IF(Table4[[#This Row],[V ID]]&gt;0,Table4[[#This Row],[V ID]],"")</f>
        <v>V33</v>
      </c>
      <c r="E5" s="182" t="str">
        <f>Table4[[#This Row],[Vulnerabilities]]</f>
        <v>Unrestricted Wifi communication with open/untrusted sources</v>
      </c>
      <c r="F5" s="48" t="str">
        <f>IF(Table4[[#This Row],[A ID]]&gt;0,Table4[[#This Row],[A ID]],"")</f>
        <v>A13</v>
      </c>
      <c r="G5" s="182" t="str">
        <f>Table4[[#This Row],[Asset]]</f>
        <v>Wireless communication interfaces (Wifi, BT,etc..)</v>
      </c>
      <c r="H5" s="182" t="str">
        <f>IF(Table4[[#This Row],[Impact Description]]&gt;0,Table4[[#This Row],[Impact Description]],"")</f>
        <v>As Knee Balancer is running on a mobile device, it is important to secure the wireless/Network interfaces on the host such as BT, Wifi &amp; charging interface. Without restrictions, any device can be connected with the host &amp; hence affect the application</v>
      </c>
      <c r="I5" s="48" t="str">
        <f>IF(Table4[[#This Row],[Safety Impact 
(Risk ID'# or N/A)]]&gt;0,Table4[[#This Row],[Safety Impact 
(Risk ID'# or N/A)]],"")</f>
        <v/>
      </c>
      <c r="J5" s="80" t="str">
        <f>Table4[[#This Row],[Security 
Risk 
Level]]</f>
        <v>MEDIUM</v>
      </c>
      <c r="K5" s="182" t="str">
        <f>IF(Table4[[#This Row],[Security Risk Control Measures]]&gt;0,Table4[[#This Row],[Security Risk Control Measures]],"")</f>
        <v/>
      </c>
      <c r="L5" s="80" t="str">
        <f>Table4[[#This Row],[Security Risk LevelP]]</f>
        <v/>
      </c>
      <c r="M5" s="48" t="str">
        <f>IF(Table4[[#This Row],[Residual Security Risk Acceptability Justification]]&gt;0,Table4[[#This Row],[Residual Security Risk Acceptability Justification]],"")</f>
        <v/>
      </c>
      <c r="N5"/>
    </row>
    <row r="6" spans="1:14" s="42" customFormat="1" ht="98">
      <c r="A6" s="59">
        <f>Table4[[#This Row],[
ID '#]]</f>
        <v>2</v>
      </c>
      <c r="B6" s="46" t="str">
        <f>IF(Table4[[#This Row],[A ID]]&gt;0,Table4[[#This Row],[T ID]],"")</f>
        <v>T01</v>
      </c>
      <c r="C6" s="182" t="str">
        <f>Table4[[#This Row],[Threat Event(s)]]</f>
        <v>Deliver undirected malware</v>
      </c>
      <c r="D6" s="48" t="str">
        <f>IF(Table4[[#This Row],[V ID]]&gt;0,Table4[[#This Row],[V ID]],"")</f>
        <v>V34</v>
      </c>
      <c r="E6" s="182" t="str">
        <f>Table4[[#This Row],[Vulnerabilities]]</f>
        <v>Unrestricted BT communication/transfer with multiple sources</v>
      </c>
      <c r="F6" s="48" t="str">
        <f>IF(Table4[[#This Row],[A ID]]&gt;0,Table4[[#This Row],[A ID]],"")</f>
        <v>A13</v>
      </c>
      <c r="G6" s="182" t="str">
        <f>Table4[[#This Row],[Asset]]</f>
        <v>Wireless communication interfaces (Wifi, BT,etc..)</v>
      </c>
      <c r="H6" s="182" t="str">
        <f>IF(Table4[[#This Row],[Impact Description]]&gt;0,Table4[[#This Row],[Impact Description]],"")</f>
        <v>As Knee Balancer is running on a mobile device, it is important to secure the wireless/Network interfaces on the host such as BT, Wifi &amp; charging interface. Without restrictions, any device can be connected with the host &amp; hence affect the application</v>
      </c>
      <c r="I6" s="48" t="str">
        <f>IF(Table4[[#This Row],[Safety Impact 
(Risk ID'# or N/A)]]&gt;0,Table4[[#This Row],[Safety Impact 
(Risk ID'# or N/A)]],"")</f>
        <v/>
      </c>
      <c r="J6" s="80" t="str">
        <f>Table4[[#This Row],[Security 
Risk 
Level]]</f>
        <v>MEDIUM</v>
      </c>
      <c r="K6" s="182" t="str">
        <f>IF(Table4[[#This Row],[Security Risk Control Measures]]&gt;0,Table4[[#This Row],[Security Risk Control Measures]],"")</f>
        <v/>
      </c>
      <c r="L6" s="80" t="str">
        <f>Table4[[#This Row],[Security Risk LevelP]]</f>
        <v/>
      </c>
      <c r="M6" s="48" t="str">
        <f>IF(Table4[[#This Row],[Residual Security Risk Acceptability Justification]]&gt;0,Table4[[#This Row],[Residual Security Risk Acceptability Justification]],"")</f>
        <v/>
      </c>
      <c r="N6"/>
    </row>
    <row r="7" spans="1:14" s="42" customFormat="1" ht="98">
      <c r="A7" s="59">
        <f>Table4[[#This Row],[
ID '#]]</f>
        <v>3</v>
      </c>
      <c r="B7" s="46" t="str">
        <f>IF(Table4[[#This Row],[A ID]]&gt;0,Table4[[#This Row],[T ID]],"")</f>
        <v>T01</v>
      </c>
      <c r="C7" s="182" t="str">
        <f>Table4[[#This Row],[Threat Event(s)]]</f>
        <v>Deliver undirected malware</v>
      </c>
      <c r="D7" s="48" t="str">
        <f>IF(Table4[[#This Row],[V ID]]&gt;0,Table4[[#This Row],[V ID]],"")</f>
        <v>V35</v>
      </c>
      <c r="E7" s="182" t="str">
        <f>Table4[[#This Row],[Vulnerabilities]]</f>
        <v>Removable device communication through charging interfaces</v>
      </c>
      <c r="F7" s="48" t="str">
        <f>IF(Table4[[#This Row],[A ID]]&gt;0,Table4[[#This Row],[A ID]],"")</f>
        <v>A14</v>
      </c>
      <c r="G7" s="182" t="str">
        <f>Table4[[#This Row],[Asset]]</f>
        <v>Physical charging ports/interfaces</v>
      </c>
      <c r="H7" s="182" t="str">
        <f>IF(Table4[[#This Row],[Impact Description]]&gt;0,Table4[[#This Row],[Impact Description]],"")</f>
        <v>As Knee Balancer is running on a mobile device, it is important to secure the wireless/Network interfaces on the host such as BT, Wifi &amp; charging interface. Without restrictions, any device can be connected with the host &amp; hence affect the application</v>
      </c>
      <c r="I7" s="48" t="str">
        <f>IF(Table4[[#This Row],[Safety Impact 
(Risk ID'# or N/A)]]&gt;0,Table4[[#This Row],[Safety Impact 
(Risk ID'# or N/A)]],"")</f>
        <v/>
      </c>
      <c r="J7" s="80" t="str">
        <f>Table4[[#This Row],[Security 
Risk 
Level]]</f>
        <v>MEDIUM</v>
      </c>
      <c r="K7" s="48" t="str">
        <f>IF(Table4[[#This Row],[Security Risk Control Measures]]&gt;0,Table4[[#This Row],[Security Risk Control Measures]],"")</f>
        <v/>
      </c>
      <c r="L7" s="80" t="str">
        <f>Table4[[#This Row],[Security Risk LevelP]]</f>
        <v/>
      </c>
      <c r="M7" s="48" t="str">
        <f>IF(Table4[[#This Row],[Residual Security Risk Acceptability Justification]]&gt;0,Table4[[#This Row],[Residual Security Risk Acceptability Justification]],"")</f>
        <v/>
      </c>
      <c r="N7"/>
    </row>
    <row r="8" spans="1:14" s="42" customFormat="1" ht="98">
      <c r="A8" s="59">
        <f>Table4[[#This Row],[
ID '#]]</f>
        <v>4</v>
      </c>
      <c r="B8" s="46" t="str">
        <f>IF(Table4[[#This Row],[A ID]]&gt;0,Table4[[#This Row],[T ID]],"")</f>
        <v>T01</v>
      </c>
      <c r="C8" s="182" t="str">
        <f>Table4[[#This Row],[Threat Event(s)]]</f>
        <v>Deliver undirected malware</v>
      </c>
      <c r="D8" s="48" t="str">
        <f>IF(Table4[[#This Row],[V ID]]&gt;0,Table4[[#This Row],[V ID]],"")</f>
        <v>V15</v>
      </c>
      <c r="E8" s="182" t="str">
        <f>Table4[[#This Row],[Vulnerabilities]]</f>
        <v>3rd Party Component Dependency &amp; Vulnerabilities in Application</v>
      </c>
      <c r="F8" s="48" t="str">
        <f>IF(Table4[[#This Row],[A ID]]&gt;0,Table4[[#This Row],[A ID]],"")</f>
        <v>A06</v>
      </c>
      <c r="G8" s="182" t="str">
        <f>Table4[[#This Row],[Asset]]</f>
        <v>Knee balancer supporting software components (binaries, frameworks, 3rd party components, etc..)</v>
      </c>
      <c r="H8" s="182" t="str">
        <f>IF(Table4[[#This Row],[Impact Description]]&gt;0,Table4[[#This Row],[Impact Description]],"")</f>
        <v>As Knee Balancer is running on a mobile device, it is important to secure the wireless/Network interfaces on the host such as BT, Wifi &amp; charging interface. Without restrictions, any device can be connected with the host &amp; hence affect the application</v>
      </c>
      <c r="I8" s="48" t="str">
        <f>IF(Table4[[#This Row],[Safety Impact 
(Risk ID'# or N/A)]]&gt;0,Table4[[#This Row],[Safety Impact 
(Risk ID'# or N/A)]],"")</f>
        <v/>
      </c>
      <c r="J8" s="80" t="str">
        <f>Table4[[#This Row],[Security 
Risk 
Level]]</f>
        <v>MEDIUM</v>
      </c>
      <c r="K8" s="48" t="str">
        <f>IF(Table4[[#This Row],[Security Risk Control Measures]]&gt;0,Table4[[#This Row],[Security Risk Control Measures]],"")</f>
        <v/>
      </c>
      <c r="L8" s="80" t="str">
        <f>Table4[[#This Row],[Security Risk LevelP]]</f>
        <v/>
      </c>
      <c r="M8" s="48" t="str">
        <f>IF(Table4[[#This Row],[Residual Security Risk Acceptability Justification]]&gt;0,Table4[[#This Row],[Residual Security Risk Acceptability Justification]],"")</f>
        <v/>
      </c>
      <c r="N8"/>
    </row>
    <row r="9" spans="1:14" s="42" customFormat="1" ht="70">
      <c r="A9" s="59">
        <f>Table4[[#This Row],[
ID '#]]</f>
        <v>5</v>
      </c>
      <c r="B9" s="46" t="str">
        <f>IF(Table4[[#This Row],[A ID]]&gt;0,Table4[[#This Row],[T ID]],"")</f>
        <v>T01</v>
      </c>
      <c r="C9" s="182" t="str">
        <f>Table4[[#This Row],[Threat Event(s)]]</f>
        <v>Deliver undirected malware</v>
      </c>
      <c r="D9" s="48" t="str">
        <f>IF(Table4[[#This Row],[V ID]]&gt;0,Table4[[#This Row],[V ID]],"")</f>
        <v>V18</v>
      </c>
      <c r="E9" s="182" t="str">
        <f>Table4[[#This Row],[Vulnerabilities]]</f>
        <v>3rd party installed applications from app store</v>
      </c>
      <c r="F9" s="48" t="str">
        <f>IF(Table4[[#This Row],[A ID]]&gt;0,Table4[[#This Row],[A ID]],"")</f>
        <v>A01</v>
      </c>
      <c r="G9" s="182" t="str">
        <f>Table4[[#This Row],[Asset]]</f>
        <v>Mobile Device (ipad, iphone V8-13)</v>
      </c>
      <c r="H9" s="182" t="str">
        <f>IF(Table4[[#This Row],[Impact Description]]&gt;0,Table4[[#This Row],[Impact Description]],"")</f>
        <v>As Knee Balancer is running on a mobile device, it is important to secure the wireless interfaces on the host such as BT, Wifi. Without restrictions any device can be connected with the host</v>
      </c>
      <c r="I9" s="48" t="str">
        <f>IF(Table4[[#This Row],[Safety Impact 
(Risk ID'# or N/A)]]&gt;0,Table4[[#This Row],[Safety Impact 
(Risk ID'# or N/A)]],"")</f>
        <v/>
      </c>
      <c r="J9" s="80" t="str">
        <f>Table4[[#This Row],[Security 
Risk 
Level]]</f>
        <v>MEDIUM</v>
      </c>
      <c r="K9" s="48" t="str">
        <f>IF(Table4[[#This Row],[Security Risk Control Measures]]&gt;0,Table4[[#This Row],[Security Risk Control Measures]],"")</f>
        <v/>
      </c>
      <c r="L9" s="145" t="str">
        <f>Table4[[#This Row],[Security Risk LevelP]]</f>
        <v/>
      </c>
      <c r="M9" s="48" t="str">
        <f>IF(Table4[[#This Row],[Residual Security Risk Acceptability Justification]]&gt;0,Table4[[#This Row],[Residual Security Risk Acceptability Justification]],"")</f>
        <v/>
      </c>
      <c r="N9"/>
    </row>
    <row r="10" spans="1:14" s="42" customFormat="1">
      <c r="A10"/>
      <c r="B10"/>
      <c r="C10"/>
      <c r="D10"/>
      <c r="E10"/>
      <c r="F10"/>
      <c r="G10"/>
      <c r="H10"/>
      <c r="I10"/>
      <c r="J10"/>
      <c r="K10"/>
      <c r="L10"/>
      <c r="M10"/>
      <c r="N10"/>
    </row>
    <row r="11" spans="1:14" s="42" customFormat="1">
      <c r="A11" s="23"/>
      <c r="B11" s="23"/>
      <c r="C11" s="24"/>
      <c r="D11" s="23"/>
      <c r="E11" s="23"/>
      <c r="F11" s="23"/>
      <c r="G11" s="23"/>
    </row>
    <row r="12" spans="1:14" s="42" customFormat="1" ht="14">
      <c r="A12" s="26" t="s">
        <v>39</v>
      </c>
      <c r="C12" s="53"/>
    </row>
    <row r="13" spans="1:14" s="42" customFormat="1" ht="32.25" customHeight="1">
      <c r="B13" s="217" t="s">
        <v>40</v>
      </c>
      <c r="C13" s="217"/>
      <c r="D13" s="217"/>
      <c r="E13" s="217"/>
      <c r="F13" s="217"/>
      <c r="G13" s="217"/>
      <c r="H13" s="217"/>
    </row>
    <row r="14" spans="1:14" s="42" customFormat="1">
      <c r="A14" s="23"/>
      <c r="B14" s="23"/>
      <c r="C14" s="24"/>
      <c r="D14" s="23"/>
      <c r="E14" s="23"/>
      <c r="F14" s="23"/>
      <c r="G14" s="23"/>
    </row>
    <row r="15" spans="1:14" s="42" customFormat="1">
      <c r="A15" s="23"/>
      <c r="B15" s="23"/>
      <c r="C15" s="24"/>
      <c r="D15" s="23"/>
      <c r="E15" s="23"/>
      <c r="F15" s="23"/>
      <c r="G15" s="23"/>
    </row>
    <row r="16" spans="1:14" s="42" customFormat="1">
      <c r="A16" s="23"/>
      <c r="B16" s="23"/>
      <c r="C16" s="24"/>
      <c r="D16" s="23"/>
      <c r="E16" s="23"/>
      <c r="F16" s="23"/>
      <c r="G16" s="23"/>
    </row>
    <row r="17" spans="1:8" s="42" customFormat="1" ht="32.25" customHeight="1">
      <c r="A17" s="23"/>
      <c r="B17" s="23"/>
      <c r="C17" s="24"/>
      <c r="D17" s="23"/>
      <c r="E17" s="23"/>
      <c r="F17" s="23"/>
      <c r="G17" s="23"/>
      <c r="H17" s="184"/>
    </row>
  </sheetData>
  <mergeCells count="1">
    <mergeCell ref="B13:H13"/>
  </mergeCells>
  <conditionalFormatting sqref="L6:L9">
    <cfRule type="cellIs" dxfId="60" priority="1" operator="equal">
      <formula>"Critical"</formula>
    </cfRule>
    <cfRule type="cellIs" dxfId="59" priority="2" operator="equal">
      <formula>"HIGH"</formula>
    </cfRule>
    <cfRule type="cellIs" dxfId="58" priority="3" operator="equal">
      <formula>"Medium"</formula>
    </cfRule>
    <cfRule type="cellIs" dxfId="57" priority="4" operator="equal">
      <formula>"None"</formula>
    </cfRule>
    <cfRule type="cellIs" dxfId="56" priority="5" operator="equal">
      <formula>"Low"</formula>
    </cfRule>
  </conditionalFormatting>
  <conditionalFormatting sqref="J5:J9">
    <cfRule type="cellIs" dxfId="55" priority="11" operator="equal">
      <formula>"Critical"</formula>
    </cfRule>
    <cfRule type="cellIs" dxfId="54" priority="12" operator="equal">
      <formula>"HIGH"</formula>
    </cfRule>
    <cfRule type="cellIs" dxfId="53" priority="13" operator="equal">
      <formula>"Medium"</formula>
    </cfRule>
    <cfRule type="cellIs" dxfId="52" priority="14" operator="equal">
      <formula>"None"</formula>
    </cfRule>
    <cfRule type="cellIs" dxfId="51" priority="15" operator="equal">
      <formula>"Low"</formula>
    </cfRule>
  </conditionalFormatting>
  <conditionalFormatting sqref="L5">
    <cfRule type="cellIs" dxfId="50" priority="6" operator="equal">
      <formula>"Critical"</formula>
    </cfRule>
    <cfRule type="cellIs" dxfId="49" priority="7" operator="equal">
      <formula>"HIGH"</formula>
    </cfRule>
    <cfRule type="cellIs" dxfId="48" priority="8" operator="equal">
      <formula>"Medium"</formula>
    </cfRule>
    <cfRule type="cellIs" dxfId="47" priority="9" operator="equal">
      <formula>"None"</formula>
    </cfRule>
    <cfRule type="cellIs" dxfId="46" priority="10" operator="equal">
      <formula>"Low"</formula>
    </cfRule>
  </conditionalFormatting>
  <pageMargins left="0.7" right="0.7" top="0.75" bottom="0.75" header="0.3" footer="0.3"/>
  <pageSetup scale="46"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R30"/>
  <sheetViews>
    <sheetView zoomScaleNormal="100" workbookViewId="0">
      <selection activeCell="D8" sqref="D8"/>
    </sheetView>
  </sheetViews>
  <sheetFormatPr defaultColWidth="9.1796875" defaultRowHeight="14.5"/>
  <cols>
    <col min="1" max="1" width="2.26953125" customWidth="1"/>
    <col min="2" max="2" width="15.26953125" customWidth="1"/>
    <col min="4" max="4" width="5.26953125" customWidth="1"/>
    <col min="7" max="7" width="5.453125" customWidth="1"/>
    <col min="11" max="11" width="5.26953125" customWidth="1"/>
    <col min="14" max="14" width="5.1796875" customWidth="1"/>
    <col min="16" max="16" width="13.81640625" customWidth="1"/>
    <col min="17" max="17" width="11" customWidth="1"/>
    <col min="18" max="18" width="17" customWidth="1"/>
  </cols>
  <sheetData>
    <row r="1" spans="2:18" s="64" customFormat="1" ht="27.75" customHeight="1">
      <c r="B1" s="83" t="s">
        <v>170</v>
      </c>
    </row>
    <row r="2" spans="2:18" s="64" customFormat="1" thickBot="1"/>
    <row r="3" spans="2:18" s="64" customFormat="1" ht="18" thickBot="1">
      <c r="B3" s="228" t="s">
        <v>171</v>
      </c>
      <c r="C3" s="229"/>
      <c r="D3" s="229"/>
      <c r="E3" s="229"/>
      <c r="F3" s="229"/>
      <c r="G3" s="229"/>
      <c r="H3" s="229"/>
      <c r="I3" s="229"/>
      <c r="J3" s="229"/>
      <c r="K3" s="229"/>
      <c r="L3" s="229"/>
      <c r="M3" s="229"/>
      <c r="N3" s="230"/>
      <c r="P3" s="228" t="s">
        <v>172</v>
      </c>
      <c r="Q3" s="229"/>
      <c r="R3" s="230"/>
    </row>
    <row r="4" spans="2:18" s="64" customFormat="1" ht="15.5" thickBot="1">
      <c r="B4" s="235" t="s">
        <v>97</v>
      </c>
      <c r="C4" s="236"/>
      <c r="D4" s="237"/>
      <c r="E4" s="235" t="s">
        <v>98</v>
      </c>
      <c r="F4" s="236"/>
      <c r="G4" s="237"/>
      <c r="H4" s="235" t="s">
        <v>173</v>
      </c>
      <c r="I4" s="236"/>
      <c r="J4" s="236"/>
      <c r="K4" s="237"/>
      <c r="L4" s="238" t="s">
        <v>100</v>
      </c>
      <c r="M4" s="239"/>
      <c r="N4" s="240"/>
      <c r="P4" s="84"/>
      <c r="Q4" s="85" t="s">
        <v>174</v>
      </c>
      <c r="R4" s="86" t="s">
        <v>175</v>
      </c>
    </row>
    <row r="5" spans="2:18" s="64" customFormat="1" ht="15.5" thickBot="1">
      <c r="B5" s="87" t="s">
        <v>176</v>
      </c>
      <c r="C5" s="87" t="s">
        <v>177</v>
      </c>
      <c r="D5" s="87" t="s">
        <v>178</v>
      </c>
      <c r="E5" s="87" t="s">
        <v>179</v>
      </c>
      <c r="F5" s="87" t="s">
        <v>177</v>
      </c>
      <c r="G5" s="87" t="s">
        <v>178</v>
      </c>
      <c r="H5" s="87" t="s">
        <v>176</v>
      </c>
      <c r="I5" s="242" t="s">
        <v>177</v>
      </c>
      <c r="J5" s="243"/>
      <c r="K5" s="87" t="s">
        <v>178</v>
      </c>
      <c r="L5" s="87" t="s">
        <v>176</v>
      </c>
      <c r="M5" s="87" t="s">
        <v>177</v>
      </c>
      <c r="N5" s="87" t="s">
        <v>178</v>
      </c>
      <c r="P5" s="88"/>
      <c r="Q5" s="89" t="s">
        <v>180</v>
      </c>
      <c r="R5" s="90">
        <v>0.04</v>
      </c>
    </row>
    <row r="6" spans="2:18" s="64" customFormat="1" ht="15">
      <c r="B6" s="91" t="s">
        <v>130</v>
      </c>
      <c r="C6" s="92">
        <v>0.85</v>
      </c>
      <c r="D6" s="93" t="s">
        <v>181</v>
      </c>
      <c r="E6" s="91" t="s">
        <v>129</v>
      </c>
      <c r="F6" s="92">
        <v>0.77</v>
      </c>
      <c r="G6" s="93" t="s">
        <v>182</v>
      </c>
      <c r="H6" s="91" t="s">
        <v>131</v>
      </c>
      <c r="I6" s="94">
        <v>0.85</v>
      </c>
      <c r="J6" s="95">
        <v>0.85</v>
      </c>
      <c r="K6" s="93" t="s">
        <v>181</v>
      </c>
      <c r="L6" s="91" t="s">
        <v>131</v>
      </c>
      <c r="M6" s="96">
        <v>0.85</v>
      </c>
      <c r="N6" s="97" t="s">
        <v>181</v>
      </c>
      <c r="P6" s="88"/>
      <c r="Q6" s="98" t="s">
        <v>129</v>
      </c>
      <c r="R6" s="99">
        <v>0.2</v>
      </c>
    </row>
    <row r="7" spans="2:18" s="64" customFormat="1" ht="15">
      <c r="B7" s="91" t="s">
        <v>183</v>
      </c>
      <c r="C7" s="100">
        <v>0.62</v>
      </c>
      <c r="D7" s="93" t="s">
        <v>184</v>
      </c>
      <c r="E7" s="91" t="s">
        <v>136</v>
      </c>
      <c r="F7" s="100">
        <v>0.44</v>
      </c>
      <c r="G7" s="93" t="s">
        <v>185</v>
      </c>
      <c r="H7" s="91" t="s">
        <v>129</v>
      </c>
      <c r="I7" s="101">
        <v>0.62</v>
      </c>
      <c r="J7" s="95">
        <v>0.68</v>
      </c>
      <c r="K7" s="93" t="s">
        <v>182</v>
      </c>
      <c r="L7" s="91" t="s">
        <v>137</v>
      </c>
      <c r="M7" s="102">
        <v>0.62</v>
      </c>
      <c r="N7" s="97" t="s">
        <v>186</v>
      </c>
      <c r="P7" s="88"/>
      <c r="Q7" s="103" t="s">
        <v>142</v>
      </c>
      <c r="R7" s="99">
        <v>0.5</v>
      </c>
    </row>
    <row r="8" spans="2:18" s="64" customFormat="1" ht="15">
      <c r="B8" s="91" t="s">
        <v>134</v>
      </c>
      <c r="C8" s="100">
        <v>0.55000000000000004</v>
      </c>
      <c r="D8" s="93" t="s">
        <v>182</v>
      </c>
      <c r="E8" s="91"/>
      <c r="F8" s="100"/>
      <c r="G8" s="93"/>
      <c r="H8" s="91" t="s">
        <v>136</v>
      </c>
      <c r="I8" s="101">
        <v>0.27</v>
      </c>
      <c r="J8" s="95">
        <v>0.5</v>
      </c>
      <c r="K8" s="93" t="s">
        <v>185</v>
      </c>
      <c r="L8" s="91"/>
      <c r="M8" s="95"/>
      <c r="N8" s="97"/>
      <c r="P8" s="88"/>
      <c r="Q8" s="104" t="s">
        <v>136</v>
      </c>
      <c r="R8" s="99">
        <v>0.8</v>
      </c>
    </row>
    <row r="9" spans="2:18" s="64" customFormat="1" ht="15">
      <c r="B9" s="91" t="s">
        <v>138</v>
      </c>
      <c r="C9" s="100">
        <v>0.2</v>
      </c>
      <c r="D9" s="97" t="s">
        <v>187</v>
      </c>
      <c r="E9" s="120"/>
      <c r="G9" s="170"/>
      <c r="H9" s="91"/>
      <c r="I9" s="101"/>
      <c r="J9" s="95"/>
      <c r="K9" s="97"/>
      <c r="L9" s="91"/>
      <c r="M9" s="95"/>
      <c r="N9" s="97"/>
      <c r="P9" s="88"/>
      <c r="Q9" s="114" t="s">
        <v>188</v>
      </c>
      <c r="R9" s="99">
        <v>1</v>
      </c>
    </row>
    <row r="10" spans="2:18" s="64" customFormat="1" ht="15.5" thickBot="1">
      <c r="B10" s="105"/>
      <c r="C10" s="106"/>
      <c r="D10" s="107"/>
      <c r="E10" s="108"/>
      <c r="F10" s="109"/>
      <c r="G10" s="110"/>
      <c r="H10" s="105"/>
      <c r="I10" s="111"/>
      <c r="J10" s="112"/>
      <c r="K10" s="107"/>
      <c r="L10" s="105"/>
      <c r="M10" s="112"/>
      <c r="N10" s="107"/>
      <c r="P10" s="113"/>
      <c r="R10" s="99"/>
    </row>
    <row r="11" spans="2:18" s="64" customFormat="1" thickBot="1"/>
    <row r="12" spans="2:18" s="64" customFormat="1" ht="18" thickBot="1">
      <c r="B12" s="228" t="s">
        <v>189</v>
      </c>
      <c r="C12" s="229"/>
      <c r="D12" s="229"/>
      <c r="E12" s="229"/>
      <c r="F12" s="229"/>
      <c r="G12" s="229"/>
      <c r="H12" s="229"/>
      <c r="I12" s="229"/>
      <c r="J12" s="229"/>
      <c r="K12" s="229"/>
      <c r="L12" s="229"/>
      <c r="M12" s="229"/>
      <c r="N12" s="230"/>
      <c r="P12" s="148" t="s">
        <v>190</v>
      </c>
      <c r="Q12" s="116" t="s">
        <v>47</v>
      </c>
    </row>
    <row r="13" spans="2:18" s="64" customFormat="1" ht="15.5" thickBot="1">
      <c r="B13" s="231" t="s">
        <v>191</v>
      </c>
      <c r="C13" s="232"/>
      <c r="D13" s="232"/>
      <c r="E13" s="232"/>
      <c r="F13" s="232"/>
      <c r="G13" s="233"/>
      <c r="H13" s="232"/>
      <c r="I13" s="232"/>
      <c r="J13" s="232"/>
      <c r="K13" s="232"/>
      <c r="L13" s="232"/>
      <c r="M13" s="232"/>
      <c r="N13" s="234"/>
      <c r="P13" s="91"/>
      <c r="Q13" s="95" t="s">
        <v>68</v>
      </c>
    </row>
    <row r="14" spans="2:18" s="64" customFormat="1" thickBot="1">
      <c r="B14" s="87" t="s">
        <v>176</v>
      </c>
      <c r="C14" s="87" t="s">
        <v>177</v>
      </c>
      <c r="D14" s="87" t="s">
        <v>178</v>
      </c>
      <c r="E14" s="115"/>
      <c r="F14" s="115"/>
      <c r="G14" s="115"/>
      <c r="H14" s="115"/>
      <c r="I14" s="115"/>
      <c r="J14" s="115"/>
      <c r="K14" s="115"/>
      <c r="L14" s="115"/>
      <c r="M14" s="115"/>
      <c r="N14" s="116"/>
      <c r="P14" s="105"/>
      <c r="Q14" s="112"/>
    </row>
    <row r="15" spans="2:18" s="64" customFormat="1" ht="16">
      <c r="B15" s="117" t="s">
        <v>131</v>
      </c>
      <c r="C15" s="92">
        <v>0</v>
      </c>
      <c r="D15" s="118" t="s">
        <v>181</v>
      </c>
      <c r="E15" s="119" t="s">
        <v>192</v>
      </c>
      <c r="N15" s="95"/>
    </row>
    <row r="16" spans="2:18" s="64" customFormat="1" ht="14">
      <c r="B16" s="120" t="s">
        <v>129</v>
      </c>
      <c r="C16" s="100">
        <v>0.22</v>
      </c>
      <c r="D16" s="121" t="s">
        <v>182</v>
      </c>
      <c r="N16" s="95"/>
    </row>
    <row r="17" spans="2:17" s="64" customFormat="1" ht="14">
      <c r="B17" s="120" t="s">
        <v>136</v>
      </c>
      <c r="C17" s="100">
        <v>0.56000000000000005</v>
      </c>
      <c r="D17" s="121" t="s">
        <v>185</v>
      </c>
      <c r="N17" s="95"/>
    </row>
    <row r="18" spans="2:17" s="64" customFormat="1" thickBot="1">
      <c r="B18" s="108"/>
      <c r="C18" s="106"/>
      <c r="D18" s="122"/>
      <c r="E18" s="109"/>
      <c r="F18" s="109"/>
      <c r="G18" s="109"/>
      <c r="H18" s="109"/>
      <c r="I18" s="109"/>
      <c r="J18" s="109"/>
      <c r="K18" s="109"/>
      <c r="L18" s="109"/>
      <c r="M18" s="109"/>
      <c r="N18" s="112"/>
    </row>
    <row r="19" spans="2:17" s="64" customFormat="1" thickBot="1"/>
    <row r="20" spans="2:17" s="64" customFormat="1" ht="18" thickBot="1">
      <c r="B20" s="228" t="s">
        <v>101</v>
      </c>
      <c r="C20" s="229"/>
      <c r="D20" s="229"/>
      <c r="E20" s="229"/>
      <c r="F20" s="229"/>
      <c r="G20" s="229"/>
      <c r="H20" s="229"/>
      <c r="I20" s="229"/>
      <c r="J20" s="229"/>
      <c r="K20" s="229"/>
      <c r="L20" s="229"/>
      <c r="M20" s="229"/>
      <c r="N20" s="230"/>
    </row>
    <row r="21" spans="2:17" s="64" customFormat="1" ht="42.65" customHeight="1" thickBot="1">
      <c r="B21" s="123" t="s">
        <v>132</v>
      </c>
      <c r="C21" s="244" t="s">
        <v>193</v>
      </c>
      <c r="D21" s="245"/>
      <c r="E21" s="245"/>
      <c r="F21" s="245"/>
      <c r="G21" s="245"/>
      <c r="H21" s="245"/>
      <c r="I21" s="245"/>
      <c r="J21" s="245"/>
      <c r="K21" s="245"/>
      <c r="L21" s="245"/>
      <c r="M21" s="246"/>
      <c r="N21" s="124" t="s">
        <v>194</v>
      </c>
    </row>
    <row r="22" spans="2:17" s="64" customFormat="1" ht="43.9" customHeight="1" thickBot="1">
      <c r="B22" s="125" t="s">
        <v>133</v>
      </c>
      <c r="C22" s="247" t="s">
        <v>195</v>
      </c>
      <c r="D22" s="245"/>
      <c r="E22" s="245"/>
      <c r="F22" s="245"/>
      <c r="G22" s="245"/>
      <c r="H22" s="245"/>
      <c r="I22" s="245"/>
      <c r="J22" s="245"/>
      <c r="K22" s="245"/>
      <c r="L22" s="245"/>
      <c r="M22" s="246"/>
      <c r="N22" s="126" t="s">
        <v>196</v>
      </c>
      <c r="O22" s="127"/>
      <c r="P22" s="127"/>
      <c r="Q22" s="127"/>
    </row>
    <row r="23" spans="2:17" s="64" customFormat="1" ht="15.5" thickBot="1">
      <c r="B23" s="125"/>
      <c r="C23" s="247"/>
      <c r="D23" s="245"/>
      <c r="E23" s="245"/>
      <c r="F23" s="245"/>
      <c r="G23" s="245"/>
      <c r="H23" s="245"/>
      <c r="I23" s="245"/>
      <c r="J23" s="245"/>
      <c r="K23" s="245"/>
      <c r="L23" s="245"/>
      <c r="M23" s="246"/>
      <c r="N23" s="126"/>
    </row>
    <row r="24" spans="2:17" s="64" customFormat="1" ht="14"/>
    <row r="25" spans="2:17" s="64" customFormat="1" ht="14">
      <c r="B25" s="64" t="s">
        <v>197</v>
      </c>
    </row>
    <row r="26" spans="2:17" s="64" customFormat="1" ht="262.5" customHeight="1">
      <c r="B26" s="42" t="s">
        <v>198</v>
      </c>
      <c r="C26" s="241" t="s">
        <v>199</v>
      </c>
      <c r="D26" s="241"/>
      <c r="E26" s="241"/>
      <c r="F26" s="241"/>
      <c r="G26" s="241"/>
      <c r="H26" s="241"/>
      <c r="I26" s="241"/>
      <c r="J26" s="241"/>
    </row>
    <row r="29" spans="2:17">
      <c r="B29" s="26" t="s">
        <v>39</v>
      </c>
    </row>
    <row r="30" spans="2:17" ht="48" customHeight="1">
      <c r="C30" s="217" t="s">
        <v>40</v>
      </c>
      <c r="D30" s="217"/>
      <c r="E30" s="217"/>
      <c r="F30" s="217"/>
      <c r="G30" s="217"/>
      <c r="H30" s="217"/>
      <c r="I30" s="217"/>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472" right="0.70866141732283472" top="1.1023622047244095" bottom="0.74803149606299213" header="0.31496062992125984" footer="0.31496062992125984"/>
  <pageSetup scale="55" fitToHeight="0" orientation="portrait"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H15"/>
  <sheetViews>
    <sheetView zoomScaleNormal="100" workbookViewId="0">
      <selection activeCell="B7" sqref="B7"/>
    </sheetView>
  </sheetViews>
  <sheetFormatPr defaultColWidth="9.1796875" defaultRowHeight="14.5"/>
  <cols>
    <col min="1" max="1" width="7.1796875" style="23" customWidth="1"/>
    <col min="2" max="2" width="34.81640625" style="23" customWidth="1"/>
    <col min="3" max="3" width="15.81640625" style="24" customWidth="1"/>
    <col min="4" max="4" width="2.81640625" style="23" customWidth="1"/>
    <col min="5" max="5" width="9.1796875" style="23"/>
    <col min="6" max="6" width="44.81640625" style="23" customWidth="1"/>
    <col min="7" max="7" width="15.81640625" style="23" customWidth="1"/>
    <col min="8" max="16384" width="9.1796875" style="23"/>
  </cols>
  <sheetData>
    <row r="1" spans="1:8" s="42" customFormat="1" ht="14">
      <c r="A1" s="83" t="s">
        <v>200</v>
      </c>
      <c r="C1" s="53"/>
    </row>
    <row r="2" spans="1:8" s="42" customFormat="1" thickBot="1">
      <c r="C2" s="53"/>
    </row>
    <row r="3" spans="1:8" s="42" customFormat="1" thickBot="1">
      <c r="A3" s="248" t="s">
        <v>201</v>
      </c>
      <c r="B3" s="249"/>
      <c r="C3" s="249"/>
      <c r="E3" s="250" t="s">
        <v>202</v>
      </c>
      <c r="F3" s="251"/>
      <c r="G3" s="251"/>
    </row>
    <row r="4" spans="1:8" s="42" customFormat="1" ht="14">
      <c r="A4" s="128" t="s">
        <v>203</v>
      </c>
      <c r="B4" s="129" t="s">
        <v>152</v>
      </c>
      <c r="C4" s="130" t="s">
        <v>204</v>
      </c>
      <c r="E4" s="131" t="s">
        <v>203</v>
      </c>
      <c r="F4" s="132" t="s">
        <v>205</v>
      </c>
      <c r="G4" s="133" t="s">
        <v>204</v>
      </c>
    </row>
    <row r="5" spans="1:8" s="42" customFormat="1" ht="42">
      <c r="A5" s="134" t="s">
        <v>206</v>
      </c>
      <c r="B5" s="139" t="s">
        <v>207</v>
      </c>
      <c r="C5" s="135" t="s">
        <v>208</v>
      </c>
      <c r="E5" s="134" t="s">
        <v>209</v>
      </c>
      <c r="F5" s="136" t="s">
        <v>210</v>
      </c>
      <c r="G5" s="137" t="s">
        <v>208</v>
      </c>
    </row>
    <row r="6" spans="1:8" s="42" customFormat="1" ht="28">
      <c r="A6" s="38" t="s">
        <v>211</v>
      </c>
      <c r="B6" s="139" t="s">
        <v>212</v>
      </c>
      <c r="C6" s="135" t="s">
        <v>208</v>
      </c>
      <c r="E6" s="38" t="s">
        <v>213</v>
      </c>
      <c r="F6" s="136" t="s">
        <v>214</v>
      </c>
      <c r="G6" s="138" t="s">
        <v>208</v>
      </c>
    </row>
    <row r="7" spans="1:8" s="42" customFormat="1" ht="28">
      <c r="A7" s="38" t="s">
        <v>215</v>
      </c>
      <c r="B7" s="139" t="s">
        <v>216</v>
      </c>
      <c r="C7" s="135" t="s">
        <v>208</v>
      </c>
      <c r="E7" s="38" t="s">
        <v>217</v>
      </c>
      <c r="F7" s="136" t="s">
        <v>218</v>
      </c>
      <c r="G7" s="138" t="s">
        <v>208</v>
      </c>
    </row>
    <row r="8" spans="1:8" s="42" customFormat="1" ht="28">
      <c r="A8" s="38" t="s">
        <v>219</v>
      </c>
      <c r="B8" s="139" t="s">
        <v>220</v>
      </c>
      <c r="C8" s="135" t="s">
        <v>181</v>
      </c>
      <c r="E8" s="38" t="s">
        <v>221</v>
      </c>
      <c r="F8" s="136" t="s">
        <v>222</v>
      </c>
      <c r="G8" s="138" t="s">
        <v>208</v>
      </c>
    </row>
    <row r="9" spans="1:8" s="42" customFormat="1" ht="28">
      <c r="A9" s="38" t="s">
        <v>223</v>
      </c>
      <c r="B9" s="139" t="s">
        <v>224</v>
      </c>
      <c r="C9" s="135" t="s">
        <v>181</v>
      </c>
      <c r="E9" s="38" t="s">
        <v>225</v>
      </c>
      <c r="F9" s="136" t="s">
        <v>226</v>
      </c>
      <c r="G9" s="138" t="s">
        <v>208</v>
      </c>
    </row>
    <row r="10" spans="1:8" s="42" customFormat="1" ht="42">
      <c r="A10" s="140" t="s">
        <v>227</v>
      </c>
      <c r="B10" s="141" t="s">
        <v>228</v>
      </c>
      <c r="C10" s="142" t="s">
        <v>181</v>
      </c>
      <c r="E10" s="140" t="s">
        <v>229</v>
      </c>
      <c r="F10" s="143" t="s">
        <v>230</v>
      </c>
      <c r="G10" s="144" t="s">
        <v>181</v>
      </c>
    </row>
    <row r="11" spans="1:8" s="42" customFormat="1" ht="14">
      <c r="C11" s="53"/>
    </row>
    <row r="12" spans="1:8" s="42" customFormat="1" ht="14">
      <c r="C12" s="53"/>
    </row>
    <row r="13" spans="1:8" s="42" customFormat="1" ht="14">
      <c r="C13" s="53"/>
    </row>
    <row r="14" spans="1:8" s="42" customFormat="1" ht="14">
      <c r="A14" s="26" t="s">
        <v>39</v>
      </c>
      <c r="C14" s="53"/>
    </row>
    <row r="15" spans="1:8" s="42" customFormat="1" ht="32.25" customHeight="1">
      <c r="B15" s="217" t="s">
        <v>40</v>
      </c>
      <c r="C15" s="217"/>
      <c r="D15" s="217"/>
      <c r="E15" s="217"/>
      <c r="F15" s="217"/>
      <c r="G15" s="217"/>
      <c r="H15" s="217"/>
    </row>
  </sheetData>
  <mergeCells count="3">
    <mergeCell ref="A3:C3"/>
    <mergeCell ref="E3:G3"/>
    <mergeCell ref="B15:H15"/>
  </mergeCells>
  <pageMargins left="0.7" right="0.7" top="1.29375" bottom="0.75" header="0.3" footer="0.3"/>
  <pageSetup scale="65" fitToHeight="0" orientation="portrait"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zoomScale="85" zoomScaleNormal="85" workbookViewId="0">
      <selection activeCell="H13" sqref="H13"/>
    </sheetView>
  </sheetViews>
  <sheetFormatPr defaultColWidth="9.1796875" defaultRowHeight="14.5"/>
  <cols>
    <col min="1" max="1" width="6.1796875" customWidth="1"/>
    <col min="2" max="2" width="38.1796875" customWidth="1"/>
    <col min="3" max="3" width="49.453125" customWidth="1"/>
    <col min="4" max="4" width="27.81640625" customWidth="1"/>
    <col min="5" max="5" width="14.7265625" customWidth="1"/>
    <col min="6" max="6" width="16.26953125" customWidth="1"/>
    <col min="7" max="7" width="20.1796875" customWidth="1"/>
    <col min="8" max="8" width="20.26953125" customWidth="1"/>
  </cols>
  <sheetData>
    <row r="1" spans="1:8">
      <c r="A1" s="252" t="s">
        <v>231</v>
      </c>
      <c r="B1" s="252"/>
      <c r="C1" s="252"/>
      <c r="D1" s="252"/>
      <c r="E1" s="252"/>
      <c r="F1" s="252"/>
      <c r="G1" s="252"/>
      <c r="H1" s="252"/>
    </row>
    <row r="2" spans="1:8" ht="58">
      <c r="A2" s="11" t="s">
        <v>149</v>
      </c>
      <c r="B2" s="11" t="s">
        <v>150</v>
      </c>
      <c r="C2" s="11" t="s">
        <v>151</v>
      </c>
      <c r="D2" s="12" t="s">
        <v>152</v>
      </c>
      <c r="E2" s="20" t="s">
        <v>232</v>
      </c>
      <c r="F2" s="13" t="s">
        <v>233</v>
      </c>
      <c r="G2" s="13" t="s">
        <v>234</v>
      </c>
      <c r="H2" s="13" t="s">
        <v>235</v>
      </c>
    </row>
    <row r="3" spans="1:8" s="18" customFormat="1" ht="48">
      <c r="A3" s="14" t="s">
        <v>236</v>
      </c>
      <c r="B3" s="15" t="s">
        <v>159</v>
      </c>
      <c r="C3" s="15" t="s">
        <v>160</v>
      </c>
      <c r="D3" s="16" t="s">
        <v>206</v>
      </c>
      <c r="E3" s="21" t="s">
        <v>237</v>
      </c>
      <c r="F3" s="17" t="s">
        <v>180</v>
      </c>
      <c r="G3" s="17" t="s">
        <v>180</v>
      </c>
      <c r="H3" s="19" t="s">
        <v>180</v>
      </c>
    </row>
    <row r="4" spans="1:8">
      <c r="A4" s="1"/>
      <c r="B4" s="1"/>
      <c r="C4" s="1"/>
      <c r="D4" s="1"/>
      <c r="E4" s="22"/>
      <c r="F4" s="1"/>
      <c r="G4" s="1"/>
      <c r="H4" s="1"/>
    </row>
    <row r="5" spans="1:8">
      <c r="A5" s="1"/>
      <c r="B5" s="1"/>
      <c r="C5" s="1"/>
      <c r="D5" s="1"/>
      <c r="E5" s="22"/>
      <c r="F5" s="1"/>
      <c r="G5" s="1"/>
      <c r="H5" s="1"/>
    </row>
    <row r="6" spans="1:8">
      <c r="A6" s="1"/>
      <c r="B6" s="1"/>
      <c r="C6" s="1"/>
      <c r="D6" s="1"/>
      <c r="E6" s="22"/>
      <c r="F6" s="1"/>
      <c r="G6" s="1"/>
      <c r="H6" s="1"/>
    </row>
    <row r="7" spans="1:8">
      <c r="A7" s="1"/>
      <c r="B7" s="1"/>
      <c r="C7" s="1"/>
      <c r="D7" s="1"/>
      <c r="E7" s="22"/>
      <c r="F7" s="1"/>
      <c r="G7" s="1"/>
      <c r="H7" s="1"/>
    </row>
    <row r="8" spans="1:8">
      <c r="A8" s="1"/>
      <c r="B8" s="1"/>
      <c r="C8" s="1"/>
      <c r="D8" s="1"/>
      <c r="E8" s="22"/>
      <c r="F8" s="1"/>
      <c r="G8" s="1"/>
      <c r="H8" s="1"/>
    </row>
    <row r="9" spans="1:8">
      <c r="A9" s="1"/>
      <c r="B9" s="1"/>
      <c r="C9" s="1"/>
      <c r="D9" s="1"/>
      <c r="E9" s="22"/>
      <c r="F9" s="1"/>
      <c r="G9" s="1"/>
      <c r="H9" s="1"/>
    </row>
    <row r="10" spans="1:8">
      <c r="A10" s="1"/>
      <c r="B10" s="1"/>
      <c r="C10" s="1"/>
      <c r="D10" s="1"/>
      <c r="E10" s="22"/>
      <c r="F10" s="1"/>
      <c r="G10" s="1"/>
      <c r="H10" s="1"/>
    </row>
  </sheetData>
  <mergeCells count="1">
    <mergeCell ref="A1:H1"/>
  </mergeCells>
  <dataValidations count="2">
    <dataValidation type="list" allowBlank="1" showInputMessage="1" showErrorMessage="1" sqref="F3:H3" xr:uid="{00000000-0002-0000-0700-000000000000}">
      <formula1>"Very High, High, Moderate, Low, Very Low"</formula1>
    </dataValidation>
    <dataValidation type="list" allowBlank="1" showInputMessage="1" showErrorMessage="1" sqref="E3" xr:uid="{00000000-0002-0000-0700-000001000000}">
      <formula1>"Confirmed, Expected, Anticipated, Predicted, Possible, N/A"</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3"/>
  <sheetViews>
    <sheetView workbookViewId="0">
      <selection activeCell="H13" sqref="H13"/>
    </sheetView>
  </sheetViews>
  <sheetFormatPr defaultColWidth="9.1796875" defaultRowHeight="14.5"/>
  <cols>
    <col min="1" max="1" width="27.7265625" customWidth="1"/>
    <col min="2" max="2" width="102.1796875" customWidth="1"/>
  </cols>
  <sheetData>
    <row r="1" spans="1:2" ht="19" thickBot="1">
      <c r="A1" s="2"/>
      <c r="B1" s="3"/>
    </row>
    <row r="2" spans="1:2" ht="19" thickBot="1">
      <c r="A2" s="4" t="s">
        <v>238</v>
      </c>
      <c r="B2" s="5" t="s">
        <v>239</v>
      </c>
    </row>
    <row r="3" spans="1:2" ht="19" thickBot="1">
      <c r="A3" s="6"/>
      <c r="B3" s="7"/>
    </row>
    <row r="4" spans="1:2">
      <c r="A4" s="253"/>
      <c r="B4" s="8"/>
    </row>
    <row r="5" spans="1:2">
      <c r="A5" s="254"/>
      <c r="B5" s="9"/>
    </row>
    <row r="6" spans="1:2">
      <c r="A6" s="254"/>
      <c r="B6" s="9"/>
    </row>
    <row r="7" spans="1:2" ht="15" thickBot="1">
      <c r="A7" s="255"/>
      <c r="B7" s="10"/>
    </row>
    <row r="8" spans="1:2" ht="19" thickBot="1">
      <c r="A8" s="2"/>
      <c r="B8" s="3"/>
    </row>
    <row r="9" spans="1:2">
      <c r="A9" s="253"/>
      <c r="B9" s="8"/>
    </row>
    <row r="10" spans="1:2">
      <c r="A10" s="254"/>
      <c r="B10" s="9"/>
    </row>
    <row r="11" spans="1:2">
      <c r="A11" s="254"/>
      <c r="B11" s="9"/>
    </row>
    <row r="12" spans="1:2">
      <c r="A12" s="254"/>
      <c r="B12" s="9"/>
    </row>
    <row r="13" spans="1:2" ht="15" thickBot="1">
      <c r="A13" s="255"/>
      <c r="B13" s="10"/>
    </row>
  </sheetData>
  <mergeCells count="2">
    <mergeCell ref="A4:A7"/>
    <mergeCell ref="A9:A1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8D85E3F0A47C24A9DC69184EC08E74C" ma:contentTypeVersion="13" ma:contentTypeDescription="Create a new document." ma:contentTypeScope="" ma:versionID="97a50547115b2d16437fc42d2d233fd6">
  <xsd:schema xmlns:xsd="http://www.w3.org/2001/XMLSchema" xmlns:xs="http://www.w3.org/2001/XMLSchema" xmlns:p="http://schemas.microsoft.com/office/2006/metadata/properties" xmlns:ns3="58b2451b-b74e-458e-9a49-87527663aea3" xmlns:ns4="e01ffcf0-3b2d-4b85-8e6a-2306ae31d5c3" targetNamespace="http://schemas.microsoft.com/office/2006/metadata/properties" ma:root="true" ma:fieldsID="b28307723dd0b787454fede7d6a08189" ns3:_="" ns4:_="">
    <xsd:import namespace="58b2451b-b74e-458e-9a49-87527663aea3"/>
    <xsd:import namespace="e01ffcf0-3b2d-4b85-8e6a-2306ae31d5c3"/>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b2451b-b74e-458e-9a49-87527663ae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01ffcf0-3b2d-4b85-8e6a-2306ae31d5c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AF7F02-150C-44AA-ACFE-3054112CF8E2}">
  <ds:schemaRefs>
    <ds:schemaRef ds:uri="http://purl.org/dc/terms/"/>
    <ds:schemaRef ds:uri="e01ffcf0-3b2d-4b85-8e6a-2306ae31d5c3"/>
    <ds:schemaRef ds:uri="http://schemas.microsoft.com/office/2006/metadata/properties"/>
    <ds:schemaRef ds:uri="http://purl.org/dc/dcmitype/"/>
    <ds:schemaRef ds:uri="58b2451b-b74e-458e-9a49-87527663aea3"/>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03667C78-2767-48FE-B183-28F119783D1F}">
  <ds:schemaRefs>
    <ds:schemaRef ds:uri="http://schemas.microsoft.com/sharepoint/v3/contenttype/forms"/>
  </ds:schemaRefs>
</ds:datastoreItem>
</file>

<file path=customXml/itemProps3.xml><?xml version="1.0" encoding="utf-8"?>
<ds:datastoreItem xmlns:ds="http://schemas.openxmlformats.org/officeDocument/2006/customXml" ds:itemID="{A7D7C8A2-DF44-4648-9B4B-383241C339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b2451b-b74e-458e-9a49-87527663aea3"/>
    <ds:schemaRef ds:uri="e01ffcf0-3b2d-4b85-8e6a-2306ae31d5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'Reference - CVSSv3.0'!Priv</vt:lpstr>
      <vt:lpstr>'Reference - CVSSv3.0'!Scope</vt:lpstr>
      <vt:lpstr>'Reference - CVSSv3.0'!Ux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Campana, Jose</dc:creator>
  <cp:keywords/>
  <dc:description/>
  <cp:lastModifiedBy>Sai Praneetha Bhaskaruni</cp:lastModifiedBy>
  <cp:revision/>
  <dcterms:created xsi:type="dcterms:W3CDTF">2017-03-06T20:58:36Z</dcterms:created>
  <dcterms:modified xsi:type="dcterms:W3CDTF">2022-05-24T09:18:28Z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0x010100B8D85E3F0A47C24A9DC69184EC08E74C</vt:lpwstr>
  </property>
  <property fmtid="{D5CDD505-2E9C-101B-9397-08002B2CF9AE}" pid="3" name="MSIP_Label_40993bd6-1ede-4830-9dba-3224251d6855_Enabled">
    <vt:lpwstr>true</vt:lpwstr>
  </property>
  <property fmtid="{D5CDD505-2E9C-101B-9397-08002B2CF9AE}" pid="4" name="MSIP_Label_40993bd6-1ede-4830-9dba-3224251d6855_SetDate">
    <vt:lpwstr>2022-02-25T03:36:14Z</vt:lpwstr>
  </property>
  <property fmtid="{D5CDD505-2E9C-101B-9397-08002B2CF9AE}" pid="5" name="MSIP_Label_40993bd6-1ede-4830-9dba-3224251d6855_Method">
    <vt:lpwstr>Privileged</vt:lpwstr>
  </property>
  <property fmtid="{D5CDD505-2E9C-101B-9397-08002B2CF9AE}" pid="6" name="MSIP_Label_40993bd6-1ede-4830-9dba-3224251d6855_Name">
    <vt:lpwstr>Business</vt:lpwstr>
  </property>
  <property fmtid="{D5CDD505-2E9C-101B-9397-08002B2CF9AE}" pid="7" name="MSIP_Label_40993bd6-1ede-4830-9dba-3224251d6855_SiteId">
    <vt:lpwstr>311b3378-8e8a-4b5e-a33f-e80a3d8ba60a</vt:lpwstr>
  </property>
  <property fmtid="{D5CDD505-2E9C-101B-9397-08002B2CF9AE}" pid="8" name="MSIP_Label_40993bd6-1ede-4830-9dba-3224251d6855_ActionId">
    <vt:lpwstr>ed1a1f04-ce6e-4252-92c7-c866f78309e5</vt:lpwstr>
  </property>
  <property fmtid="{D5CDD505-2E9C-101B-9397-08002B2CF9AE}" pid="9" name="MSIP_Label_40993bd6-1ede-4830-9dba-3224251d6855_ContentBits">
    <vt:lpwstr>0</vt:lpwstr>
  </property>
</Properties>
</file>