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imelineCaches/timelineCache4.xml" ContentType="application/vnd.ms-excel.timelineCache+xml"/>
  <Override PartName="/xl/timelineCaches/timelineCache5.xml" ContentType="application/vnd.ms-excel.timelineCache+xml"/>
  <Override PartName="/xl/timelineCaches/timelineCache6.xml" ContentType="application/vnd.ms-excel.timelineCache+xml"/>
  <Override PartName="/xl/timelineCaches/timelineCache7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5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ables/table11.xml" ContentType="application/vnd.openxmlformats-officedocument.spreadsheetml.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slicers/slicer4.xml" ContentType="application/vnd.ms-excel.slicer+xml"/>
  <Override PartName="/xl/timelines/timeline4.xml" ContentType="application/vnd.ms-excel.timelin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Ex1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3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ables/table13.xml" ContentType="application/vnd.openxmlformats-officedocument.spreadsheetml.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drawings/drawing7.xml" ContentType="application/vnd.openxmlformats-officedocument.drawing+xml"/>
  <Override PartName="/xl/slicers/slicer5.xml" ContentType="application/vnd.ms-excel.slicer+xml"/>
  <Override PartName="/xl/timelines/timeline5.xml" ContentType="application/vnd.ms-excel.timeline+xml"/>
  <Override PartName="/xl/charts/chart3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5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6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7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drawings/drawing8.xml" ContentType="application/vnd.openxmlformats-officedocument.drawing+xml"/>
  <Override PartName="/xl/tables/table14.xml" ContentType="application/vnd.openxmlformats-officedocument.spreadsheetml.table+xml"/>
  <Override PartName="/xl/timelines/timeline6.xml" ContentType="application/vnd.ms-excel.timelin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licers/slicer6.xml" ContentType="application/vnd.ms-excel.slicer+xml"/>
  <Override PartName="/xl/timelines/timeline7.xml" ContentType="application/vnd.ms-excel.timeline+xml"/>
  <Override PartName="/xl/charts/chart38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9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ml.chartshapes+xml"/>
  <Override PartName="/xl/charts/chart40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ml.chartshapes+xml"/>
  <Override PartName="/xl/charts/chart41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2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3.xml" ContentType="application/vnd.openxmlformats-officedocument.drawing+xml"/>
  <Override PartName="/xl/slicers/slicer7.xml" ContentType="application/vnd.ms-excel.slicer+xml"/>
  <Override PartName="/xl/timelines/timeline8.xml" ContentType="application/vnd.ms-excel.timeline+xml"/>
  <Override PartName="/xl/charts/chart43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4.xml" ContentType="application/vnd.openxmlformats-officedocument.drawingml.chart+xml"/>
  <Override PartName="/xl/drawings/drawing14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5.xml" ContentType="application/vnd.openxmlformats-officedocument.drawing+xml"/>
  <Override PartName="/xl/slicers/slicer8.xml" ContentType="application/vnd.ms-excel.slicer+xml"/>
  <Override PartName="/xl/timelines/timeline9.xml" ContentType="application/vnd.ms-excel.timelin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7.xml" ContentType="application/vnd.openxmlformats-officedocument.drawing+xml"/>
  <Override PartName="/xl/slicers/slicer9.xml" ContentType="application/vnd.ms-excel.slicer+xml"/>
  <Override PartName="/xl/timelines/timeline10.xml" ContentType="application/vnd.ms-excel.timelin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Ex2.xml" ContentType="application/vnd.ms-office.chartex+xml"/>
  <Override PartName="/xl/charts/style55.xml" ContentType="application/vnd.ms-office.chartstyle+xml"/>
  <Override PartName="/xl/charts/colors55.xml" ContentType="application/vnd.ms-office.chartcolorstyle+xml"/>
  <Override PartName="/xl/charts/chart55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6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8.xml" ContentType="application/vnd.openxmlformats-officedocument.drawing+xml"/>
  <Override PartName="/xl/slicers/slicer10.xml" ContentType="application/vnd.ms-excel.slicer+xml"/>
  <Override PartName="/xl/timelines/timeline11.xml" ContentType="application/vnd.ms-excel.timeline+xml"/>
  <Override PartName="/xl/charts/chart57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8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9.xml" ContentType="application/vnd.openxmlformats-officedocument.drawingml.chartshapes+xml"/>
  <Override PartName="/xl/charts/chart59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0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20.xml" ContentType="application/vnd.openxmlformats-officedocument.drawing+xml"/>
  <Override PartName="/xl/timelines/timeline12.xml" ContentType="application/vnd.ms-excel.timeline+xml"/>
  <Override PartName="/xl/charts/chart61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2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21.xml" ContentType="application/vnd.openxmlformats-officedocument.drawing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IDIA.CGUIMARAES\Desktop\bootcamp\Aula 16 - Projeto Integrador\"/>
    </mc:Choice>
  </mc:AlternateContent>
  <xr:revisionPtr revIDLastSave="0" documentId="13_ncr:1_{B6EB674B-E1E0-400F-B2BD-68163C49042A}" xr6:coauthVersionLast="47" xr6:coauthVersionMax="47" xr10:uidLastSave="{00000000-0000-0000-0000-000000000000}"/>
  <bookViews>
    <workbookView xWindow="-120" yWindow="-120" windowWidth="20730" windowHeight="11160" tabRatio="908" firstSheet="4" activeTab="16" xr2:uid="{00000000-000D-0000-FFFF-FFFF00000000}"/>
  </bookViews>
  <sheets>
    <sheet name="CustoDeCapitalPA" sheetId="1" state="hidden" r:id="rId1"/>
    <sheet name="CapitalPA-Dinamica" sheetId="2" r:id="rId2"/>
    <sheet name="CustodoEspaço" sheetId="3" state="hidden" r:id="rId3"/>
    <sheet name="CapitalMP-Dinamica" sheetId="13" r:id="rId4"/>
    <sheet name="Espaço-Dinamica" sheetId="11" r:id="rId5"/>
    <sheet name="CustoManutençãodeEquipamento" sheetId="4" state="hidden" r:id="rId6"/>
    <sheet name="Equipamento-Dinamica" sheetId="12" r:id="rId7"/>
    <sheet name="CustoCapitalMP" sheetId="5" state="hidden" r:id="rId8"/>
    <sheet name="Estoque-Dinamica" sheetId="14" r:id="rId9"/>
    <sheet name="comparativo" sheetId="24" r:id="rId10"/>
    <sheet name="Capa" sheetId="26" r:id="rId11"/>
    <sheet name="Pag 1" sheetId="16" r:id="rId12"/>
    <sheet name="Pag 2" sheetId="19" r:id="rId13"/>
    <sheet name="Pag 3" sheetId="20" r:id="rId14"/>
    <sheet name="Pag 4" sheetId="21" r:id="rId15"/>
    <sheet name="Pag 5" sheetId="22" r:id="rId16"/>
    <sheet name="Pag 6" sheetId="23" r:id="rId17"/>
    <sheet name="contra-capa" sheetId="27" r:id="rId18"/>
    <sheet name="CustoEstoque" sheetId="6" state="hidden" r:id="rId19"/>
  </sheets>
  <externalReferences>
    <externalReference r:id="rId20"/>
  </externalReferences>
  <definedNames>
    <definedName name="_xlnm._FilterDatabase" localSheetId="0" hidden="1">CustoDeCapitalPA!$A$1:$H$1</definedName>
    <definedName name="_xlnm._FilterDatabase" localSheetId="5" hidden="1">CustoManutençãodeEquipamento!$K$12:$L$12</definedName>
    <definedName name="_xlchart.v2.0" hidden="1">CustoManutençãodeEquipamento!$K$14:$K$21</definedName>
    <definedName name="_xlchart.v2.1" hidden="1">CustoManutençãodeEquipamento!$L$12</definedName>
    <definedName name="_xlchart.v2.2" hidden="1">CustoManutençãodeEquipamento!$L$14:$L$21</definedName>
    <definedName name="_xlchart.v2.3" hidden="1">CustoManutençãodeEquipamento!$K$14:$K$21</definedName>
    <definedName name="_xlchart.v2.4" hidden="1">CustoManutençãodeEquipamento!$L$12</definedName>
    <definedName name="_xlchart.v2.5" hidden="1">CustoManutençãodeEquipamento!$L$14:$L$21</definedName>
    <definedName name="NativeTimeline_Ano">#N/A</definedName>
    <definedName name="NativeTimeline_Data">#N/A</definedName>
    <definedName name="NativeTimeline_Data1">#N/A</definedName>
    <definedName name="NativeTimeline_Data2">#N/A</definedName>
    <definedName name="NativeTimeline_Data3">#N/A</definedName>
    <definedName name="NativeTimeline_Data4">#N/A</definedName>
    <definedName name="NativeTimeline_Data5">#N/A</definedName>
    <definedName name="SegmentaçãodeDados_Custo">#N/A</definedName>
    <definedName name="SegmentaçãodeDados_Custo1">#N/A</definedName>
    <definedName name="SegmentaçãodeDados_Equipamento">#N/A</definedName>
    <definedName name="SegmentaçãodeDados_Fornecedor">#N/A</definedName>
    <definedName name="SegmentaçãodeDados_Fornecedor1">#N/A</definedName>
    <definedName name="SegmentaçãodeDados_Localizacao">#N/A</definedName>
    <definedName name="SegmentaçãodeDados_Localizacao1">#N/A</definedName>
    <definedName name="SegmentaçãodeDados_Localizacao2">#N/A</definedName>
    <definedName name="SegmentaçãodeDados_Localizacao3">#N/A</definedName>
    <definedName name="SegmentaçãodeDados_Localizacao4">#N/A</definedName>
    <definedName name="SegmentaçãodeDados_MateriaPrima">#N/A</definedName>
    <definedName name="SegmentaçãodeDados_Produto">#N/A</definedName>
    <definedName name="SegmentaçãodeDados_Situacao">#N/A</definedName>
    <definedName name="SegmentaçãodeDados_Situacao1">#N/A</definedName>
    <definedName name="SegmentaçãodeDados_TipoDeManutencao">#N/A</definedName>
  </definedNames>
  <calcPr calcId="191029"/>
  <pivotCaches>
    <pivotCache cacheId="0" r:id="rId21"/>
    <pivotCache cacheId="1" r:id="rId22"/>
    <pivotCache cacheId="2" r:id="rId23"/>
    <pivotCache cacheId="3" r:id="rId24"/>
    <pivotCache cacheId="4" r:id="rId25"/>
    <pivotCache cacheId="5" r:id="rId26"/>
    <pivotCache cacheId="6" r:id="rId27"/>
    <pivotCache cacheId="7" r:id="rId28"/>
  </pivotCaches>
  <extLst>
    <ext xmlns:x14="http://schemas.microsoft.com/office/spreadsheetml/2009/9/main" uri="{BBE1A952-AA13-448e-AADC-164F8A28A991}">
      <x14:slicerCaches>
        <x14:slicerCache r:id="rId29"/>
        <x14:slicerCache r:id="rId30"/>
        <x14:slicerCache r:id="rId31"/>
        <x14:slicerCache r:id="rId32"/>
        <x14:slicerCache r:id="rId33"/>
        <x14:slicerCache r:id="rId34"/>
        <x14:slicerCache r:id="rId35"/>
        <x14:slicerCache r:id="rId36"/>
        <x14:slicerCache r:id="rId37"/>
        <x14:slicerCache r:id="rId38"/>
        <x14:slicerCache r:id="rId39"/>
        <x14:slicerCache r:id="rId40"/>
        <x14:slicerCache r:id="rId41"/>
        <x14:slicerCache r:id="rId42"/>
        <x14:slicerCache r:id="rId4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8" r:id="rId44"/>
      </x15:timelineCachePivotCaches>
    </ext>
    <ext xmlns:x15="http://schemas.microsoft.com/office/spreadsheetml/2010/11/main" uri="{D0CA8CA8-9F24-4464-BF8E-62219DCF47F9}">
      <x15:timelineCacheRefs>
        <x15:timelineCacheRef r:id="rId45"/>
        <x15:timelineCacheRef r:id="rId46"/>
        <x15:timelineCacheRef r:id="rId47"/>
        <x15:timelineCacheRef r:id="rId48"/>
        <x15:timelineCacheRef r:id="rId49"/>
        <x15:timelineCacheRef r:id="rId50"/>
        <x15:timelineCacheRef r:id="rId51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24" l="1"/>
  <c r="D17" i="24"/>
  <c r="D18" i="24"/>
  <c r="E18" i="24" s="1"/>
  <c r="G38" i="24"/>
  <c r="D70" i="12"/>
  <c r="E70" i="12"/>
  <c r="F70" i="12"/>
  <c r="F75" i="12" s="1"/>
  <c r="G70" i="12"/>
  <c r="H70" i="12"/>
  <c r="E75" i="12" s="1"/>
  <c r="I70" i="12"/>
  <c r="G75" i="12" s="1"/>
  <c r="J70" i="12"/>
  <c r="K70" i="12"/>
  <c r="L70" i="12"/>
  <c r="C70" i="12"/>
  <c r="D75" i="12" s="1"/>
  <c r="C2" i="12"/>
  <c r="C2" i="11"/>
  <c r="C2" i="13"/>
  <c r="E28" i="24"/>
  <c r="D28" i="24"/>
  <c r="P4" i="24"/>
  <c r="P3" i="24"/>
  <c r="N4" i="24"/>
  <c r="N3" i="24"/>
  <c r="H4" i="24"/>
  <c r="H3" i="24"/>
  <c r="F4" i="24"/>
  <c r="F3" i="24"/>
  <c r="C2" i="2"/>
  <c r="T4" i="24"/>
  <c r="D5" i="14"/>
  <c r="C2" i="14"/>
  <c r="R4" i="24"/>
  <c r="R3" i="24"/>
  <c r="T3" i="24"/>
  <c r="C114" i="11"/>
  <c r="C19" i="24"/>
  <c r="B4" i="24"/>
  <c r="B3" i="24"/>
  <c r="L3" i="24"/>
  <c r="J4" i="24"/>
  <c r="D37" i="24"/>
  <c r="J3" i="24"/>
  <c r="D3" i="24"/>
  <c r="B36" i="24"/>
  <c r="L4" i="24"/>
  <c r="B37" i="24"/>
  <c r="D4" i="24"/>
  <c r="D36" i="24"/>
  <c r="B38" i="24" l="1"/>
  <c r="C37" i="24" s="1"/>
  <c r="D38" i="24"/>
  <c r="E36" i="24" s="1"/>
  <c r="B8" i="24"/>
  <c r="B9" i="24"/>
  <c r="B5" i="24"/>
  <c r="C3" i="24" s="1"/>
  <c r="D5" i="24"/>
  <c r="E3" i="24" s="1"/>
  <c r="T5" i="24"/>
  <c r="U3" i="24" s="1"/>
  <c r="R5" i="24"/>
  <c r="S3" i="24" s="1"/>
  <c r="P5" i="24"/>
  <c r="Q3" i="24" s="1"/>
  <c r="N5" i="24"/>
  <c r="O3" i="24" s="1"/>
  <c r="H5" i="24"/>
  <c r="I3" i="24" s="1"/>
  <c r="F5" i="24"/>
  <c r="G3" i="24" s="1"/>
  <c r="L5" i="24"/>
  <c r="M3" i="24" s="1"/>
  <c r="J5" i="24"/>
  <c r="K3" i="24" s="1"/>
  <c r="C75" i="12"/>
  <c r="M39" i="12"/>
  <c r="L39" i="12"/>
  <c r="K39" i="12"/>
  <c r="J39" i="12"/>
  <c r="I39" i="12"/>
  <c r="H39" i="12"/>
  <c r="C5" i="2"/>
  <c r="C6" i="2"/>
  <c r="C7" i="2"/>
  <c r="C8" i="2"/>
  <c r="C9" i="2"/>
  <c r="C10" i="2"/>
  <c r="C11" i="2"/>
  <c r="C12" i="2"/>
  <c r="C4" i="2"/>
  <c r="C36" i="24" l="1"/>
  <c r="C38" i="24" s="1"/>
  <c r="E37" i="24"/>
  <c r="E38" i="24" s="1"/>
  <c r="S4" i="24"/>
  <c r="S5" i="24" s="1"/>
  <c r="Q4" i="24"/>
  <c r="Q5" i="24" s="1"/>
  <c r="O4" i="24"/>
  <c r="O5" i="24" s="1"/>
  <c r="U4" i="24"/>
  <c r="U5" i="24" s="1"/>
  <c r="M4" i="24"/>
  <c r="M5" i="24" s="1"/>
  <c r="G4" i="24"/>
  <c r="G5" i="24" s="1"/>
  <c r="K4" i="24"/>
  <c r="K5" i="24" s="1"/>
  <c r="E4" i="24"/>
  <c r="E5" i="24" s="1"/>
  <c r="I4" i="24"/>
  <c r="I5" i="24" s="1"/>
  <c r="C4" i="24"/>
  <c r="C5" i="24" s="1"/>
  <c r="B25" i="13"/>
  <c r="C43" i="2"/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H204" i="4"/>
  <c r="K10" i="4" s="1"/>
  <c r="K3" i="4"/>
  <c r="H203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D2" i="11"/>
  <c r="D2" i="12"/>
  <c r="D2" i="13"/>
  <c r="D2" i="2"/>
  <c r="D2" i="14"/>
  <c r="K4" i="4" l="1"/>
  <c r="K5" i="4"/>
  <c r="K6" i="4"/>
  <c r="J203" i="3"/>
  <c r="K7" i="4"/>
  <c r="K8" i="4"/>
  <c r="K9" i="4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" i="1"/>
  <c r="K23" i="1" l="1"/>
  <c r="J11" i="1"/>
  <c r="I203" i="1"/>
  <c r="J2" i="1"/>
  <c r="J203" i="1" s="1"/>
  <c r="K20" i="1"/>
  <c r="K6" i="1"/>
  <c r="K17" i="1"/>
  <c r="K3" i="1"/>
  <c r="K26" i="1"/>
  <c r="K13" i="1"/>
  <c r="K9" i="1"/>
</calcChain>
</file>

<file path=xl/sharedStrings.xml><?xml version="1.0" encoding="utf-8"?>
<sst xmlns="http://schemas.openxmlformats.org/spreadsheetml/2006/main" count="4455" uniqueCount="180">
  <si>
    <t>Id</t>
  </si>
  <si>
    <t>Produto</t>
  </si>
  <si>
    <t>Codigo</t>
  </si>
  <si>
    <t>Quantidade</t>
  </si>
  <si>
    <t>Localizacao</t>
  </si>
  <si>
    <t>Situacao</t>
  </si>
  <si>
    <t>Data</t>
  </si>
  <si>
    <t>Valor</t>
  </si>
  <si>
    <t>E190</t>
  </si>
  <si>
    <t>AE190</t>
  </si>
  <si>
    <t>Obsoleto</t>
  </si>
  <si>
    <t>EMB 314 Super Tucano</t>
  </si>
  <si>
    <t>AE314</t>
  </si>
  <si>
    <t>Preator 600</t>
  </si>
  <si>
    <t>AE600</t>
  </si>
  <si>
    <t>E195</t>
  </si>
  <si>
    <t>AE195</t>
  </si>
  <si>
    <t>Avariado</t>
  </si>
  <si>
    <t>KC390</t>
  </si>
  <si>
    <t>AE390</t>
  </si>
  <si>
    <t>Legacy 600</t>
  </si>
  <si>
    <t>Phenom 100</t>
  </si>
  <si>
    <t>AE100</t>
  </si>
  <si>
    <t>ERJ 145XR</t>
  </si>
  <si>
    <t>AE14X</t>
  </si>
  <si>
    <t>EMB 145 AEW&amp;C</t>
  </si>
  <si>
    <t>AE145</t>
  </si>
  <si>
    <t>Armazém D</t>
  </si>
  <si>
    <t>Armazém C</t>
  </si>
  <si>
    <t>Armazém B</t>
  </si>
  <si>
    <t>Armazém A</t>
  </si>
  <si>
    <t>Disponível</t>
  </si>
  <si>
    <t>Em Produção</t>
  </si>
  <si>
    <t>Total</t>
  </si>
  <si>
    <t>Rótulos de Linha</t>
  </si>
  <si>
    <t>Total Geral</t>
  </si>
  <si>
    <t>Soma de Quantidade</t>
  </si>
  <si>
    <t>Soma de Valor</t>
  </si>
  <si>
    <t>Custo</t>
  </si>
  <si>
    <t>Fornecedor</t>
  </si>
  <si>
    <t>Valor Unitário</t>
  </si>
  <si>
    <t>Limpeza</t>
  </si>
  <si>
    <t>MilClean</t>
  </si>
  <si>
    <t>Seguro Carga</t>
  </si>
  <si>
    <t>Porto Seguro</t>
  </si>
  <si>
    <t>IPTU</t>
  </si>
  <si>
    <t>Prefeitura Municipal</t>
  </si>
  <si>
    <t>Energia Eletrica</t>
  </si>
  <si>
    <t>EDP Brasil</t>
  </si>
  <si>
    <t>Ar Condicionado</t>
  </si>
  <si>
    <t>Frigelar</t>
  </si>
  <si>
    <t>Aluguel</t>
  </si>
  <si>
    <t>Locadora SA</t>
  </si>
  <si>
    <t>Agua</t>
  </si>
  <si>
    <t>SABESP</t>
  </si>
  <si>
    <t>Seguro Local</t>
  </si>
  <si>
    <t>Mapfre Seguros</t>
  </si>
  <si>
    <t>Equipamento</t>
  </si>
  <si>
    <t>TipoDeManutencao</t>
  </si>
  <si>
    <t>LocalFornecedor</t>
  </si>
  <si>
    <t>Paleteira</t>
  </si>
  <si>
    <t>Preventiva</t>
  </si>
  <si>
    <t>EquipaMais</t>
  </si>
  <si>
    <t>Campinas</t>
  </si>
  <si>
    <t>Plataforma</t>
  </si>
  <si>
    <t>EmbySeven</t>
  </si>
  <si>
    <t>São José dos Campos</t>
  </si>
  <si>
    <t>AGVs</t>
  </si>
  <si>
    <t>Doutor Equipamentos</t>
  </si>
  <si>
    <t>Taubate</t>
  </si>
  <si>
    <t>Macaco</t>
  </si>
  <si>
    <t>Preditiva</t>
  </si>
  <si>
    <t>EquipaCenter</t>
  </si>
  <si>
    <t>São Paulo</t>
  </si>
  <si>
    <t>Florianopolis</t>
  </si>
  <si>
    <t>Belo Horizonte</t>
  </si>
  <si>
    <t>Gavião Peixoto</t>
  </si>
  <si>
    <t>Esteira</t>
  </si>
  <si>
    <t>Tools SA</t>
  </si>
  <si>
    <t>Salvador</t>
  </si>
  <si>
    <t>Rio De Janeiro</t>
  </si>
  <si>
    <t>Leitores</t>
  </si>
  <si>
    <t>Ponte rolante</t>
  </si>
  <si>
    <t>Corretiva</t>
  </si>
  <si>
    <t>Tech Center</t>
  </si>
  <si>
    <t>Escada</t>
  </si>
  <si>
    <t>Botucatu</t>
  </si>
  <si>
    <t>Conal</t>
  </si>
  <si>
    <t>Manutenção SA</t>
  </si>
  <si>
    <t>Empilhadeira</t>
  </si>
  <si>
    <t>MateriaPrima</t>
  </si>
  <si>
    <t>ValorUnit</t>
  </si>
  <si>
    <t>Medida</t>
  </si>
  <si>
    <t>Fibra de Carbono</t>
  </si>
  <si>
    <t>MP1050</t>
  </si>
  <si>
    <t>Armazem D</t>
  </si>
  <si>
    <t>Bloco</t>
  </si>
  <si>
    <t>Liga de Aço</t>
  </si>
  <si>
    <t>MP1020</t>
  </si>
  <si>
    <t>Armazem B</t>
  </si>
  <si>
    <t>Kilos</t>
  </si>
  <si>
    <t>Liga de Titânio</t>
  </si>
  <si>
    <t>MP1030</t>
  </si>
  <si>
    <t>Armazem A</t>
  </si>
  <si>
    <t>HoneyKomb</t>
  </si>
  <si>
    <t>MP1090</t>
  </si>
  <si>
    <t>Depreciado</t>
  </si>
  <si>
    <t>Em processo</t>
  </si>
  <si>
    <t>Liga de Aluminio 7075</t>
  </si>
  <si>
    <t>MP7075</t>
  </si>
  <si>
    <t>Armazem C</t>
  </si>
  <si>
    <t>Espuma</t>
  </si>
  <si>
    <t>MP1080</t>
  </si>
  <si>
    <t>Metro</t>
  </si>
  <si>
    <t xml:space="preserve">Fibra de vidro </t>
  </si>
  <si>
    <t>MP1040</t>
  </si>
  <si>
    <t>Unidade</t>
  </si>
  <si>
    <t>Tecido Kevlar</t>
  </si>
  <si>
    <t>MP1070</t>
  </si>
  <si>
    <t>Resina Epoxi</t>
  </si>
  <si>
    <t>MP1060</t>
  </si>
  <si>
    <t>ValorUnitario</t>
  </si>
  <si>
    <t>Mao de Obra</t>
  </si>
  <si>
    <t>Recebimento</t>
  </si>
  <si>
    <t>Preparacao</t>
  </si>
  <si>
    <t>Deslocamento Medio</t>
  </si>
  <si>
    <t>Expedicao</t>
  </si>
  <si>
    <t>Estocagem</t>
  </si>
  <si>
    <t>Custo Armazém D</t>
  </si>
  <si>
    <t>Custo Armazém C</t>
  </si>
  <si>
    <t>Custo Armazém B</t>
  </si>
  <si>
    <t>Custo Armazém A</t>
  </si>
  <si>
    <t>Total Obsoleto</t>
  </si>
  <si>
    <t>Total Disponível</t>
  </si>
  <si>
    <t>Total Em Produção</t>
  </si>
  <si>
    <t>Total Avariado</t>
  </si>
  <si>
    <t>Soma de Total</t>
  </si>
  <si>
    <t>2022</t>
  </si>
  <si>
    <t>Trim1</t>
  </si>
  <si>
    <t>Trim2</t>
  </si>
  <si>
    <t>Trim3</t>
  </si>
  <si>
    <t>Trim4</t>
  </si>
  <si>
    <t>2023</t>
  </si>
  <si>
    <t>Imposto</t>
  </si>
  <si>
    <t>total</t>
  </si>
  <si>
    <t>imposto</t>
  </si>
  <si>
    <t>Contagem de Fornecedor</t>
  </si>
  <si>
    <t>valor</t>
  </si>
  <si>
    <t>fornecedor</t>
  </si>
  <si>
    <t>Rótulos de Coluna</t>
  </si>
  <si>
    <t>valor total</t>
  </si>
  <si>
    <t>Contagem de Custo</t>
  </si>
  <si>
    <t>Contagem de Equipamento</t>
  </si>
  <si>
    <t>SP</t>
  </si>
  <si>
    <t>MG</t>
  </si>
  <si>
    <t>RJ</t>
  </si>
  <si>
    <t>SC</t>
  </si>
  <si>
    <t>BA</t>
  </si>
  <si>
    <t>quantidade</t>
  </si>
  <si>
    <t>quantiddade</t>
  </si>
  <si>
    <t>CAPITAL PA</t>
  </si>
  <si>
    <t>CAPITAL MP</t>
  </si>
  <si>
    <t>ESPAÇO</t>
  </si>
  <si>
    <t>EQUIPAMENTOS</t>
  </si>
  <si>
    <t>ESTOQUE</t>
  </si>
  <si>
    <t>ANO</t>
  </si>
  <si>
    <t>TOTAL</t>
  </si>
  <si>
    <t>QUANTIDADE</t>
  </si>
  <si>
    <t>TIPO</t>
  </si>
  <si>
    <t>% PARTICIPAÇÃO</t>
  </si>
  <si>
    <t>Ano</t>
  </si>
  <si>
    <t>Total do Custo</t>
  </si>
  <si>
    <t>Soma de Total do Custo</t>
  </si>
  <si>
    <t>TOTAL GERAL</t>
  </si>
  <si>
    <t>Soma de % PARTICIPAÇÃO</t>
  </si>
  <si>
    <t>Soma de % PARTICIPAÇÃO2</t>
  </si>
  <si>
    <t>Soma de TOTAL</t>
  </si>
  <si>
    <t>Soma de QUANTIDADE</t>
  </si>
  <si>
    <t>Total Soma de TOTAL</t>
  </si>
  <si>
    <t>Total Soma de 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</si>
</sst>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5" formatCode="_-&quot;R$&quot;\ * #,##0_-;\-&quot;R$&quot;\ * #,##0_-;_-&quot;R$&quot;\ * &quot;-&quot;??_-;_-@_-"/>
    <numFmt numFmtId="166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CC0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8" fillId="33" borderId="0" xfId="0" applyFont="1" applyFill="1" applyAlignment="1">
      <alignment horizontal="center" vertical="center"/>
    </xf>
    <xf numFmtId="44" fontId="18" fillId="33" borderId="0" xfId="1" applyFont="1" applyFill="1" applyAlignment="1">
      <alignment horizontal="center" vertical="center"/>
    </xf>
    <xf numFmtId="0" fontId="0" fillId="34" borderId="0" xfId="0" applyFill="1"/>
    <xf numFmtId="0" fontId="19" fillId="34" borderId="0" xfId="0" applyFont="1" applyFill="1"/>
    <xf numFmtId="9" fontId="0" fillId="0" borderId="0" xfId="43" applyFont="1"/>
    <xf numFmtId="0" fontId="0" fillId="35" borderId="0" xfId="0" applyFill="1"/>
    <xf numFmtId="9" fontId="0" fillId="0" borderId="0" xfId="0" applyNumberFormat="1"/>
    <xf numFmtId="9" fontId="0" fillId="0" borderId="0" xfId="0" applyNumberFormat="1" applyAlignment="1">
      <alignment horizontal="left"/>
    </xf>
    <xf numFmtId="9" fontId="0" fillId="0" borderId="0" xfId="0" applyNumberFormat="1" applyAlignment="1">
      <alignment horizontal="left" indent="1"/>
    </xf>
    <xf numFmtId="0" fontId="0" fillId="35" borderId="13" xfId="0" applyFill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Porcentagem" xfId="43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47"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164" formatCode="&quot;R$&quot;\ #,##0.00"/>
    </dxf>
    <dxf>
      <numFmt numFmtId="19" formatCode="dd/mm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0" formatCode="General"/>
    </dxf>
    <dxf>
      <numFmt numFmtId="0" formatCode="General"/>
    </dxf>
    <dxf>
      <numFmt numFmtId="165" formatCode="_-&quot;R$&quot;\ * #,##0_-;\-&quot;R$&quot;\ * #,##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6" formatCode="_-* #,##0_-;\-* #,##0_-;_-* &quot;-&quot;??_-;_-@_-"/>
    </dxf>
    <dxf>
      <numFmt numFmtId="34" formatCode="_-&quot;R$&quot;\ * #,##0.00_-;\-&quot;R$&quot;\ * #,##0.00_-;_-&quot;R$&quot;\ * &quot;-&quot;??_-;_-@_-"/>
    </dxf>
    <dxf>
      <numFmt numFmtId="166" formatCode="_-* #,##0_-;\-* #,##0_-;_-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</dxfs>
  <tableStyles count="0" defaultTableStyle="TableStyleMedium2" defaultPivotStyle="PivotStyleLight16"/>
  <colors>
    <mruColors>
      <color rgb="FF12239E"/>
      <color rgb="FF49EA17"/>
      <color rgb="FFF9EA17"/>
      <color rgb="FF118DFF"/>
      <color rgb="FF098A1A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6.xml"/><Relationship Id="rId39" Type="http://schemas.microsoft.com/office/2007/relationships/slicerCache" Target="slicerCaches/slicerCache11.xml"/><Relationship Id="rId21" Type="http://schemas.openxmlformats.org/officeDocument/2006/relationships/pivotCacheDefinition" Target="pivotCache/pivotCacheDefinition1.xml"/><Relationship Id="rId34" Type="http://schemas.microsoft.com/office/2007/relationships/slicerCache" Target="slicerCaches/slicerCache6.xml"/><Relationship Id="rId42" Type="http://schemas.microsoft.com/office/2007/relationships/slicerCache" Target="slicerCaches/slicerCache14.xml"/><Relationship Id="rId47" Type="http://schemas.microsoft.com/office/2011/relationships/timelineCache" Target="timelineCaches/timelineCache3.xml"/><Relationship Id="rId50" Type="http://schemas.microsoft.com/office/2011/relationships/timelineCache" Target="timelineCaches/timelineCache6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07/relationships/slicerCache" Target="slicerCaches/slicerCache1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32" Type="http://schemas.microsoft.com/office/2007/relationships/slicerCache" Target="slicerCaches/slicerCache4.xml"/><Relationship Id="rId37" Type="http://schemas.microsoft.com/office/2007/relationships/slicerCache" Target="slicerCaches/slicerCache9.xml"/><Relationship Id="rId40" Type="http://schemas.microsoft.com/office/2007/relationships/slicerCache" Target="slicerCaches/slicerCache12.xml"/><Relationship Id="rId45" Type="http://schemas.microsoft.com/office/2011/relationships/timelineCache" Target="timelineCaches/timelineCache1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07/relationships/slicerCache" Target="slicerCaches/slicerCache3.xml"/><Relationship Id="rId44" Type="http://schemas.openxmlformats.org/officeDocument/2006/relationships/pivotCacheDefinition" Target="pivotCache/pivotCacheDefinition9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pivotCacheDefinition" Target="pivotCache/pivotCacheDefinition7.xml"/><Relationship Id="rId30" Type="http://schemas.microsoft.com/office/2007/relationships/slicerCache" Target="slicerCaches/slicerCache2.xml"/><Relationship Id="rId35" Type="http://schemas.microsoft.com/office/2007/relationships/slicerCache" Target="slicerCaches/slicerCache7.xml"/><Relationship Id="rId43" Type="http://schemas.microsoft.com/office/2007/relationships/slicerCache" Target="slicerCaches/slicerCache15.xml"/><Relationship Id="rId48" Type="http://schemas.microsoft.com/office/2011/relationships/timelineCache" Target="timelineCaches/timelineCache4.xml"/><Relationship Id="rId8" Type="http://schemas.openxmlformats.org/officeDocument/2006/relationships/worksheet" Target="worksheets/sheet8.xml"/><Relationship Id="rId51" Type="http://schemas.microsoft.com/office/2011/relationships/timelineCache" Target="timelineCaches/timelineCache7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5.xml"/><Relationship Id="rId33" Type="http://schemas.microsoft.com/office/2007/relationships/slicerCache" Target="slicerCaches/slicerCache5.xml"/><Relationship Id="rId38" Type="http://schemas.microsoft.com/office/2007/relationships/slicerCache" Target="slicerCaches/slicerCache10.xml"/><Relationship Id="rId46" Type="http://schemas.microsoft.com/office/2011/relationships/timelineCache" Target="timelineCaches/timelineCache2.xml"/><Relationship Id="rId20" Type="http://schemas.openxmlformats.org/officeDocument/2006/relationships/externalLink" Target="externalLinks/externalLink1.xml"/><Relationship Id="rId41" Type="http://schemas.microsoft.com/office/2007/relationships/slicerCache" Target="slicerCaches/slicerCache13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pivotCacheDefinition" Target="pivotCache/pivotCacheDefinition8.xml"/><Relationship Id="rId36" Type="http://schemas.microsoft.com/office/2007/relationships/slicerCache" Target="slicerCaches/slicerCache8.xml"/><Relationship Id="rId49" Type="http://schemas.microsoft.com/office/2011/relationships/timelineCache" Target="timelineCaches/timeline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FB-462B-87BF-5A1D693D53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FB-462B-87BF-5A1D693D53C8}"/>
              </c:ext>
            </c:extLst>
          </c:dPt>
          <c:cat>
            <c:strRef>
              <c:f>CustoDeCapitalPA!$I$202:$J$202</c:f>
              <c:strCache>
                <c:ptCount val="2"/>
                <c:pt idx="0">
                  <c:v> total </c:v>
                </c:pt>
                <c:pt idx="1">
                  <c:v> imposto </c:v>
                </c:pt>
              </c:strCache>
            </c:strRef>
          </c:cat>
          <c:val>
            <c:numRef>
              <c:f>CustoDeCapitalPA!$I$203:$J$203</c:f>
              <c:numCache>
                <c:formatCode>_("R$"* #,##0.00_);_("R$"* \(#,##0.00\);_("R$"* "-"??_);_(@_)</c:formatCode>
                <c:ptCount val="2"/>
                <c:pt idx="0">
                  <c:v>64997900000</c:v>
                </c:pt>
                <c:pt idx="1">
                  <c:v>19499370000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8-46EF-8FAB-D5047C93B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D1-4EEE-B1D2-D363BFD9BE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D1-4EEE-B1D2-D363BFD9BE26}"/>
              </c:ext>
            </c:extLst>
          </c:dPt>
          <c:cat>
            <c:strRef>
              <c:f>(CustodoEspaço!$H$202,CustodoEspaço!$J$202)</c:f>
              <c:strCache>
                <c:ptCount val="2"/>
                <c:pt idx="0">
                  <c:v> Total </c:v>
                </c:pt>
                <c:pt idx="1">
                  <c:v> Imposto </c:v>
                </c:pt>
              </c:strCache>
            </c:strRef>
          </c:cat>
          <c:val>
            <c:numRef>
              <c:f>(CustodoEspaço!$H$203,CustodoEspaço!$J$203)</c:f>
              <c:numCache>
                <c:formatCode>_("R$"* #,##0.00_);_("R$"* \(#,##0.00\);_("R$"* "-"??_);_(@_)</c:formatCode>
                <c:ptCount val="2"/>
                <c:pt idx="0">
                  <c:v>11687050</c:v>
                </c:pt>
                <c:pt idx="1">
                  <c:v>3506115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F-42B5-A857-E54E0AB00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[Dashboard_Projeto_Grupo_7_Custo_Manutenção_de_Estoque.xlsx]CapitalMP-Dinamica!Tabela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Materia prima</a:t>
            </a:r>
            <a:r>
              <a:rPr lang="pt-BR" baseline="0"/>
              <a:t> x quantidade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'CapitalMP-Dinamica'!$B$18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'CapitalMP-Dinamica'!$A$19:$A$23</c:f>
              <c:strCache>
                <c:ptCount val="4"/>
                <c:pt idx="0">
                  <c:v>Depreciado</c:v>
                </c:pt>
                <c:pt idx="1">
                  <c:v>Disponível</c:v>
                </c:pt>
                <c:pt idx="2">
                  <c:v>Em processo</c:v>
                </c:pt>
                <c:pt idx="3">
                  <c:v>Obsoleto</c:v>
                </c:pt>
              </c:strCache>
            </c:strRef>
          </c:cat>
          <c:val>
            <c:numRef>
              <c:f>'CapitalMP-Dinamica'!$B$19:$B$23</c:f>
              <c:numCache>
                <c:formatCode>General</c:formatCode>
                <c:ptCount val="4"/>
                <c:pt idx="0">
                  <c:v>12100</c:v>
                </c:pt>
                <c:pt idx="1">
                  <c:v>15450</c:v>
                </c:pt>
                <c:pt idx="2">
                  <c:v>9400</c:v>
                </c:pt>
                <c:pt idx="3">
                  <c:v>16250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C-4CF7-B15C-EB9B87F00D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979680"/>
        <c:axId val="1019192256"/>
      </c:barChart>
      <c:catAx>
        <c:axId val="22297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9192256"/>
        <c:crosses val="autoZero"/>
        <c:auto val="1"/>
        <c:lblAlgn val="ctr"/>
        <c:lblOffset val="100"/>
        <c:noMultiLvlLbl val="0"/>
      </c:catAx>
      <c:valAx>
        <c:axId val="10191922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297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[Dashboard_Projeto_Grupo_7_Custo_Manutenção_de_Estoque.xlsx]CapitalMP-Dinamica!Tabela dinâmica5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materia prima</a:t>
            </a:r>
            <a:r>
              <a:rPr lang="pt-BR" baseline="0"/>
              <a:t> x valor total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'CapitalMP-Dinamica'!$B$32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'CapitalMP-Dinamica'!$A$33:$A$42</c:f>
              <c:strCache>
                <c:ptCount val="9"/>
                <c:pt idx="0">
                  <c:v>Liga de Aluminio 7075</c:v>
                </c:pt>
                <c:pt idx="1">
                  <c:v>Fibra de Carbono</c:v>
                </c:pt>
                <c:pt idx="2">
                  <c:v>Liga de Titânio</c:v>
                </c:pt>
                <c:pt idx="3">
                  <c:v>Tecido Kevlar</c:v>
                </c:pt>
                <c:pt idx="4">
                  <c:v>HoneyKomb</c:v>
                </c:pt>
                <c:pt idx="5">
                  <c:v>Fibra de vidro </c:v>
                </c:pt>
                <c:pt idx="6">
                  <c:v>Liga de Aço</c:v>
                </c:pt>
                <c:pt idx="7">
                  <c:v>Espuma</c:v>
                </c:pt>
                <c:pt idx="8">
                  <c:v>Resina Epoxi</c:v>
                </c:pt>
              </c:strCache>
            </c:strRef>
          </c:cat>
          <c:val>
            <c:numRef>
              <c:f>'CapitalMP-Dinamica'!$B$33:$B$42</c:f>
              <c:numCache>
                <c:formatCode>_("R$"* #,##0.00_);_("R$"* \(#,##0.00\);_("R$"* "-"??_);_(@_)</c:formatCode>
                <c:ptCount val="9"/>
                <c:pt idx="0">
                  <c:v>34125000</c:v>
                </c:pt>
                <c:pt idx="1">
                  <c:v>16800000</c:v>
                </c:pt>
                <c:pt idx="2">
                  <c:v>10400000</c:v>
                </c:pt>
                <c:pt idx="3">
                  <c:v>7200000</c:v>
                </c:pt>
                <c:pt idx="4">
                  <c:v>5440000</c:v>
                </c:pt>
                <c:pt idx="5">
                  <c:v>4150000</c:v>
                </c:pt>
                <c:pt idx="6">
                  <c:v>4150000</c:v>
                </c:pt>
                <c:pt idx="7">
                  <c:v>1725000</c:v>
                </c:pt>
                <c:pt idx="8">
                  <c:v>1545000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5-4062-9EAB-AFF58FB215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2911552"/>
        <c:axId val="1019199696"/>
      </c:barChart>
      <c:catAx>
        <c:axId val="19291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9199696"/>
        <c:crosses val="autoZero"/>
        <c:auto val="1"/>
        <c:lblAlgn val="ctr"/>
        <c:lblOffset val="100"/>
        <c:noMultiLvlLbl val="0"/>
      </c:catAx>
      <c:valAx>
        <c:axId val="10191996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291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[Dashboard_Projeto_Grupo_7_Custo_Manutenção_de_Estoque.xlsx]CapitalMP-Dinamica!Tabela dinâmica7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medida x quantidade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'CapitalMP-Dinamica'!$B$46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38-44CC-874B-39A4AD416F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38-44CC-874B-39A4AD416F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38-44CC-874B-39A4AD416F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38-44CC-874B-39A4AD416F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'CapitalMP-Dinamica'!$A$47:$A$51</c:f>
              <c:strCache>
                <c:ptCount val="4"/>
                <c:pt idx="0">
                  <c:v>Armazem A</c:v>
                </c:pt>
                <c:pt idx="1">
                  <c:v>Armazem D</c:v>
                </c:pt>
                <c:pt idx="2">
                  <c:v>Armazem B</c:v>
                </c:pt>
                <c:pt idx="3">
                  <c:v>Armazem C</c:v>
                </c:pt>
              </c:strCache>
            </c:strRef>
          </c:cat>
          <c:val>
            <c:numRef>
              <c:f>'CapitalMP-Dinamica'!$B$47:$B$51</c:f>
              <c:numCache>
                <c:formatCode>_("R$"* #,##0.00_);_("R$"* \(#,##0.00\);_("R$"* "-"??_);_(@_)</c:formatCode>
                <c:ptCount val="4"/>
                <c:pt idx="0">
                  <c:v>17535000</c:v>
                </c:pt>
                <c:pt idx="1">
                  <c:v>21590000</c:v>
                </c:pt>
                <c:pt idx="2">
                  <c:v>22075000</c:v>
                </c:pt>
                <c:pt idx="3">
                  <c:v>24335000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84-4EA0-A4B4-F96A1326DD4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[Dashboard_Projeto_Grupo_7_Custo_Manutenção_de_Estoque.xlsx]CapitalMP-Dinamica!Tabela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'CapitalMP-Dinamica'!$B$55:$B$56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'CapitalMP-Dinamica'!$A$57:$A$61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'CapitalMP-Dinamica'!$B$57:$B$61</c:f>
              <c:numCache>
                <c:formatCode>General</c:formatCode>
                <c:ptCount val="4"/>
                <c:pt idx="0">
                  <c:v>10235000</c:v>
                </c:pt>
                <c:pt idx="1">
                  <c:v>7000000</c:v>
                </c:pt>
                <c:pt idx="2">
                  <c:v>15955000</c:v>
                </c:pt>
                <c:pt idx="3">
                  <c:v>7275000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D-45CD-940B-DC6F9F8885C0}"/>
            </c:ext>
          </c:extLst>
        </c:ser>
        <c:ser>
          <c:idx val="1"/>
          <c:order val="1"/>
          <c:tx>
            <c:strRef>
              <c:f>'CapitalMP-Dinamica'!$C$55:$C$56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'CapitalMP-Dinamica'!$A$57:$A$61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'CapitalMP-Dinamica'!$C$57:$C$61</c:f>
              <c:numCache>
                <c:formatCode>General</c:formatCode>
                <c:ptCount val="4"/>
                <c:pt idx="0">
                  <c:v>13565000</c:v>
                </c:pt>
                <c:pt idx="1">
                  <c:v>11930000</c:v>
                </c:pt>
                <c:pt idx="2">
                  <c:v>8800000</c:v>
                </c:pt>
                <c:pt idx="3">
                  <c:v>10775000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5-4E4E-AC29-8CD87A2F2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3343679"/>
        <c:axId val="1213344095"/>
        <c:axId val="0"/>
      </c:bar3DChart>
      <c:catAx>
        <c:axId val="121334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344095"/>
        <c:crosses val="autoZero"/>
        <c:auto val="1"/>
        <c:lblAlgn val="ctr"/>
        <c:lblOffset val="100"/>
        <c:noMultiLvlLbl val="0"/>
      </c:catAx>
      <c:valAx>
        <c:axId val="121334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34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66163604549427"/>
          <c:y val="0.43453740157480325"/>
          <c:w val="0.10625002323928767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[Dashboard_Projeto_Grupo_7_Custo_Manutenção_de_Estoque.xlsx]CapitalMP-Dinamica!Tabela dinâmica4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'CapitalMP-Dinamica'!$B$18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'CapitalMP-Dinamica'!$A$19:$A$23</c:f>
              <c:strCache>
                <c:ptCount val="4"/>
                <c:pt idx="0">
                  <c:v>Depreciado</c:v>
                </c:pt>
                <c:pt idx="1">
                  <c:v>Disponível</c:v>
                </c:pt>
                <c:pt idx="2">
                  <c:v>Em processo</c:v>
                </c:pt>
                <c:pt idx="3">
                  <c:v>Obsoleto</c:v>
                </c:pt>
              </c:strCache>
            </c:strRef>
          </c:cat>
          <c:val>
            <c:numRef>
              <c:f>'CapitalMP-Dinamica'!$B$19:$B$23</c:f>
              <c:numCache>
                <c:formatCode>General</c:formatCode>
                <c:ptCount val="4"/>
                <c:pt idx="0">
                  <c:v>12100</c:v>
                </c:pt>
                <c:pt idx="1">
                  <c:v>15450</c:v>
                </c:pt>
                <c:pt idx="2">
                  <c:v>9400</c:v>
                </c:pt>
                <c:pt idx="3">
                  <c:v>16250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7-4190-AEDF-9B18819D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119183"/>
        <c:axId val="2092118767"/>
      </c:barChart>
      <c:catAx>
        <c:axId val="20921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2118767"/>
        <c:crosses val="autoZero"/>
        <c:auto val="1"/>
        <c:lblAlgn val="ctr"/>
        <c:lblOffset val="100"/>
        <c:noMultiLvlLbl val="0"/>
      </c:catAx>
      <c:valAx>
        <c:axId val="209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211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[Dashboard_Projeto_Grupo_7_Custo_Manutenção_de_Estoque.xlsx]CapitalMP-Dinamica!Tabela dinâmica7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4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4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4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4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4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4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4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'CapitalMP-Dinamica'!$B$46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42-47C4-9E6B-61177F6FAF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42-47C4-9E6B-61177F6FAFC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42-47C4-9E6B-61177F6FAFC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42-47C4-9E6B-61177F6FAF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'CapitalMP-Dinamica'!$A$47:$A$51</c:f>
              <c:strCache>
                <c:ptCount val="4"/>
                <c:pt idx="0">
                  <c:v>Armazem A</c:v>
                </c:pt>
                <c:pt idx="1">
                  <c:v>Armazem D</c:v>
                </c:pt>
                <c:pt idx="2">
                  <c:v>Armazem B</c:v>
                </c:pt>
                <c:pt idx="3">
                  <c:v>Armazem C</c:v>
                </c:pt>
              </c:strCache>
            </c:strRef>
          </c:cat>
          <c:val>
            <c:numRef>
              <c:f>'CapitalMP-Dinamica'!$B$47:$B$51</c:f>
              <c:numCache>
                <c:formatCode>_("R$"* #,##0.00_);_("R$"* \(#,##0.00\);_("R$"* "-"??_);_(@_)</c:formatCode>
                <c:ptCount val="4"/>
                <c:pt idx="0">
                  <c:v>17535000</c:v>
                </c:pt>
                <c:pt idx="1">
                  <c:v>21590000</c:v>
                </c:pt>
                <c:pt idx="2">
                  <c:v>22075000</c:v>
                </c:pt>
                <c:pt idx="3">
                  <c:v>24335000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E-4E11-AC2E-BF286FAF123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[Dashboard_Projeto_Grupo_7_Custo_Manutenção_de_Estoque.xlsx]CapitalMP-Dinamica!Tabela dinâmica3</c:name>
    <c:fmtId val="2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'CapitalMP-Dinamica'!$B$64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'CapitalMP-Dinamica'!$A$65:$A$69</c:f>
              <c:strCache>
                <c:ptCount val="4"/>
                <c:pt idx="0">
                  <c:v>Armazem A</c:v>
                </c:pt>
                <c:pt idx="1">
                  <c:v>Armazem D</c:v>
                </c:pt>
                <c:pt idx="2">
                  <c:v>Armazem C</c:v>
                </c:pt>
                <c:pt idx="3">
                  <c:v>Armazem B</c:v>
                </c:pt>
              </c:strCache>
            </c:strRef>
          </c:cat>
          <c:val>
            <c:numRef>
              <c:f>'CapitalMP-Dinamica'!$B$65:$B$69</c:f>
              <c:numCache>
                <c:formatCode>_-* #,##0_-;\-* #,##0_-;_-* "-"??_-;_-@_-</c:formatCode>
                <c:ptCount val="4"/>
                <c:pt idx="0">
                  <c:v>9300</c:v>
                </c:pt>
                <c:pt idx="1">
                  <c:v>13600</c:v>
                </c:pt>
                <c:pt idx="2">
                  <c:v>14550</c:v>
                </c:pt>
                <c:pt idx="3">
                  <c:v>15750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2-4306-B783-3A2D9D78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3595695"/>
        <c:axId val="1323596527"/>
      </c:barChart>
      <c:catAx>
        <c:axId val="1323595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3596527"/>
        <c:crosses val="autoZero"/>
        <c:auto val="1"/>
        <c:lblAlgn val="ctr"/>
        <c:lblOffset val="100"/>
        <c:noMultiLvlLbl val="0"/>
      </c:catAx>
      <c:valAx>
        <c:axId val="132359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35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[Dashboard_Projeto_Grupo_7_Custo_Manutenção_de_Estoque.xlsx]CapitalMP-Dinamica!Tabela dinâmica8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'CapitalMP-Dinamica'!$B$85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AD-49D2-A709-83FC298C8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AD-49D2-A709-83FC298C8E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AD-49D2-A709-83FC298C8E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AD-49D2-A709-83FC298C8EDA}"/>
              </c:ext>
            </c:extLst>
          </c:dPt>
          <c:cat>
            <c:strRef>
              <c:f>'CapitalMP-Dinamica'!$A$86:$A$90</c:f>
              <c:strCache>
                <c:ptCount val="4"/>
                <c:pt idx="0">
                  <c:v>Depreciado</c:v>
                </c:pt>
                <c:pt idx="1">
                  <c:v>Disponível</c:v>
                </c:pt>
                <c:pt idx="2">
                  <c:v>Em processo</c:v>
                </c:pt>
                <c:pt idx="3">
                  <c:v>Obsoleto</c:v>
                </c:pt>
              </c:strCache>
            </c:strRef>
          </c:cat>
          <c:val>
            <c:numRef>
              <c:f>'CapitalMP-Dinamica'!$B$86:$B$90</c:f>
              <c:numCache>
                <c:formatCode>_("R$"* #,##0.00_);_("R$"* \(#,##0.00\);_("R$"* "-"??_);_(@_)</c:formatCode>
                <c:ptCount val="4"/>
                <c:pt idx="0">
                  <c:v>18855000</c:v>
                </c:pt>
                <c:pt idx="1">
                  <c:v>25285000</c:v>
                </c:pt>
                <c:pt idx="2">
                  <c:v>12785000</c:v>
                </c:pt>
                <c:pt idx="3">
                  <c:v>28610000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C-4D2D-B474-9B1D451A1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[Dashboard_Projeto_Grupo_7_Custo_Manutenção_de_Estoque.xlsx]Espaço-Dinamica!Tabela dinâmica12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 x valor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'Espaço-Dinamica'!$B$3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'Espaço-Dinamica'!$A$4:$A$12</c:f>
              <c:strCache>
                <c:ptCount val="8"/>
                <c:pt idx="0">
                  <c:v>Energia Eletrica</c:v>
                </c:pt>
                <c:pt idx="1">
                  <c:v>Agua</c:v>
                </c:pt>
                <c:pt idx="2">
                  <c:v>IPTU</c:v>
                </c:pt>
                <c:pt idx="3">
                  <c:v>Aluguel</c:v>
                </c:pt>
                <c:pt idx="4">
                  <c:v>Limpeza</c:v>
                </c:pt>
                <c:pt idx="5">
                  <c:v>Seguro Carga</c:v>
                </c:pt>
                <c:pt idx="6">
                  <c:v>Seguro Local</c:v>
                </c:pt>
                <c:pt idx="7">
                  <c:v>Ar Condicionado</c:v>
                </c:pt>
              </c:strCache>
            </c:strRef>
          </c:cat>
          <c:val>
            <c:numRef>
              <c:f>'Espaço-Dinamica'!$B$4:$B$12</c:f>
              <c:numCache>
                <c:formatCode>_("R$"* #,##0.00_);_("R$"* \(#,##0.00\);_("R$"* "-"??_);_(@_)</c:formatCode>
                <c:ptCount val="8"/>
                <c:pt idx="0">
                  <c:v>8113500</c:v>
                </c:pt>
                <c:pt idx="1">
                  <c:v>2001250</c:v>
                </c:pt>
                <c:pt idx="2">
                  <c:v>600000</c:v>
                </c:pt>
                <c:pt idx="3">
                  <c:v>554850</c:v>
                </c:pt>
                <c:pt idx="4">
                  <c:v>275400</c:v>
                </c:pt>
                <c:pt idx="5">
                  <c:v>59100</c:v>
                </c:pt>
                <c:pt idx="6">
                  <c:v>50400</c:v>
                </c:pt>
                <c:pt idx="7">
                  <c:v>32550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8-45E8-8FF4-A59602093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382607"/>
        <c:axId val="1896383023"/>
      </c:barChart>
      <c:catAx>
        <c:axId val="1896382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6383023"/>
        <c:crosses val="autoZero"/>
        <c:auto val="1"/>
        <c:lblAlgn val="ctr"/>
        <c:lblOffset val="100"/>
        <c:noMultiLvlLbl val="0"/>
      </c:catAx>
      <c:valAx>
        <c:axId val="18963830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89638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[Dashboard_Projeto_Grupo_7_Custo_Manutenção_de_Estoque.xlsx]CapitalPA-Dinamica!Tabela dinâmica7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localização</a:t>
            </a:r>
            <a:r>
              <a:rPr lang="en-US" baseline="0"/>
              <a:t> x %total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'CapitalPA-Dinamica'!$B$28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99-4F16-BDB7-277CD55C06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99-4F16-BDB7-277CD55C06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99-4F16-BDB7-277CD55C06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99-4F16-BDB7-277CD55C06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'CapitalPA-Dinamica'!$A$29:$A$33</c:f>
              <c:strCache>
                <c:ptCount val="4"/>
                <c:pt idx="0">
                  <c:v>Armazém C</c:v>
                </c:pt>
                <c:pt idx="1">
                  <c:v>Armazém B</c:v>
                </c:pt>
                <c:pt idx="2">
                  <c:v>Armazém A</c:v>
                </c:pt>
                <c:pt idx="3">
                  <c:v>Armazém D</c:v>
                </c:pt>
              </c:strCache>
            </c:strRef>
          </c:cat>
          <c:val>
            <c:numRef>
              <c:f>'CapitalPA-Dinamica'!$B$29:$B$33</c:f>
              <c:numCache>
                <c:formatCode>_("R$"* #,##0.00_);_("R$"* \(#,##0.00\);_("R$"* "-"??_);_(@_)</c:formatCode>
                <c:ptCount val="4"/>
                <c:pt idx="0">
                  <c:v>7297450000</c:v>
                </c:pt>
                <c:pt idx="1">
                  <c:v>12058450000</c:v>
                </c:pt>
                <c:pt idx="2">
                  <c:v>22246550000</c:v>
                </c:pt>
                <c:pt idx="3">
                  <c:v>23395450000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3-4B76-A1A6-EFDC4D88BA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[Dashboard_Projeto_Grupo_7_Custo_Manutenção_de_Estoque.xlsx]Espaço-Dinamica!Tabela dinâmica13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Armazém x valor</a:t>
            </a:r>
          </a:p>
        </c:rich>
      </c:tx>
      <c:layout>
        <c:manualLayout>
          <c:xMode val="edge"/>
          <c:yMode val="edge"/>
          <c:x val="0.3135552340669898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'Espaço-Dinamica'!$B$16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83-406D-B131-B13DCD35B10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83-406D-B131-B13DCD35B10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83-406D-B131-B13DCD35B10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83-406D-B131-B13DCD35B1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'Espaço-Dinamica'!$A$17:$A$21</c:f>
              <c:strCache>
                <c:ptCount val="4"/>
                <c:pt idx="0">
                  <c:v>Armazém B</c:v>
                </c:pt>
                <c:pt idx="1">
                  <c:v>Armazém C</c:v>
                </c:pt>
                <c:pt idx="2">
                  <c:v>Armazém D</c:v>
                </c:pt>
                <c:pt idx="3">
                  <c:v>Armazém A</c:v>
                </c:pt>
              </c:strCache>
            </c:strRef>
          </c:cat>
          <c:val>
            <c:numRef>
              <c:f>'Espaço-Dinamica'!$B$17:$B$21</c:f>
              <c:numCache>
                <c:formatCode>_("R$"* #,##0.00_);_("R$"* \(#,##0.00\);_("R$"* "-"??_);_(@_)</c:formatCode>
                <c:ptCount val="4"/>
                <c:pt idx="0">
                  <c:v>2263980</c:v>
                </c:pt>
                <c:pt idx="1">
                  <c:v>2656530</c:v>
                </c:pt>
                <c:pt idx="2">
                  <c:v>2832080</c:v>
                </c:pt>
                <c:pt idx="3">
                  <c:v>3934460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D-4FC9-BC44-1859A46F7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38161391"/>
        <c:axId val="1338158479"/>
      </c:barChart>
      <c:valAx>
        <c:axId val="133815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8161391"/>
        <c:crosses val="autoZero"/>
        <c:crossBetween val="between"/>
      </c:valAx>
      <c:catAx>
        <c:axId val="13381613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8158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[Dashboard_Projeto_Grupo_7_Custo_Manutenção_de_Estoque.xlsx]Espaço-Dinamica!Tabela dinâmica15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Fornecedor x valor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'Espaço-Dinamica'!$B$31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'Espaço-Dinamica'!$A$32:$A$40</c:f>
              <c:strCache>
                <c:ptCount val="8"/>
                <c:pt idx="0">
                  <c:v>EDP Brasil</c:v>
                </c:pt>
                <c:pt idx="1">
                  <c:v>SABESP</c:v>
                </c:pt>
                <c:pt idx="2">
                  <c:v>Prefeitura Municipal</c:v>
                </c:pt>
                <c:pt idx="3">
                  <c:v>Locadora SA</c:v>
                </c:pt>
                <c:pt idx="4">
                  <c:v>MilClean</c:v>
                </c:pt>
                <c:pt idx="5">
                  <c:v>Porto Seguro</c:v>
                </c:pt>
                <c:pt idx="6">
                  <c:v>Mapfre Seguros</c:v>
                </c:pt>
                <c:pt idx="7">
                  <c:v>Frigelar</c:v>
                </c:pt>
              </c:strCache>
            </c:strRef>
          </c:cat>
          <c:val>
            <c:numRef>
              <c:f>'Espaço-Dinamica'!$B$32:$B$40</c:f>
              <c:numCache>
                <c:formatCode>_("R$"* #,##0.00_);_("R$"* \(#,##0.00\);_("R$"* "-"??_);_(@_)</c:formatCode>
                <c:ptCount val="8"/>
                <c:pt idx="0">
                  <c:v>8113500</c:v>
                </c:pt>
                <c:pt idx="1">
                  <c:v>2001250</c:v>
                </c:pt>
                <c:pt idx="2">
                  <c:v>600000</c:v>
                </c:pt>
                <c:pt idx="3">
                  <c:v>554850</c:v>
                </c:pt>
                <c:pt idx="4">
                  <c:v>275400</c:v>
                </c:pt>
                <c:pt idx="5">
                  <c:v>59100</c:v>
                </c:pt>
                <c:pt idx="6">
                  <c:v>50400</c:v>
                </c:pt>
                <c:pt idx="7">
                  <c:v>32550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A-4B64-B64D-0B4A02F62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9100943"/>
        <c:axId val="429091375"/>
      </c:barChart>
      <c:catAx>
        <c:axId val="429100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091375"/>
        <c:crosses val="autoZero"/>
        <c:auto val="1"/>
        <c:lblAlgn val="ctr"/>
        <c:lblOffset val="100"/>
        <c:noMultiLvlLbl val="0"/>
      </c:catAx>
      <c:valAx>
        <c:axId val="42909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10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[Dashboard_Projeto_Grupo_7_Custo_Manutenção_de_Estoque.xlsx]Espaço-Dinamica!Tabela dinâmica19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armazém x custo x valor</a:t>
            </a:r>
          </a:p>
        </c:rich>
      </c:tx>
      <c:layout>
        <c:manualLayout>
          <c:xMode val="edge"/>
          <c:yMode val="edge"/>
          <c:x val="0.34541916922961319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'Espaço-Dinamica'!$B$51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'Espaço-Dinamica'!$A$52:$A$88</c:f>
              <c:multiLvlStrCache>
                <c:ptCount val="32"/>
                <c:lvl>
                  <c:pt idx="0">
                    <c:v>Agua</c:v>
                  </c:pt>
                  <c:pt idx="1">
                    <c:v>Aluguel</c:v>
                  </c:pt>
                  <c:pt idx="2">
                    <c:v>Ar Condicionado</c:v>
                  </c:pt>
                  <c:pt idx="3">
                    <c:v>Energia Eletrica</c:v>
                  </c:pt>
                  <c:pt idx="4">
                    <c:v>IPTU</c:v>
                  </c:pt>
                  <c:pt idx="5">
                    <c:v>Limpeza</c:v>
                  </c:pt>
                  <c:pt idx="6">
                    <c:v>Seguro Carga</c:v>
                  </c:pt>
                  <c:pt idx="7">
                    <c:v>Seguro Local</c:v>
                  </c:pt>
                  <c:pt idx="8">
                    <c:v>Agua</c:v>
                  </c:pt>
                  <c:pt idx="9">
                    <c:v>Aluguel</c:v>
                  </c:pt>
                  <c:pt idx="10">
                    <c:v>Ar Condicionado</c:v>
                  </c:pt>
                  <c:pt idx="11">
                    <c:v>Energia Eletrica</c:v>
                  </c:pt>
                  <c:pt idx="12">
                    <c:v>IPTU</c:v>
                  </c:pt>
                  <c:pt idx="13">
                    <c:v>Limpeza</c:v>
                  </c:pt>
                  <c:pt idx="14">
                    <c:v>Seguro Carga</c:v>
                  </c:pt>
                  <c:pt idx="15">
                    <c:v>Seguro Local</c:v>
                  </c:pt>
                  <c:pt idx="16">
                    <c:v>Agua</c:v>
                  </c:pt>
                  <c:pt idx="17">
                    <c:v>Aluguel</c:v>
                  </c:pt>
                  <c:pt idx="18">
                    <c:v>Ar Condicionado</c:v>
                  </c:pt>
                  <c:pt idx="19">
                    <c:v>Energia Eletrica</c:v>
                  </c:pt>
                  <c:pt idx="20">
                    <c:v>IPTU</c:v>
                  </c:pt>
                  <c:pt idx="21">
                    <c:v>Limpeza</c:v>
                  </c:pt>
                  <c:pt idx="22">
                    <c:v>Seguro Carga</c:v>
                  </c:pt>
                  <c:pt idx="23">
                    <c:v>Seguro Local</c:v>
                  </c:pt>
                  <c:pt idx="24">
                    <c:v>Agua</c:v>
                  </c:pt>
                  <c:pt idx="25">
                    <c:v>Aluguel</c:v>
                  </c:pt>
                  <c:pt idx="26">
                    <c:v>Ar Condicionado</c:v>
                  </c:pt>
                  <c:pt idx="27">
                    <c:v>Energia Eletrica</c:v>
                  </c:pt>
                  <c:pt idx="28">
                    <c:v>IPTU</c:v>
                  </c:pt>
                  <c:pt idx="29">
                    <c:v>Limpeza</c:v>
                  </c:pt>
                  <c:pt idx="30">
                    <c:v>Seguro Carga</c:v>
                  </c:pt>
                  <c:pt idx="31">
                    <c:v>Seguro Local</c:v>
                  </c:pt>
                </c:lvl>
                <c:lvl>
                  <c:pt idx="0">
                    <c:v>Armazém A</c:v>
                  </c:pt>
                  <c:pt idx="8">
                    <c:v>Armazém B</c:v>
                  </c:pt>
                  <c:pt idx="16">
                    <c:v>Armazém C</c:v>
                  </c:pt>
                  <c:pt idx="24">
                    <c:v>Armazém D</c:v>
                  </c:pt>
                </c:lvl>
              </c:multiLvlStrCache>
            </c:multiLvlStrRef>
          </c:cat>
          <c:val>
            <c:numRef>
              <c:f>'Espaço-Dinamica'!$B$52:$B$88</c:f>
              <c:numCache>
                <c:formatCode>_-"R$"\ * #,##0_-;\-"R$"\ * #,##0_-;_-"R$"\ * "-"??_-;_-@_-</c:formatCode>
                <c:ptCount val="32"/>
                <c:pt idx="0">
                  <c:v>800500</c:v>
                </c:pt>
                <c:pt idx="1">
                  <c:v>184950</c:v>
                </c:pt>
                <c:pt idx="2">
                  <c:v>8680</c:v>
                </c:pt>
                <c:pt idx="3">
                  <c:v>2704500</c:v>
                </c:pt>
                <c:pt idx="4">
                  <c:v>120000</c:v>
                </c:pt>
                <c:pt idx="5">
                  <c:v>91800</c:v>
                </c:pt>
                <c:pt idx="6">
                  <c:v>17730</c:v>
                </c:pt>
                <c:pt idx="7">
                  <c:v>6300</c:v>
                </c:pt>
                <c:pt idx="8">
                  <c:v>400250</c:v>
                </c:pt>
                <c:pt idx="9">
                  <c:v>102750</c:v>
                </c:pt>
                <c:pt idx="10">
                  <c:v>8680</c:v>
                </c:pt>
                <c:pt idx="11">
                  <c:v>1502500</c:v>
                </c:pt>
                <c:pt idx="12">
                  <c:v>144000</c:v>
                </c:pt>
                <c:pt idx="13">
                  <c:v>71400</c:v>
                </c:pt>
                <c:pt idx="14">
                  <c:v>19700</c:v>
                </c:pt>
                <c:pt idx="15">
                  <c:v>14700</c:v>
                </c:pt>
                <c:pt idx="16">
                  <c:v>480300</c:v>
                </c:pt>
                <c:pt idx="17">
                  <c:v>205500</c:v>
                </c:pt>
                <c:pt idx="18">
                  <c:v>6510</c:v>
                </c:pt>
                <c:pt idx="19">
                  <c:v>1803000</c:v>
                </c:pt>
                <c:pt idx="20">
                  <c:v>96000</c:v>
                </c:pt>
                <c:pt idx="21">
                  <c:v>40800</c:v>
                </c:pt>
                <c:pt idx="22">
                  <c:v>11820</c:v>
                </c:pt>
                <c:pt idx="23">
                  <c:v>12600</c:v>
                </c:pt>
                <c:pt idx="24">
                  <c:v>320200</c:v>
                </c:pt>
                <c:pt idx="25">
                  <c:v>61650</c:v>
                </c:pt>
                <c:pt idx="26">
                  <c:v>8680</c:v>
                </c:pt>
                <c:pt idx="27">
                  <c:v>2103500</c:v>
                </c:pt>
                <c:pt idx="28">
                  <c:v>240000</c:v>
                </c:pt>
                <c:pt idx="29">
                  <c:v>71400</c:v>
                </c:pt>
                <c:pt idx="30">
                  <c:v>9850</c:v>
                </c:pt>
                <c:pt idx="31">
                  <c:v>16800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9-4A32-835B-1BD39D7315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61402719"/>
        <c:axId val="261391487"/>
      </c:barChart>
      <c:catAx>
        <c:axId val="26140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391487"/>
        <c:crosses val="autoZero"/>
        <c:auto val="1"/>
        <c:lblAlgn val="ctr"/>
        <c:lblOffset val="100"/>
        <c:noMultiLvlLbl val="0"/>
      </c:catAx>
      <c:valAx>
        <c:axId val="261391487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26140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[Dashboard_Projeto_Grupo_7_Custo_Manutenção_de_Estoque.xlsx]Espaço-Dinamica!Tabela dinâmica14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869706911636048"/>
          <c:y val="0.1692548848060659"/>
          <c:w val="0.33239238845144359"/>
          <c:h val="0.6585309128025663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'Espaço-Dinamica'!$B$24:$B$25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'Espaço-Dinamica'!$A$26:$A$30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'Espaço-Dinamica'!$B$26:$B$30</c:f>
              <c:numCache>
                <c:formatCode>General</c:formatCode>
                <c:ptCount val="4"/>
                <c:pt idx="0">
                  <c:v>1297350</c:v>
                </c:pt>
                <c:pt idx="1">
                  <c:v>2672090</c:v>
                </c:pt>
                <c:pt idx="2">
                  <c:v>2465330</c:v>
                </c:pt>
                <c:pt idx="3">
                  <c:v>1661240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87A-46E7-B458-FE4AF75C5F4B}"/>
            </c:ext>
          </c:extLst>
        </c:ser>
        <c:ser>
          <c:idx val="1"/>
          <c:order val="1"/>
          <c:tx>
            <c:strRef>
              <c:f>'Espaço-Dinamica'!$C$24:$C$25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'Espaço-Dinamica'!$A$26:$A$30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'Espaço-Dinamica'!$C$26:$C$30</c:f>
              <c:numCache>
                <c:formatCode>General</c:formatCode>
                <c:ptCount val="4"/>
                <c:pt idx="0">
                  <c:v>1306130</c:v>
                </c:pt>
                <c:pt idx="2">
                  <c:v>1412890</c:v>
                </c:pt>
                <c:pt idx="3">
                  <c:v>872020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87A-46E7-B458-FE4AF75C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5485856"/>
        <c:axId val="815487936"/>
        <c:axId val="2116875664"/>
      </c:bar3DChart>
      <c:catAx>
        <c:axId val="81548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487936"/>
        <c:crosses val="autoZero"/>
        <c:auto val="1"/>
        <c:lblAlgn val="ctr"/>
        <c:lblOffset val="100"/>
        <c:noMultiLvlLbl val="0"/>
      </c:catAx>
      <c:valAx>
        <c:axId val="8154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485856"/>
        <c:crosses val="autoZero"/>
        <c:crossBetween val="between"/>
      </c:valAx>
      <c:serAx>
        <c:axId val="211687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48793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[Dashboard_Projeto_Grupo_7_Custo_Manutenção_de_Estoque.xlsx]Espaço-Dinamica!Tabela dinâmica5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'Espaço-Dinamica'!$B$94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'Espaço-Dinamica'!$A$95:$A$103</c:f>
              <c:strCache>
                <c:ptCount val="8"/>
                <c:pt idx="0">
                  <c:v>EDP Brasil</c:v>
                </c:pt>
                <c:pt idx="1">
                  <c:v>Frigelar</c:v>
                </c:pt>
                <c:pt idx="2">
                  <c:v>Locadora SA</c:v>
                </c:pt>
                <c:pt idx="3">
                  <c:v>Mapfre Seguros</c:v>
                </c:pt>
                <c:pt idx="4">
                  <c:v>MilClean</c:v>
                </c:pt>
                <c:pt idx="5">
                  <c:v>Porto Seguro</c:v>
                </c:pt>
                <c:pt idx="6">
                  <c:v>Prefeitura Municipal</c:v>
                </c:pt>
                <c:pt idx="7">
                  <c:v>SABESP</c:v>
                </c:pt>
              </c:strCache>
            </c:strRef>
          </c:cat>
          <c:val>
            <c:numRef>
              <c:f>'Espaço-Dinamica'!$B$95:$B$103</c:f>
              <c:numCache>
                <c:formatCode>General</c:formatCode>
                <c:ptCount val="8"/>
                <c:pt idx="0">
                  <c:v>27</c:v>
                </c:pt>
                <c:pt idx="1">
                  <c:v>15</c:v>
                </c:pt>
                <c:pt idx="2">
                  <c:v>27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25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F-4F52-B45B-B2EB9D402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522704"/>
        <c:axId val="967523536"/>
      </c:barChart>
      <c:catAx>
        <c:axId val="96752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523536"/>
        <c:crosses val="autoZero"/>
        <c:auto val="1"/>
        <c:lblAlgn val="ctr"/>
        <c:lblOffset val="100"/>
        <c:noMultiLvlLbl val="0"/>
      </c:catAx>
      <c:valAx>
        <c:axId val="9675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52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[Dashboard_Projeto_Grupo_7_Custo_Manutenção_de_Estoque.xlsx]Espaço-Dinamica!Tabela dinâmica10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'Espaço-Dinamica'!$B$118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A5-425D-A208-F6098A0725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A5-425D-A208-F6098A0725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A5-425D-A208-F6098A0725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A5-425D-A208-F6098A0725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A5-425D-A208-F6098A0725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A5-425D-A208-F6098A0725A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A5-425D-A208-F6098A0725A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5A5-425D-A208-F6098A0725AC}"/>
              </c:ext>
            </c:extLst>
          </c:dPt>
          <c:cat>
            <c:strRef>
              <c:f>'Espaço-Dinamica'!$A$119:$A$127</c:f>
              <c:strCache>
                <c:ptCount val="8"/>
                <c:pt idx="0">
                  <c:v>Agua</c:v>
                </c:pt>
                <c:pt idx="1">
                  <c:v>Aluguel</c:v>
                </c:pt>
                <c:pt idx="2">
                  <c:v>Ar Condicionado</c:v>
                </c:pt>
                <c:pt idx="3">
                  <c:v>Energia Eletrica</c:v>
                </c:pt>
                <c:pt idx="4">
                  <c:v>IPTU</c:v>
                </c:pt>
                <c:pt idx="5">
                  <c:v>Limpeza</c:v>
                </c:pt>
                <c:pt idx="6">
                  <c:v>Seguro Carga</c:v>
                </c:pt>
                <c:pt idx="7">
                  <c:v>Seguro Local</c:v>
                </c:pt>
              </c:strCache>
            </c:strRef>
          </c:cat>
          <c:val>
            <c:numRef>
              <c:f>'Espaço-Dinamica'!$B$119:$B$127</c:f>
              <c:numCache>
                <c:formatCode>General</c:formatCode>
                <c:ptCount val="8"/>
                <c:pt idx="0">
                  <c:v>208</c:v>
                </c:pt>
                <c:pt idx="1">
                  <c:v>290</c:v>
                </c:pt>
                <c:pt idx="2">
                  <c:v>211</c:v>
                </c:pt>
                <c:pt idx="3">
                  <c:v>405</c:v>
                </c:pt>
                <c:pt idx="4">
                  <c:v>316</c:v>
                </c:pt>
                <c:pt idx="5">
                  <c:v>290</c:v>
                </c:pt>
                <c:pt idx="6">
                  <c:v>477</c:v>
                </c:pt>
                <c:pt idx="7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0-467A-8DF8-A55D52B9E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[Dashboard_Projeto_Grupo_7_Custo_Manutenção_de_Estoque.xlsx]Espaço-Dinamica!Tabela dinâmica12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'Espaço-Dinamica'!$B$3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56-4A37-88E0-CFC4DFDCD2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56-4A37-88E0-CFC4DFDCD2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56-4A37-88E0-CFC4DFDCD2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56-4A37-88E0-CFC4DFDCD2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56-4A37-88E0-CFC4DFDCD2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856-4A37-88E0-CFC4DFDCD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856-4A37-88E0-CFC4DFDCD2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856-4A37-88E0-CFC4DFDCD257}"/>
              </c:ext>
            </c:extLst>
          </c:dPt>
          <c:cat>
            <c:strRef>
              <c:f>'Espaço-Dinamica'!$A$4:$A$12</c:f>
              <c:strCache>
                <c:ptCount val="8"/>
                <c:pt idx="0">
                  <c:v>Energia Eletrica</c:v>
                </c:pt>
                <c:pt idx="1">
                  <c:v>Agua</c:v>
                </c:pt>
                <c:pt idx="2">
                  <c:v>IPTU</c:v>
                </c:pt>
                <c:pt idx="3">
                  <c:v>Aluguel</c:v>
                </c:pt>
                <c:pt idx="4">
                  <c:v>Limpeza</c:v>
                </c:pt>
                <c:pt idx="5">
                  <c:v>Seguro Carga</c:v>
                </c:pt>
                <c:pt idx="6">
                  <c:v>Seguro Local</c:v>
                </c:pt>
                <c:pt idx="7">
                  <c:v>Ar Condicionado</c:v>
                </c:pt>
              </c:strCache>
            </c:strRef>
          </c:cat>
          <c:val>
            <c:numRef>
              <c:f>'Espaço-Dinamica'!$B$4:$B$12</c:f>
              <c:numCache>
                <c:formatCode>_("R$"* #,##0.00_);_("R$"* \(#,##0.00\);_("R$"* "-"??_);_(@_)</c:formatCode>
                <c:ptCount val="8"/>
                <c:pt idx="0">
                  <c:v>8113500</c:v>
                </c:pt>
                <c:pt idx="1">
                  <c:v>2001250</c:v>
                </c:pt>
                <c:pt idx="2">
                  <c:v>600000</c:v>
                </c:pt>
                <c:pt idx="3">
                  <c:v>554850</c:v>
                </c:pt>
                <c:pt idx="4">
                  <c:v>275400</c:v>
                </c:pt>
                <c:pt idx="5">
                  <c:v>59100</c:v>
                </c:pt>
                <c:pt idx="6">
                  <c:v>50400</c:v>
                </c:pt>
                <c:pt idx="7">
                  <c:v>32550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E-4E59-8F97-7BEED63E6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[Dashboard_Projeto_Grupo_7_Custo_Manutenção_de_Estoque.xlsx]Espaço-Dinamica!Tabela dinâmica9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'Espaço-Dinamica'!$B$109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'Espaço-Dinamica'!$A$110:$A$114</c:f>
              <c:strCache>
                <c:ptCount val="4"/>
                <c:pt idx="0">
                  <c:v>Armazém C</c:v>
                </c:pt>
                <c:pt idx="1">
                  <c:v>Armazém B</c:v>
                </c:pt>
                <c:pt idx="2">
                  <c:v>Armazém D</c:v>
                </c:pt>
                <c:pt idx="3">
                  <c:v>Armazém A</c:v>
                </c:pt>
              </c:strCache>
            </c:strRef>
          </c:cat>
          <c:val>
            <c:numRef>
              <c:f>'Espaço-Dinamica'!$B$110:$B$114</c:f>
              <c:numCache>
                <c:formatCode>General</c:formatCode>
                <c:ptCount val="4"/>
                <c:pt idx="0">
                  <c:v>536</c:v>
                </c:pt>
                <c:pt idx="1">
                  <c:v>591</c:v>
                </c:pt>
                <c:pt idx="2">
                  <c:v>647</c:v>
                </c:pt>
                <c:pt idx="3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D-4725-B08E-FAFC863A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3573567"/>
        <c:axId val="973564831"/>
      </c:barChart>
      <c:catAx>
        <c:axId val="973573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3564831"/>
        <c:crosses val="autoZero"/>
        <c:auto val="1"/>
        <c:lblAlgn val="ctr"/>
        <c:lblOffset val="100"/>
        <c:noMultiLvlLbl val="0"/>
      </c:catAx>
      <c:valAx>
        <c:axId val="9735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357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[Dashboard_Projeto_Grupo_7_Custo_Manutenção_de_Estoque.xlsx]Equipamento-Dinamica!Tabela dinâmica23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Situação x valor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'Equipamento-Dinamica'!$B$3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C7-48D5-9B42-31DD5870C5A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C7-48D5-9B42-31DD5870C5A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C7-48D5-9B42-31DD5870C5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'Equipamento-Dinamica'!$A$4:$A$7</c:f>
              <c:strCache>
                <c:ptCount val="3"/>
                <c:pt idx="0">
                  <c:v>Preventiva</c:v>
                </c:pt>
                <c:pt idx="1">
                  <c:v>Preditiva</c:v>
                </c:pt>
                <c:pt idx="2">
                  <c:v>Corretiva</c:v>
                </c:pt>
              </c:strCache>
            </c:strRef>
          </c:cat>
          <c:val>
            <c:numRef>
              <c:f>'Equipamento-Dinamica'!$B$4:$B$7</c:f>
              <c:numCache>
                <c:formatCode>_("R$"* #,##0.00_);_("R$"* \(#,##0.00\);_("R$"* "-"??_);_(@_)</c:formatCode>
                <c:ptCount val="3"/>
                <c:pt idx="0">
                  <c:v>6093725</c:v>
                </c:pt>
                <c:pt idx="1">
                  <c:v>5070115</c:v>
                </c:pt>
                <c:pt idx="2">
                  <c:v>3202125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F-419B-B91F-0C3D6DA5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45643231"/>
        <c:axId val="1745639903"/>
      </c:barChart>
      <c:catAx>
        <c:axId val="1745643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5639903"/>
        <c:crosses val="autoZero"/>
        <c:auto val="1"/>
        <c:lblAlgn val="ctr"/>
        <c:lblOffset val="100"/>
        <c:noMultiLvlLbl val="0"/>
      </c:catAx>
      <c:valAx>
        <c:axId val="17456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564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[Dashboard_Projeto_Grupo_7_Custo_Manutenção_de_Estoque.xlsx]Equipamento-Dinamica!Tabela dinâmica24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Armazém x valor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'Equipamento-Dinamica'!$B$10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C3-4EFD-8196-D5CD4F61B3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C3-4EFD-8196-D5CD4F61B3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C3-4EFD-8196-D5CD4F61B3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C3-4EFD-8196-D5CD4F61B3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'Equipamento-Dinamica'!$A$11:$A$15</c:f>
              <c:strCache>
                <c:ptCount val="4"/>
                <c:pt idx="0">
                  <c:v>Armazém D</c:v>
                </c:pt>
                <c:pt idx="1">
                  <c:v>Armazém C</c:v>
                </c:pt>
                <c:pt idx="2">
                  <c:v>Armazém A</c:v>
                </c:pt>
                <c:pt idx="3">
                  <c:v>Armazém B</c:v>
                </c:pt>
              </c:strCache>
            </c:strRef>
          </c:cat>
          <c:val>
            <c:numRef>
              <c:f>'Equipamento-Dinamica'!$B$11:$B$15</c:f>
              <c:numCache>
                <c:formatCode>_("R$"* #,##0.00_);_("R$"* \(#,##0.00\);_("R$"* "-"??_);_(@_)</c:formatCode>
                <c:ptCount val="4"/>
                <c:pt idx="0">
                  <c:v>4851725</c:v>
                </c:pt>
                <c:pt idx="1">
                  <c:v>3590975</c:v>
                </c:pt>
                <c:pt idx="2">
                  <c:v>2964250</c:v>
                </c:pt>
                <c:pt idx="3">
                  <c:v>2959015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1-4457-A9EF-380C32D68C1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[Dashboard_Projeto_Grupo_7_Custo_Manutenção_de_Estoque.xlsx]CapitalPA-Dinamica!Tabela dinâmica6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 x valor total</a:t>
            </a:r>
          </a:p>
        </c:rich>
      </c:tx>
      <c:layout>
        <c:manualLayout>
          <c:xMode val="edge"/>
          <c:yMode val="edge"/>
          <c:x val="0.61183271832718322"/>
          <c:y val="1.0237673536541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'CapitalPA-Dinamica'!$B$3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'CapitalPA-Dinamica'!$A$4:$A$13</c:f>
              <c:strCache>
                <c:ptCount val="9"/>
                <c:pt idx="0">
                  <c:v>E195</c:v>
                </c:pt>
                <c:pt idx="1">
                  <c:v>ERJ 145XR</c:v>
                </c:pt>
                <c:pt idx="2">
                  <c:v>Legacy 600</c:v>
                </c:pt>
                <c:pt idx="3">
                  <c:v>KC390</c:v>
                </c:pt>
                <c:pt idx="4">
                  <c:v>Phenom 100</c:v>
                </c:pt>
                <c:pt idx="5">
                  <c:v>EMB 145 AEW&amp;C</c:v>
                </c:pt>
                <c:pt idx="6">
                  <c:v>Preator 600</c:v>
                </c:pt>
                <c:pt idx="7">
                  <c:v>E190</c:v>
                </c:pt>
                <c:pt idx="8">
                  <c:v>EMB 314 Super Tucano</c:v>
                </c:pt>
              </c:strCache>
            </c:strRef>
          </c:cat>
          <c:val>
            <c:numRef>
              <c:f>'CapitalPA-Dinamica'!$B$4:$B$13</c:f>
              <c:numCache>
                <c:formatCode>_("R$"* #,##0.00_);_("R$"* \(#,##0.00\);_("R$"* "-"??_);_(@_)</c:formatCode>
                <c:ptCount val="9"/>
                <c:pt idx="0">
                  <c:v>14274000000</c:v>
                </c:pt>
                <c:pt idx="1">
                  <c:v>12166000000</c:v>
                </c:pt>
                <c:pt idx="2">
                  <c:v>7632000000</c:v>
                </c:pt>
                <c:pt idx="3">
                  <c:v>6574600000</c:v>
                </c:pt>
                <c:pt idx="4">
                  <c:v>5601800000</c:v>
                </c:pt>
                <c:pt idx="5">
                  <c:v>5194800000</c:v>
                </c:pt>
                <c:pt idx="6">
                  <c:v>5189600000</c:v>
                </c:pt>
                <c:pt idx="7">
                  <c:v>5087600000</c:v>
                </c:pt>
                <c:pt idx="8">
                  <c:v>3277500000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6-467B-B749-8A61FE1C8B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96380223"/>
        <c:axId val="1896377727"/>
      </c:barChart>
      <c:catAx>
        <c:axId val="189638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6377727"/>
        <c:crosses val="autoZero"/>
        <c:auto val="1"/>
        <c:lblAlgn val="ctr"/>
        <c:lblOffset val="100"/>
        <c:noMultiLvlLbl val="0"/>
      </c:catAx>
      <c:valAx>
        <c:axId val="189637772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9638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[Dashboard_Projeto_Grupo_7_Custo_Manutenção_de_Estoque.xlsx]Equipamento-Dinamica!Tabela dinâmica22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Equipamento x valor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'Equipamento-Dinamica'!$B$17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'Equipamento-Dinamica'!$A$18:$A$27</c:f>
              <c:strCache>
                <c:ptCount val="9"/>
                <c:pt idx="0">
                  <c:v>AGVs</c:v>
                </c:pt>
                <c:pt idx="1">
                  <c:v>Ponte rolante</c:v>
                </c:pt>
                <c:pt idx="2">
                  <c:v>Empilhadeira</c:v>
                </c:pt>
                <c:pt idx="3">
                  <c:v>Plataforma</c:v>
                </c:pt>
                <c:pt idx="4">
                  <c:v>Esteira</c:v>
                </c:pt>
                <c:pt idx="5">
                  <c:v>Paleteira</c:v>
                </c:pt>
                <c:pt idx="6">
                  <c:v>Escada</c:v>
                </c:pt>
                <c:pt idx="7">
                  <c:v>Macaco</c:v>
                </c:pt>
                <c:pt idx="8">
                  <c:v>Leitores</c:v>
                </c:pt>
              </c:strCache>
            </c:strRef>
          </c:cat>
          <c:val>
            <c:numRef>
              <c:f>'Equipamento-Dinamica'!$B$18:$B$27</c:f>
              <c:numCache>
                <c:formatCode>_("R$"* #,##0.00_);_("R$"* \(#,##0.00\);_("R$"* "-"??_);_(@_)</c:formatCode>
                <c:ptCount val="9"/>
                <c:pt idx="0">
                  <c:v>6910000</c:v>
                </c:pt>
                <c:pt idx="1">
                  <c:v>3885000</c:v>
                </c:pt>
                <c:pt idx="2">
                  <c:v>2880000</c:v>
                </c:pt>
                <c:pt idx="3">
                  <c:v>321000</c:v>
                </c:pt>
                <c:pt idx="4">
                  <c:v>320000</c:v>
                </c:pt>
                <c:pt idx="5">
                  <c:v>35250</c:v>
                </c:pt>
                <c:pt idx="6">
                  <c:v>8880</c:v>
                </c:pt>
                <c:pt idx="7">
                  <c:v>2940</c:v>
                </c:pt>
                <c:pt idx="8">
                  <c:v>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C-48FC-9671-20C660E739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1388815"/>
        <c:axId val="261380911"/>
      </c:barChart>
      <c:catAx>
        <c:axId val="2613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380911"/>
        <c:crosses val="autoZero"/>
        <c:auto val="1"/>
        <c:lblAlgn val="ctr"/>
        <c:lblOffset val="100"/>
        <c:noMultiLvlLbl val="0"/>
      </c:catAx>
      <c:valAx>
        <c:axId val="2613809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6138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[Dashboard_Projeto_Grupo_7_Custo_Manutenção_de_Estoque.xlsx]Equipamento-Dinamica!Tabela dinâmica2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'Equipamento-Dinamica'!$B$55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E2-457E-AFB8-8C9926F58E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E2-457E-AFB8-8C9926F58E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E2-457E-AFB8-8C9926F58EA0}"/>
              </c:ext>
            </c:extLst>
          </c:dPt>
          <c:cat>
            <c:strRef>
              <c:f>'Equipamento-Dinamica'!$A$56:$A$59</c:f>
              <c:strCache>
                <c:ptCount val="3"/>
                <c:pt idx="0">
                  <c:v>Corretiva</c:v>
                </c:pt>
                <c:pt idx="1">
                  <c:v>Preditiva</c:v>
                </c:pt>
                <c:pt idx="2">
                  <c:v>Preventiva</c:v>
                </c:pt>
              </c:strCache>
            </c:strRef>
          </c:cat>
          <c:val>
            <c:numRef>
              <c:f>'Equipamento-Dinamica'!$B$56:$B$59</c:f>
              <c:numCache>
                <c:formatCode>General</c:formatCode>
                <c:ptCount val="3"/>
                <c:pt idx="0">
                  <c:v>49</c:v>
                </c:pt>
                <c:pt idx="1">
                  <c:v>67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E-4EAC-983B-994FC6B19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[Dashboard_Projeto_Grupo_7_Custo_Manutenção_de_Estoque.xlsx]Equipamento-Dinamica!Tabela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'Equipamento-Dinamica'!$B$45:$B$46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'Equipamento-Dinamica'!$A$47:$A$51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'Equipamento-Dinamica'!$B$47:$B$51</c:f>
              <c:numCache>
                <c:formatCode>General</c:formatCode>
                <c:ptCount val="4"/>
                <c:pt idx="0">
                  <c:v>1683125</c:v>
                </c:pt>
                <c:pt idx="1">
                  <c:v>1067785</c:v>
                </c:pt>
                <c:pt idx="2">
                  <c:v>1878730</c:v>
                </c:pt>
                <c:pt idx="3">
                  <c:v>1403415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0-41E3-9A6E-86D562C95E1C}"/>
            </c:ext>
          </c:extLst>
        </c:ser>
        <c:ser>
          <c:idx val="1"/>
          <c:order val="1"/>
          <c:tx>
            <c:strRef>
              <c:f>'Equipamento-Dinamica'!$C$45:$C$46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'Equipamento-Dinamica'!$A$47:$A$51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'Equipamento-Dinamica'!$C$47:$C$51</c:f>
              <c:numCache>
                <c:formatCode>General</c:formatCode>
                <c:ptCount val="4"/>
                <c:pt idx="0">
                  <c:v>2958190</c:v>
                </c:pt>
                <c:pt idx="1">
                  <c:v>2984515</c:v>
                </c:pt>
                <c:pt idx="2">
                  <c:v>1968920</c:v>
                </c:pt>
                <c:pt idx="3">
                  <c:v>421285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0-41E3-9A6E-86D562C95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9728192"/>
        <c:axId val="1089711552"/>
        <c:axId val="1231938336"/>
      </c:bar3DChart>
      <c:catAx>
        <c:axId val="10897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711552"/>
        <c:crosses val="autoZero"/>
        <c:auto val="1"/>
        <c:lblAlgn val="ctr"/>
        <c:lblOffset val="100"/>
        <c:noMultiLvlLbl val="0"/>
      </c:catAx>
      <c:valAx>
        <c:axId val="10897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728192"/>
        <c:crosses val="autoZero"/>
        <c:crossBetween val="between"/>
      </c:valAx>
      <c:serAx>
        <c:axId val="123193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71155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[Dashboard_Projeto_Grupo_7_Custo_Manutenção_de_Estoque.xlsx]Estoque-Dinamica!Tabela dinâmica3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 x</a:t>
            </a:r>
            <a:r>
              <a:rPr lang="en-US" baseline="0"/>
              <a:t> quantidade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'Estoque-Dinamica'!$B$3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21-4123-A95C-ECE9FC8C86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21-4123-A95C-ECE9FC8C86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F21-4123-A95C-ECE9FC8C86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F21-4123-A95C-ECE9FC8C86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F21-4123-A95C-ECE9FC8C86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F21-4123-A95C-ECE9FC8C86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'Estoque-Dinamica'!$A$4:$A$10</c:f>
              <c:strCache>
                <c:ptCount val="6"/>
                <c:pt idx="0">
                  <c:v>Mao de Obra</c:v>
                </c:pt>
                <c:pt idx="1">
                  <c:v>Estocagem</c:v>
                </c:pt>
                <c:pt idx="2">
                  <c:v>Preparacao</c:v>
                </c:pt>
                <c:pt idx="3">
                  <c:v>Recebimento</c:v>
                </c:pt>
                <c:pt idx="4">
                  <c:v>Expedicao</c:v>
                </c:pt>
                <c:pt idx="5">
                  <c:v>Deslocamento Medio</c:v>
                </c:pt>
              </c:strCache>
            </c:strRef>
          </c:cat>
          <c:val>
            <c:numRef>
              <c:f>'Estoque-Dinamica'!$B$4:$B$10</c:f>
              <c:numCache>
                <c:formatCode>General</c:formatCode>
                <c:ptCount val="6"/>
                <c:pt idx="0">
                  <c:v>542</c:v>
                </c:pt>
                <c:pt idx="1">
                  <c:v>540</c:v>
                </c:pt>
                <c:pt idx="2">
                  <c:v>425</c:v>
                </c:pt>
                <c:pt idx="3">
                  <c:v>408</c:v>
                </c:pt>
                <c:pt idx="4">
                  <c:v>404</c:v>
                </c:pt>
                <c:pt idx="5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2-4203-BE7C-CCC9D702D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[Dashboard_Projeto_Grupo_7_Custo_Manutenção_de_Estoque.xlsx]Estoque-Dinamica!Tabela dinâmica8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 x valor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'Estoque-Dinamica'!$B$14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96-41E8-8BC4-09A52E40C4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6-41E8-8BC4-09A52E40C4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6-41E8-8BC4-09A52E40C4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96-41E8-8BC4-09A52E40C4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96-41E8-8BC4-09A52E40C4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96-41E8-8BC4-09A52E40C4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'Estoque-Dinamica'!$A$15:$A$21</c:f>
              <c:strCache>
                <c:ptCount val="6"/>
                <c:pt idx="0">
                  <c:v>Deslocamento Medio</c:v>
                </c:pt>
                <c:pt idx="1">
                  <c:v>Mao de Obra</c:v>
                </c:pt>
                <c:pt idx="2">
                  <c:v>Estocagem</c:v>
                </c:pt>
                <c:pt idx="3">
                  <c:v>Expedicao</c:v>
                </c:pt>
                <c:pt idx="4">
                  <c:v>Recebimento</c:v>
                </c:pt>
                <c:pt idx="5">
                  <c:v>Preparacao</c:v>
                </c:pt>
              </c:strCache>
            </c:strRef>
          </c:cat>
          <c:val>
            <c:numRef>
              <c:f>'Estoque-Dinamica'!$B$15:$B$21</c:f>
              <c:numCache>
                <c:formatCode>_("R$"* #,##0.00_);_("R$"* \(#,##0.00\);_("R$"* "-"??_);_(@_)</c:formatCode>
                <c:ptCount val="6"/>
                <c:pt idx="0">
                  <c:v>5175000</c:v>
                </c:pt>
                <c:pt idx="1">
                  <c:v>2710000</c:v>
                </c:pt>
                <c:pt idx="2">
                  <c:v>2430000</c:v>
                </c:pt>
                <c:pt idx="3">
                  <c:v>1292800</c:v>
                </c:pt>
                <c:pt idx="4">
                  <c:v>1224000</c:v>
                </c:pt>
                <c:pt idx="5">
                  <c:v>1062500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F-4D18-9388-C69FDB872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[Dashboard_Projeto_Grupo_7_Custo_Manutenção_de_Estoque.xlsx]Estoque-Dinamica!Tabela dinâmica9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Armazém x valor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'Estoque-Dinamica'!$B$24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'Estoque-Dinamica'!$A$25:$A$29</c:f>
              <c:strCache>
                <c:ptCount val="4"/>
                <c:pt idx="0">
                  <c:v>Armazém C</c:v>
                </c:pt>
                <c:pt idx="1">
                  <c:v>Armazém D</c:v>
                </c:pt>
                <c:pt idx="2">
                  <c:v>Armazém A</c:v>
                </c:pt>
                <c:pt idx="3">
                  <c:v>Armazém B</c:v>
                </c:pt>
              </c:strCache>
            </c:strRef>
          </c:cat>
          <c:val>
            <c:numRef>
              <c:f>'Estoque-Dinamica'!$B$25:$B$29</c:f>
              <c:numCache>
                <c:formatCode>_("R$"* #,##0.00_);_("R$"* \(#,##0.00\);_("R$"* "-"??_);_(@_)</c:formatCode>
                <c:ptCount val="4"/>
                <c:pt idx="0">
                  <c:v>2526900</c:v>
                </c:pt>
                <c:pt idx="1">
                  <c:v>3324000</c:v>
                </c:pt>
                <c:pt idx="2">
                  <c:v>3501300</c:v>
                </c:pt>
                <c:pt idx="3">
                  <c:v>4542100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3-41A0-AA31-FFA82CD6D2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45447648"/>
        <c:axId val="219205776"/>
      </c:barChart>
      <c:catAx>
        <c:axId val="134544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05776"/>
        <c:crosses val="autoZero"/>
        <c:auto val="1"/>
        <c:lblAlgn val="ctr"/>
        <c:lblOffset val="100"/>
        <c:noMultiLvlLbl val="0"/>
      </c:catAx>
      <c:valAx>
        <c:axId val="2192057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454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[Dashboard_Projeto_Grupo_7_Custo_Manutenção_de_Estoque.xlsx]Estoque-Dinamica!Tabela dinâmica6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'Estoque-Dinamica'!$B$33:$B$34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'Estoque-Dinamica'!$A$35:$A$39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'Estoque-Dinamica'!$B$35:$B$39</c:f>
              <c:numCache>
                <c:formatCode>_("R$"* #,##0.00_);_("R$"* \(#,##0.00\);_("R$"* "-"??_);_(@_)</c:formatCode>
                <c:ptCount val="4"/>
                <c:pt idx="0">
                  <c:v>1898400</c:v>
                </c:pt>
                <c:pt idx="1">
                  <c:v>3474600</c:v>
                </c:pt>
                <c:pt idx="2">
                  <c:v>2169200</c:v>
                </c:pt>
                <c:pt idx="3">
                  <c:v>1591300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9-4B9C-B83D-0C1C2FF41F32}"/>
            </c:ext>
          </c:extLst>
        </c:ser>
        <c:ser>
          <c:idx val="1"/>
          <c:order val="1"/>
          <c:tx>
            <c:strRef>
              <c:f>'Estoque-Dinamica'!$C$33:$C$34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'Estoque-Dinamica'!$A$35:$A$39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'Estoque-Dinamica'!$C$35:$C$39</c:f>
              <c:numCache>
                <c:formatCode>_("R$"* #,##0.00_);_("R$"* \(#,##0.00\);_("R$"* "-"??_);_(@_)</c:formatCode>
                <c:ptCount val="4"/>
                <c:pt idx="0">
                  <c:v>2281900</c:v>
                </c:pt>
                <c:pt idx="2">
                  <c:v>2042500</c:v>
                </c:pt>
                <c:pt idx="3">
                  <c:v>436400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9-4B9C-B83D-0C1C2FF41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0407359"/>
        <c:axId val="490415679"/>
        <c:axId val="439888511"/>
      </c:bar3DChart>
      <c:catAx>
        <c:axId val="49040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415679"/>
        <c:crosses val="autoZero"/>
        <c:auto val="1"/>
        <c:lblAlgn val="ctr"/>
        <c:lblOffset val="100"/>
        <c:noMultiLvlLbl val="0"/>
      </c:catAx>
      <c:valAx>
        <c:axId val="49041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407359"/>
        <c:crosses val="autoZero"/>
        <c:crossBetween val="between"/>
      </c:valAx>
      <c:serAx>
        <c:axId val="43988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41567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[Dashboard_Projeto_Grupo_7_Custo_Manutenção_de_Estoque.xlsx]Estoque-Dinamica!Tabela dinâmica11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'Estoque-Dinamica'!$B$57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'Estoque-Dinamica'!$A$58:$A$62</c:f>
              <c:strCache>
                <c:ptCount val="4"/>
                <c:pt idx="0">
                  <c:v>Armazém C</c:v>
                </c:pt>
                <c:pt idx="1">
                  <c:v>Armazém A</c:v>
                </c:pt>
                <c:pt idx="2">
                  <c:v>Armazém D</c:v>
                </c:pt>
                <c:pt idx="3">
                  <c:v>Armazém B</c:v>
                </c:pt>
              </c:strCache>
            </c:strRef>
          </c:cat>
          <c:val>
            <c:numRef>
              <c:f>'Estoque-Dinamica'!$B$58:$B$62</c:f>
              <c:numCache>
                <c:formatCode>General</c:formatCode>
                <c:ptCount val="4"/>
                <c:pt idx="0">
                  <c:v>580</c:v>
                </c:pt>
                <c:pt idx="1">
                  <c:v>597</c:v>
                </c:pt>
                <c:pt idx="2">
                  <c:v>669</c:v>
                </c:pt>
                <c:pt idx="3">
                  <c:v>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A-404B-BDC0-1A9EE3BE2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0447183"/>
        <c:axId val="1950448847"/>
      </c:barChart>
      <c:catAx>
        <c:axId val="195044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0448847"/>
        <c:crosses val="autoZero"/>
        <c:auto val="1"/>
        <c:lblAlgn val="ctr"/>
        <c:lblOffset val="100"/>
        <c:noMultiLvlLbl val="0"/>
      </c:catAx>
      <c:valAx>
        <c:axId val="195044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044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[Dashboard_Projeto_Grupo_7_Custo_Manutenção_de_Estoque.xlsx]CapitalPA-Dinamica!Tabela dinâmica7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rPr>
              <a:t>Valor Total x Armazém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3785084871030316"/>
                  <c:h val="0.19952762903344298"/>
                </c:manualLayout>
              </c15:layout>
            </c:ext>
          </c:extLst>
        </c:dLbl>
      </c:pivotFmt>
      <c:pivotFmt>
        <c:idx val="1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6.5965537465097659E-2"/>
              <c:y val="8.190096285789462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51093373774128"/>
                  <c:h val="0.19952762903344298"/>
                </c:manualLayout>
              </c15:layout>
            </c:ext>
          </c:extLst>
        </c:dLbl>
      </c:pivotFmt>
      <c:pivotFmt>
        <c:idx val="1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5.669280198974333E-2"/>
              <c:y val="-1.14294616497026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ctr" rtl="0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219598186337134"/>
                  <c:h val="0.13797502387618665"/>
                </c:manualLayout>
              </c15:layout>
            </c:ext>
          </c:extLst>
        </c:dLbl>
      </c:pivotFmt>
      <c:pivotFmt>
        <c:idx val="1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50406347402942719"/>
                  <c:h val="0.19952762903344298"/>
                </c:manualLayout>
              </c15:layout>
            </c:ext>
          </c:extLst>
        </c:dLbl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'CapitalPA-Dinamica'!$B$28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4D-4592-BAF7-A18E87B61919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4D-4592-BAF7-A18E87B61919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4D-4592-BAF7-A18E87B61919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4D-4592-BAF7-A18E87B61919}"/>
              </c:ext>
            </c:extLst>
          </c:dPt>
          <c:dLbls>
            <c:dLbl>
              <c:idx val="0"/>
              <c:layout>
                <c:manualLayout>
                  <c:x val="-5.669280198974333E-2"/>
                  <c:y val="-1.14294616497026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 rtl="0">
                    <a:defRPr lang="en-US"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19598186337134"/>
                      <c:h val="0.137975023876186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C4D-4592-BAF7-A18E87B61919}"/>
                </c:ext>
              </c:extLst>
            </c:dLbl>
            <c:dLbl>
              <c:idx val="1"/>
              <c:layout>
                <c:manualLayout>
                  <c:x val="-6.5965537465097659E-2"/>
                  <c:y val="8.190096285789462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1093373774128"/>
                      <c:h val="0.199527629033442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C4D-4592-BAF7-A18E87B6191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3785084871030316"/>
                      <c:h val="0.199527629033442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C4D-4592-BAF7-A18E87B6191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0406347402942719"/>
                      <c:h val="0.199527629033442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C4D-4592-BAF7-A18E87B619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'CapitalPA-Dinamica'!$A$29:$A$33</c:f>
              <c:strCache>
                <c:ptCount val="4"/>
                <c:pt idx="0">
                  <c:v>Armazém C</c:v>
                </c:pt>
                <c:pt idx="1">
                  <c:v>Armazém B</c:v>
                </c:pt>
                <c:pt idx="2">
                  <c:v>Armazém A</c:v>
                </c:pt>
                <c:pt idx="3">
                  <c:v>Armazém D</c:v>
                </c:pt>
              </c:strCache>
            </c:strRef>
          </c:cat>
          <c:val>
            <c:numRef>
              <c:f>'CapitalPA-Dinamica'!$B$29:$B$33</c:f>
              <c:numCache>
                <c:formatCode>_("R$"* #,##0.00_);_("R$"* \(#,##0.00\);_("R$"* "-"??_);_(@_)</c:formatCode>
                <c:ptCount val="4"/>
                <c:pt idx="0">
                  <c:v>7297450000</c:v>
                </c:pt>
                <c:pt idx="1">
                  <c:v>12058450000</c:v>
                </c:pt>
                <c:pt idx="2">
                  <c:v>22246550000</c:v>
                </c:pt>
                <c:pt idx="3">
                  <c:v>23395450000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4D-4592-BAF7-A18E87B61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0040943"/>
        <c:axId val="170046767"/>
      </c:barChart>
      <c:valAx>
        <c:axId val="17004676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70040943"/>
        <c:crosses val="autoZero"/>
        <c:crossBetween val="between"/>
      </c:valAx>
      <c:catAx>
        <c:axId val="1700409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46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[Dashboard_Projeto_Grupo_7_Custo_Manutenção_de_Estoque.xlsx]CapitalPA-Dinamica!Tabela dinâmica6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rPr>
              <a:t> Valor Total x Produto</a:t>
            </a:r>
          </a:p>
        </c:rich>
      </c:tx>
      <c:layout>
        <c:manualLayout>
          <c:xMode val="edge"/>
          <c:yMode val="edge"/>
          <c:x val="0.47877654503664108"/>
          <c:y val="5.210238079572032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7171305609939E-3"/>
              <c:y val="5.02024163467330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295078341404172"/>
                  <c:h val="0.14570049521489489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3617338175920023E-2"/>
          <c:y val="9.2404834733696387E-2"/>
          <c:w val="0.97276532364815993"/>
          <c:h val="0.83245909465801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'CapitalPA-Dinamica'!$B$3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6CE-4CCB-BFF7-A04F630BC401}"/>
              </c:ext>
            </c:extLst>
          </c:dPt>
          <c:dLbls>
            <c:dLbl>
              <c:idx val="6"/>
              <c:layout>
                <c:manualLayout>
                  <c:x val="-4.9517171305609939E-3"/>
                  <c:y val="5.0202416346733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295078341404172"/>
                      <c:h val="0.145700495214894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66CE-4CCB-BFF7-A04F630BC4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'CapitalPA-Dinamica'!$A$4:$A$13</c:f>
              <c:strCache>
                <c:ptCount val="9"/>
                <c:pt idx="0">
                  <c:v>E195</c:v>
                </c:pt>
                <c:pt idx="1">
                  <c:v>ERJ 145XR</c:v>
                </c:pt>
                <c:pt idx="2">
                  <c:v>Legacy 600</c:v>
                </c:pt>
                <c:pt idx="3">
                  <c:v>KC390</c:v>
                </c:pt>
                <c:pt idx="4">
                  <c:v>Phenom 100</c:v>
                </c:pt>
                <c:pt idx="5">
                  <c:v>EMB 145 AEW&amp;C</c:v>
                </c:pt>
                <c:pt idx="6">
                  <c:v>Preator 600</c:v>
                </c:pt>
                <c:pt idx="7">
                  <c:v>E190</c:v>
                </c:pt>
                <c:pt idx="8">
                  <c:v>EMB 314 Super Tucano</c:v>
                </c:pt>
              </c:strCache>
            </c:strRef>
          </c:cat>
          <c:val>
            <c:numRef>
              <c:f>'CapitalPA-Dinamica'!$B$4:$B$13</c:f>
              <c:numCache>
                <c:formatCode>_("R$"* #,##0.00_);_("R$"* \(#,##0.00\);_("R$"* "-"??_);_(@_)</c:formatCode>
                <c:ptCount val="9"/>
                <c:pt idx="0">
                  <c:v>14274000000</c:v>
                </c:pt>
                <c:pt idx="1">
                  <c:v>12166000000</c:v>
                </c:pt>
                <c:pt idx="2">
                  <c:v>7632000000</c:v>
                </c:pt>
                <c:pt idx="3">
                  <c:v>6574600000</c:v>
                </c:pt>
                <c:pt idx="4">
                  <c:v>5601800000</c:v>
                </c:pt>
                <c:pt idx="5">
                  <c:v>5194800000</c:v>
                </c:pt>
                <c:pt idx="6">
                  <c:v>5189600000</c:v>
                </c:pt>
                <c:pt idx="7">
                  <c:v>5087600000</c:v>
                </c:pt>
                <c:pt idx="8">
                  <c:v>3277500000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3-415F-9F01-68A48F99C3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96380223"/>
        <c:axId val="1896377727"/>
      </c:barChart>
      <c:catAx>
        <c:axId val="189638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6377727"/>
        <c:crosses val="autoZero"/>
        <c:auto val="1"/>
        <c:lblAlgn val="ctr"/>
        <c:lblOffset val="100"/>
        <c:noMultiLvlLbl val="0"/>
      </c:catAx>
      <c:valAx>
        <c:axId val="189637772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9638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algn="ctr">
        <a:defRPr lang="en-US" sz="1200" b="1" i="0" u="none" strike="noStrike" kern="1200" baseline="0"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[Dashboard_Projeto_Grupo_7_Custo_Manutenção_de_Estoque.xlsx]CapitalPA-Dinamica!Tabela dinâmica8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situação x quantidade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'CapitalPA-Dinamica'!$B$38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'CapitalPA-Dinamica'!$A$39:$A$43</c:f>
              <c:strCache>
                <c:ptCount val="4"/>
                <c:pt idx="0">
                  <c:v>Disponível</c:v>
                </c:pt>
                <c:pt idx="1">
                  <c:v>Em Produção</c:v>
                </c:pt>
                <c:pt idx="2">
                  <c:v>Avariado</c:v>
                </c:pt>
                <c:pt idx="3">
                  <c:v>Obsoleto</c:v>
                </c:pt>
              </c:strCache>
            </c:strRef>
          </c:cat>
          <c:val>
            <c:numRef>
              <c:f>'CapitalPA-Dinamica'!$B$39:$B$43</c:f>
              <c:numCache>
                <c:formatCode>General</c:formatCode>
                <c:ptCount val="4"/>
                <c:pt idx="0">
                  <c:v>859</c:v>
                </c:pt>
                <c:pt idx="1">
                  <c:v>525</c:v>
                </c:pt>
                <c:pt idx="2">
                  <c:v>48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6-4B9F-A8E9-E4D54BA05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2161791"/>
        <c:axId val="1902674175"/>
      </c:barChart>
      <c:catAx>
        <c:axId val="1332161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2674175"/>
        <c:crosses val="autoZero"/>
        <c:auto val="1"/>
        <c:lblAlgn val="ctr"/>
        <c:lblOffset val="100"/>
        <c:noMultiLvlLbl val="0"/>
      </c:catAx>
      <c:valAx>
        <c:axId val="190267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16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[Dashboard_Projeto_Grupo_7_Custo_Manutenção_de_Estoque.xlsx]CapitalPA-Dinamica!Tabela dinâmica8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rPr>
              <a:t>Quantidade x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18DFF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017545798465466E-2"/>
              <c:y val="6.55737704918026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9EA17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4385968886854231"/>
              <c:y val="-6.55737704918032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2239E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7.3684230883887522E-2"/>
              <c:y val="-6.5573770491803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98A1A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5.2631593488491023E-2"/>
              <c:y val="-7.5409836065573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'CapitalPA-Dinamica'!$B$38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118DFF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306B-43E6-A10E-76DE338C7B09}"/>
              </c:ext>
            </c:extLst>
          </c:dPt>
          <c:dPt>
            <c:idx val="1"/>
            <c:bubble3D val="0"/>
            <c:spPr>
              <a:solidFill>
                <a:srgbClr val="F9EA17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6B-43E6-A10E-76DE338C7B09}"/>
              </c:ext>
            </c:extLst>
          </c:dPt>
          <c:dPt>
            <c:idx val="2"/>
            <c:bubble3D val="0"/>
            <c:spPr>
              <a:solidFill>
                <a:srgbClr val="12239E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06B-43E6-A10E-76DE338C7B09}"/>
              </c:ext>
            </c:extLst>
          </c:dPt>
          <c:dPt>
            <c:idx val="3"/>
            <c:bubble3D val="0"/>
            <c:spPr>
              <a:solidFill>
                <a:srgbClr val="098A1A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6B-43E6-A10E-76DE338C7B09}"/>
              </c:ext>
            </c:extLst>
          </c:dPt>
          <c:dLbls>
            <c:dLbl>
              <c:idx val="0"/>
              <c:layout>
                <c:manualLayout>
                  <c:x val="7.017545798465466E-2"/>
                  <c:y val="6.557377049180268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6B-43E6-A10E-76DE338C7B09}"/>
                </c:ext>
              </c:extLst>
            </c:dLbl>
            <c:dLbl>
              <c:idx val="1"/>
              <c:layout>
                <c:manualLayout>
                  <c:x val="-0.14385968886854231"/>
                  <c:y val="-6.557377049180328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6B-43E6-A10E-76DE338C7B09}"/>
                </c:ext>
              </c:extLst>
            </c:dLbl>
            <c:dLbl>
              <c:idx val="2"/>
              <c:layout>
                <c:manualLayout>
                  <c:x val="-7.3684230883887522E-2"/>
                  <c:y val="-6.55737704918033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6B-43E6-A10E-76DE338C7B09}"/>
                </c:ext>
              </c:extLst>
            </c:dLbl>
            <c:dLbl>
              <c:idx val="3"/>
              <c:layout>
                <c:manualLayout>
                  <c:x val="5.2631593488491023E-2"/>
                  <c:y val="-7.5409836065573776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6B-43E6-A10E-76DE338C7B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'CapitalPA-Dinamica'!$A$39:$A$43</c:f>
              <c:strCache>
                <c:ptCount val="4"/>
                <c:pt idx="0">
                  <c:v>Disponível</c:v>
                </c:pt>
                <c:pt idx="1">
                  <c:v>Em Produção</c:v>
                </c:pt>
                <c:pt idx="2">
                  <c:v>Avariado</c:v>
                </c:pt>
                <c:pt idx="3">
                  <c:v>Obsoleto</c:v>
                </c:pt>
              </c:strCache>
            </c:strRef>
          </c:cat>
          <c:val>
            <c:numRef>
              <c:f>'CapitalPA-Dinamica'!$B$39:$B$43</c:f>
              <c:numCache>
                <c:formatCode>General</c:formatCode>
                <c:ptCount val="4"/>
                <c:pt idx="0">
                  <c:v>859</c:v>
                </c:pt>
                <c:pt idx="1">
                  <c:v>525</c:v>
                </c:pt>
                <c:pt idx="2">
                  <c:v>48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0-4826-A66D-633C29EB33C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67592918246419E-2"/>
          <c:y val="0.81911707757841745"/>
          <c:w val="0.9240864550591118"/>
          <c:h val="0.16121079127404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[Dashboard_Projeto_Grupo_7_Custo_Manutenção_de_Estoque.xlsx]CapitalPA-Dinamica!Tabela dinâmica1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>
                <a:effectLst/>
              </a:rPr>
              <a:t>Quantidade x </a:t>
            </a:r>
            <a:r>
              <a:rPr lang="en-US" sz="20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rPr>
              <a:t>Armazém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'CapitalPA-Dinamica'!$B$18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'CapitalPA-Dinamica'!$A$19:$A$23</c:f>
              <c:strCache>
                <c:ptCount val="4"/>
                <c:pt idx="0">
                  <c:v>Armazém C</c:v>
                </c:pt>
                <c:pt idx="1">
                  <c:v>Armazém B</c:v>
                </c:pt>
                <c:pt idx="2">
                  <c:v>Armazém A</c:v>
                </c:pt>
                <c:pt idx="3">
                  <c:v>Armazém D</c:v>
                </c:pt>
              </c:strCache>
            </c:strRef>
          </c:cat>
          <c:val>
            <c:numRef>
              <c:f>'CapitalPA-Dinamica'!$B$19:$B$23</c:f>
              <c:numCache>
                <c:formatCode>General</c:formatCode>
                <c:ptCount val="4"/>
                <c:pt idx="0">
                  <c:v>153</c:v>
                </c:pt>
                <c:pt idx="1">
                  <c:v>304</c:v>
                </c:pt>
                <c:pt idx="2">
                  <c:v>492</c:v>
                </c:pt>
                <c:pt idx="3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E-4DB7-8923-E11E7CD52A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74320927"/>
        <c:axId val="1874336735"/>
      </c:barChart>
      <c:catAx>
        <c:axId val="1874320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336735"/>
        <c:crosses val="autoZero"/>
        <c:auto val="1"/>
        <c:lblAlgn val="ctr"/>
        <c:lblOffset val="100"/>
        <c:noMultiLvlLbl val="0"/>
      </c:catAx>
      <c:valAx>
        <c:axId val="1874336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432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[Dashboard_Projeto_Grupo_7_Custo_Manutenção_de_Estoque.xlsx]CapitalPA-Dinamica!Tabela dinâmica2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20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rPr>
              <a:t>Valor Total x Status</a:t>
            </a:r>
          </a:p>
        </c:rich>
      </c:tx>
      <c:layout>
        <c:manualLayout>
          <c:xMode val="edge"/>
          <c:yMode val="edge"/>
          <c:x val="0.3494276271021677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2000" b="1" i="0" u="none" strike="noStrike" kern="120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12239E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1189556230439267"/>
              <c:y val="8.30338342271455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792184310294543"/>
                  <c:h val="0.18616239459429273"/>
                </c:manualLayout>
              </c15:layout>
            </c:ext>
          </c:extLst>
        </c:dLbl>
      </c:pivotFmt>
      <c:pivotFmt>
        <c:idx val="8"/>
        <c:spPr>
          <a:solidFill>
            <a:srgbClr val="118DFF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4928002981108845"/>
              <c:y val="-0.120227435768564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549392437056472"/>
                  <c:h val="0.17197799743117217"/>
                </c:manualLayout>
              </c15:layout>
            </c:ext>
          </c:extLst>
        </c:dLbl>
      </c:pivotFmt>
      <c:pivotFmt>
        <c:idx val="9"/>
        <c:spPr>
          <a:solidFill>
            <a:srgbClr val="F9EA17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0859084281131523"/>
              <c:y val="8.93806891159881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372431223874792"/>
                  <c:h val="0.17197799743117217"/>
                </c:manualLayout>
              </c15:layout>
            </c:ext>
          </c:extLst>
        </c:dLbl>
      </c:pivotFmt>
      <c:pivotFmt>
        <c:idx val="10"/>
        <c:spPr>
          <a:solidFill>
            <a:srgbClr val="098A1A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0397025371828526"/>
              <c:y val="5.77172442233591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327170214834252"/>
                  <c:h val="0.17197799743117217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1111916236763512"/>
          <c:y val="0.14433942632170976"/>
          <c:w val="0.43552029595438502"/>
          <c:h val="0.72171934758155232"/>
        </c:manualLayout>
      </c:layout>
      <c:pieChart>
        <c:varyColors val="1"/>
        <c:ser>
          <c:idx val="0"/>
          <c:order val="0"/>
          <c:tx>
            <c:strRef>
              <c:f>'CapitalPA-Dinamica'!$B$80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12239E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32-4991-8E60-11F688B52741}"/>
              </c:ext>
            </c:extLst>
          </c:dPt>
          <c:dPt>
            <c:idx val="1"/>
            <c:bubble3D val="0"/>
            <c:spPr>
              <a:solidFill>
                <a:srgbClr val="118DFF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32-4991-8E60-11F688B52741}"/>
              </c:ext>
            </c:extLst>
          </c:dPt>
          <c:dPt>
            <c:idx val="2"/>
            <c:bubble3D val="0"/>
            <c:spPr>
              <a:solidFill>
                <a:srgbClr val="F9EA17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32-4991-8E60-11F688B52741}"/>
              </c:ext>
            </c:extLst>
          </c:dPt>
          <c:dPt>
            <c:idx val="3"/>
            <c:bubble3D val="0"/>
            <c:spPr>
              <a:solidFill>
                <a:srgbClr val="098A1A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832-4991-8E60-11F688B52741}"/>
              </c:ext>
            </c:extLst>
          </c:dPt>
          <c:dLbls>
            <c:dLbl>
              <c:idx val="0"/>
              <c:layout>
                <c:manualLayout>
                  <c:x val="0.11189556230439267"/>
                  <c:y val="8.30338342271455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92184310294543"/>
                      <c:h val="0.186162394594292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832-4991-8E60-11F688B52741}"/>
                </c:ext>
              </c:extLst>
            </c:dLbl>
            <c:dLbl>
              <c:idx val="1"/>
              <c:layout>
                <c:manualLayout>
                  <c:x val="-0.14928002981108845"/>
                  <c:y val="-0.1202274357685649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49392437056472"/>
                      <c:h val="0.171977997431172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832-4991-8E60-11F688B52741}"/>
                </c:ext>
              </c:extLst>
            </c:dLbl>
            <c:dLbl>
              <c:idx val="2"/>
              <c:layout>
                <c:manualLayout>
                  <c:x val="0.10859084281131523"/>
                  <c:y val="8.938068911598816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372431223874792"/>
                      <c:h val="0.171977997431172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832-4991-8E60-11F688B52741}"/>
                </c:ext>
              </c:extLst>
            </c:dLbl>
            <c:dLbl>
              <c:idx val="3"/>
              <c:layout>
                <c:manualLayout>
                  <c:x val="-0.10397025371828526"/>
                  <c:y val="5.771724422335916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327170214834252"/>
                      <c:h val="0.171977997431172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832-4991-8E60-11F688B527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'CapitalPA-Dinamica'!$A$81:$A$85</c:f>
              <c:strCache>
                <c:ptCount val="4"/>
                <c:pt idx="0">
                  <c:v>Avariado</c:v>
                </c:pt>
                <c:pt idx="1">
                  <c:v>Disponível</c:v>
                </c:pt>
                <c:pt idx="2">
                  <c:v>Em Produção</c:v>
                </c:pt>
                <c:pt idx="3">
                  <c:v>Obsoleto</c:v>
                </c:pt>
              </c:strCache>
            </c:strRef>
          </c:cat>
          <c:val>
            <c:numRef>
              <c:f>'CapitalPA-Dinamica'!$B$81:$B$85</c:f>
              <c:numCache>
                <c:formatCode>_("R$"* #,##0.00_);_("R$"* \(#,##0.00\);_("R$"* "-"??_);_(@_)</c:formatCode>
                <c:ptCount val="4"/>
                <c:pt idx="0">
                  <c:v>2153550000</c:v>
                </c:pt>
                <c:pt idx="1">
                  <c:v>37389150000</c:v>
                </c:pt>
                <c:pt idx="2">
                  <c:v>23486850000</c:v>
                </c:pt>
                <c:pt idx="3">
                  <c:v>1968350000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32-4991-8E60-11F688B527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[Dashboard_Projeto_Grupo_7_Custo_Manutenção_de_Estoque.xlsx]CapitalMP-Dinamica!Tabela dinâmica5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Valor Total x Matéria Prima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2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345895020188524E-3"/>
              <c:y val="-4.67169609697265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3458950201884253E-3"/>
              <c:y val="-4.96367710303344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465858434362368E-2"/>
          <c:y val="8.3072631450443746E-2"/>
          <c:w val="0.89519945423488734"/>
          <c:h val="0.677398463030376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'CapitalMP-Dinamica'!$B$32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B422-4778-9F78-4DD7C623F3B6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22-4778-9F78-4DD7C623F3B6}"/>
              </c:ext>
            </c:extLst>
          </c:dPt>
          <c:dLbls>
            <c:dLbl>
              <c:idx val="6"/>
              <c:layout>
                <c:manualLayout>
                  <c:x val="-1.345895020188524E-3"/>
                  <c:y val="-4.67169609697265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22-4778-9F78-4DD7C623F3B6}"/>
                </c:ext>
              </c:extLst>
            </c:dLbl>
            <c:dLbl>
              <c:idx val="8"/>
              <c:layout>
                <c:manualLayout>
                  <c:x val="-1.3458950201884253E-3"/>
                  <c:y val="-4.96367710303344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22-4778-9F78-4DD7C623F3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'CapitalMP-Dinamica'!$A$33:$A$42</c:f>
              <c:strCache>
                <c:ptCount val="9"/>
                <c:pt idx="0">
                  <c:v>Liga de Aluminio 7075</c:v>
                </c:pt>
                <c:pt idx="1">
                  <c:v>Fibra de Carbono</c:v>
                </c:pt>
                <c:pt idx="2">
                  <c:v>Liga de Titânio</c:v>
                </c:pt>
                <c:pt idx="3">
                  <c:v>Tecido Kevlar</c:v>
                </c:pt>
                <c:pt idx="4">
                  <c:v>HoneyKomb</c:v>
                </c:pt>
                <c:pt idx="5">
                  <c:v>Fibra de vidro </c:v>
                </c:pt>
                <c:pt idx="6">
                  <c:v>Liga de Aço</c:v>
                </c:pt>
                <c:pt idx="7">
                  <c:v>Espuma</c:v>
                </c:pt>
                <c:pt idx="8">
                  <c:v>Resina Epoxi</c:v>
                </c:pt>
              </c:strCache>
            </c:strRef>
          </c:cat>
          <c:val>
            <c:numRef>
              <c:f>'CapitalMP-Dinamica'!$B$33:$B$42</c:f>
              <c:numCache>
                <c:formatCode>_("R$"* #,##0.00_);_("R$"* \(#,##0.00\);_("R$"* "-"??_);_(@_)</c:formatCode>
                <c:ptCount val="9"/>
                <c:pt idx="0">
                  <c:v>34125000</c:v>
                </c:pt>
                <c:pt idx="1">
                  <c:v>16800000</c:v>
                </c:pt>
                <c:pt idx="2">
                  <c:v>10400000</c:v>
                </c:pt>
                <c:pt idx="3">
                  <c:v>7200000</c:v>
                </c:pt>
                <c:pt idx="4">
                  <c:v>5440000</c:v>
                </c:pt>
                <c:pt idx="5">
                  <c:v>4150000</c:v>
                </c:pt>
                <c:pt idx="6">
                  <c:v>4150000</c:v>
                </c:pt>
                <c:pt idx="7">
                  <c:v>1725000</c:v>
                </c:pt>
                <c:pt idx="8">
                  <c:v>1545000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A-49EE-A5F5-FDB07D9C99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911552"/>
        <c:axId val="1019199696"/>
      </c:barChart>
      <c:catAx>
        <c:axId val="19291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780000" spcFirstLastPara="1" vertOverflow="ellipsis" wrap="square" anchor="ctr" anchorCtr="1"/>
          <a:lstStyle/>
          <a:p>
            <a:pPr algn="ctr">
              <a:defRPr lang="en-US" sz="12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9199696"/>
        <c:crosses val="autoZero"/>
        <c:auto val="1"/>
        <c:lblAlgn val="ctr"/>
        <c:lblOffset val="100"/>
        <c:noMultiLvlLbl val="0"/>
      </c:catAx>
      <c:valAx>
        <c:axId val="10191996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291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[Dashboard_Projeto_Grupo_7_Custo_Manutenção_de_Estoque.xlsx]CapitalMP-Dinamica!Tabela dinâmica4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rPr>
              <a:t>Quantidade x Status</a:t>
            </a:r>
          </a:p>
          <a:p>
            <a:pPr algn="ctr" rtl="0">
              <a:defRPr lang="en-US" sz="20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endParaRPr lang="en-US" sz="2000" b="1" i="0" u="none" strike="noStrike" kern="1200" baseline="0">
              <a:solidFill>
                <a:sysClr val="window" lastClr="FFFFFF"/>
              </a:solidFill>
              <a:latin typeface="+mn-lt"/>
              <a:ea typeface="+mn-ea"/>
              <a:cs typeface="+mn-cs"/>
            </a:endParaRPr>
          </a:p>
          <a:p>
            <a:pPr algn="ctr" rtl="0">
              <a:defRPr lang="en-US" sz="20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endParaRPr lang="en-US" sz="2000" b="1" i="0" u="none" strike="noStrike" kern="1200" baseline="0">
              <a:solidFill>
                <a:sysClr val="window" lastClr="FFFFFF"/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27257980454763853"/>
          <c:y val="2.0865896362762096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18DFF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017545798465466E-2"/>
              <c:y val="6.55737704918026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9EA17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4385968886854231"/>
              <c:y val="-6.55737704918032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2239E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7.3684230883887522E-2"/>
              <c:y val="-6.5573770491803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98A1A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5.2631593488491023E-2"/>
              <c:y val="-7.5409836065573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18DFF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017545798465466E-2"/>
              <c:y val="6.55737704918026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9EA17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4385968886854231"/>
              <c:y val="-6.55737704918032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12239E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7.3684230883887522E-2"/>
              <c:y val="-6.5573770491803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98A1A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5.2631593488491023E-2"/>
              <c:y val="-7.5409836065573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118DFF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017545798465466E-2"/>
              <c:y val="6.55737704918026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9EA17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4385968886854231"/>
              <c:y val="-6.55737704918032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12239E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7.3684230883887522E-2"/>
              <c:y val="-6.5573770491803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98A1A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5.2631593488491023E-2"/>
              <c:y val="-7.5409836065573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098A1A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017545798465466E-2"/>
              <c:y val="6.55737704918026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12239E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4385968886854231"/>
              <c:y val="-6.55737704918032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9EA17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6903224150223972"/>
              <c:y val="-1.34089398043534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118DFF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5.2631593488491023E-2"/>
              <c:y val="-7.5409836065573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326162096811696"/>
          <c:y val="0.14752243494604989"/>
          <c:w val="0.656521972890866"/>
          <c:h val="0.74231028737980198"/>
        </c:manualLayout>
      </c:layout>
      <c:doughnutChart>
        <c:varyColors val="1"/>
        <c:ser>
          <c:idx val="0"/>
          <c:order val="0"/>
          <c:tx>
            <c:strRef>
              <c:f>'CapitalMP-Dinamica'!$B$18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98A1A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D49-465B-8D6D-F530FABE11E3}"/>
              </c:ext>
            </c:extLst>
          </c:dPt>
          <c:dPt>
            <c:idx val="1"/>
            <c:bubble3D val="0"/>
            <c:spPr>
              <a:solidFill>
                <a:srgbClr val="12239E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D49-465B-8D6D-F530FABE11E3}"/>
              </c:ext>
            </c:extLst>
          </c:dPt>
          <c:dPt>
            <c:idx val="2"/>
            <c:bubble3D val="0"/>
            <c:spPr>
              <a:solidFill>
                <a:srgbClr val="F9EA17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1D49-465B-8D6D-F530FABE11E3}"/>
              </c:ext>
            </c:extLst>
          </c:dPt>
          <c:dPt>
            <c:idx val="3"/>
            <c:bubble3D val="0"/>
            <c:spPr>
              <a:solidFill>
                <a:srgbClr val="118DFF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1D49-465B-8D6D-F530FABE11E3}"/>
              </c:ext>
            </c:extLst>
          </c:dPt>
          <c:dLbls>
            <c:dLbl>
              <c:idx val="0"/>
              <c:layout>
                <c:manualLayout>
                  <c:x val="7.017545798465466E-2"/>
                  <c:y val="6.557377049180268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D49-465B-8D6D-F530FABE11E3}"/>
                </c:ext>
              </c:extLst>
            </c:dLbl>
            <c:dLbl>
              <c:idx val="1"/>
              <c:layout>
                <c:manualLayout>
                  <c:x val="-0.14385968886854231"/>
                  <c:y val="-6.557377049180328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D49-465B-8D6D-F530FABE11E3}"/>
                </c:ext>
              </c:extLst>
            </c:dLbl>
            <c:dLbl>
              <c:idx val="2"/>
              <c:layout>
                <c:manualLayout>
                  <c:x val="-0.16903224150223972"/>
                  <c:y val="-1.3408939804353469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D49-465B-8D6D-F530FABE11E3}"/>
                </c:ext>
              </c:extLst>
            </c:dLbl>
            <c:dLbl>
              <c:idx val="3"/>
              <c:layout>
                <c:manualLayout>
                  <c:x val="5.2631593488491023E-2"/>
                  <c:y val="-7.5409836065573776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D49-465B-8D6D-F530FABE11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'CapitalMP-Dinamica'!$A$19:$A$23</c:f>
              <c:strCache>
                <c:ptCount val="4"/>
                <c:pt idx="0">
                  <c:v>Depreciado</c:v>
                </c:pt>
                <c:pt idx="1">
                  <c:v>Disponível</c:v>
                </c:pt>
                <c:pt idx="2">
                  <c:v>Em processo</c:v>
                </c:pt>
                <c:pt idx="3">
                  <c:v>Obsoleto</c:v>
                </c:pt>
              </c:strCache>
            </c:strRef>
          </c:cat>
          <c:val>
            <c:numRef>
              <c:f>'CapitalMP-Dinamica'!$B$19:$B$23</c:f>
              <c:numCache>
                <c:formatCode>General</c:formatCode>
                <c:ptCount val="4"/>
                <c:pt idx="0">
                  <c:v>12100</c:v>
                </c:pt>
                <c:pt idx="1">
                  <c:v>15450</c:v>
                </c:pt>
                <c:pt idx="2">
                  <c:v>9400</c:v>
                </c:pt>
                <c:pt idx="3">
                  <c:v>16250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D49-465B-8D6D-F530FABE11E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</c:plotArea>
    <c:legend>
      <c:legendPos val="b"/>
      <c:layout>
        <c:manualLayout>
          <c:xMode val="edge"/>
          <c:yMode val="edge"/>
          <c:x val="3.4903106933056413E-2"/>
          <c:y val="0.89562533612713624"/>
          <c:w val="0.96099526093897747"/>
          <c:h val="8.4702395361089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[Dashboard_Projeto_Grupo_7_Custo_Manutenção_de_Estoque.xlsx]CapitalMP-Dinamica!Tabela dinâmica7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Valor Total x Armazém</a:t>
            </a:r>
          </a:p>
        </c:rich>
      </c:tx>
      <c:layout>
        <c:manualLayout>
          <c:xMode val="edge"/>
          <c:yMode val="edge"/>
          <c:x val="0.3018749524378127"/>
          <c:y val="1.9230769230769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0.10526101544350713"/>
              <c:y val="0.10612533812593869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0.181779583180147"/>
              <c:y val="-8.9164163085343751E-2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0.13256971580370874"/>
              <c:y val="-0.11528713265735399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0.17414323612620794"/>
              <c:y val="0.11898440569860201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-0.10526101544350713"/>
              <c:y val="0.10612533812593869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-0.181779583180147"/>
              <c:y val="-8.9164163085343751E-2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0.13256971580370874"/>
              <c:y val="-0.11528713265735399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0.17414323612620794"/>
              <c:y val="0.11898440569860201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31886818678418161"/>
              <c:y val="-1.739476075106113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92985546616467"/>
                  <c:h val="0.1504807692307692"/>
                </c:manualLayout>
              </c15:layout>
            </c:ext>
          </c:extLst>
        </c:dLbl>
      </c:pivotFmt>
      <c:pivotFmt>
        <c:idx val="1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20535221945271262"/>
              <c:y val="3.436175045426955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239326204946754"/>
                  <c:h val="0.1504807692307692"/>
                </c:manualLayout>
              </c15:layout>
            </c:ext>
          </c:extLst>
        </c:dLbl>
      </c:pivotFmt>
      <c:pivotFmt>
        <c:idx val="1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1136213543358353"/>
              <c:y val="-4.851983646274984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1861494589373577"/>
                  <c:h val="0.14407051282051278"/>
                </c:manualLayout>
              </c15:layout>
            </c:ext>
          </c:extLst>
        </c:dLbl>
      </c:pivotFmt>
      <c:pivotFmt>
        <c:idx val="2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2137029992565295"/>
              <c:y val="8.168408035534020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6019813717066862"/>
                  <c:h val="0.1504807692307692"/>
                </c:manualLayout>
              </c15:layout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'CapitalMP-Dinamica'!$B$46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295-42AD-A5C0-CD7F29ACA891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295-42AD-A5C0-CD7F29ACA891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295-42AD-A5C0-CD7F29ACA891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295-42AD-A5C0-CD7F29ACA891}"/>
              </c:ext>
            </c:extLst>
          </c:dPt>
          <c:dLbls>
            <c:dLbl>
              <c:idx val="0"/>
              <c:layout>
                <c:manualLayout>
                  <c:x val="-0.31886818678418161"/>
                  <c:y val="-1.73947607510611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592985546616467"/>
                      <c:h val="0.15048076923076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295-42AD-A5C0-CD7F29ACA891}"/>
                </c:ext>
              </c:extLst>
            </c:dLbl>
            <c:dLbl>
              <c:idx val="1"/>
              <c:layout>
                <c:manualLayout>
                  <c:x val="-0.2137029992565295"/>
                  <c:y val="8.16840803553402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019813717066862"/>
                      <c:h val="0.15048076923076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295-42AD-A5C0-CD7F29ACA891}"/>
                </c:ext>
              </c:extLst>
            </c:dLbl>
            <c:dLbl>
              <c:idx val="2"/>
              <c:layout>
                <c:manualLayout>
                  <c:x val="-0.20535221945271262"/>
                  <c:y val="3.43617504542695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239326204946754"/>
                      <c:h val="0.15048076923076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295-42AD-A5C0-CD7F29ACA891}"/>
                </c:ext>
              </c:extLst>
            </c:dLbl>
            <c:dLbl>
              <c:idx val="3"/>
              <c:layout>
                <c:manualLayout>
                  <c:x val="-0.11136213543358353"/>
                  <c:y val="-4.851983646274984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861494589373577"/>
                      <c:h val="0.144070512820512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295-42AD-A5C0-CD7F29ACA8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'CapitalMP-Dinamica'!$A$47:$A$51</c:f>
              <c:strCache>
                <c:ptCount val="4"/>
                <c:pt idx="0">
                  <c:v>Armazem A</c:v>
                </c:pt>
                <c:pt idx="1">
                  <c:v>Armazem D</c:v>
                </c:pt>
                <c:pt idx="2">
                  <c:v>Armazem B</c:v>
                </c:pt>
                <c:pt idx="3">
                  <c:v>Armazem C</c:v>
                </c:pt>
              </c:strCache>
            </c:strRef>
          </c:cat>
          <c:val>
            <c:numRef>
              <c:f>'CapitalMP-Dinamica'!$B$47:$B$51</c:f>
              <c:numCache>
                <c:formatCode>_("R$"* #,##0.00_);_("R$"* \(#,##0.00\);_("R$"* "-"??_);_(@_)</c:formatCode>
                <c:ptCount val="4"/>
                <c:pt idx="0">
                  <c:v>17535000</c:v>
                </c:pt>
                <c:pt idx="1">
                  <c:v>21590000</c:v>
                </c:pt>
                <c:pt idx="2">
                  <c:v>22075000</c:v>
                </c:pt>
                <c:pt idx="3">
                  <c:v>24335000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95-42AD-A5C0-CD7F29ACA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45431807"/>
        <c:axId val="1545423071"/>
      </c:barChart>
      <c:valAx>
        <c:axId val="154542307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45431807"/>
        <c:crosses val="autoZero"/>
        <c:crossBetween val="between"/>
      </c:valAx>
      <c:catAx>
        <c:axId val="1545431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5423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[Dashboard_Projeto_Grupo_7_Custo_Manutenção_de_Estoque.xlsx]CapitalMP-Dinamica!Tabela dinâmica3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Quantidade x Armazém</a:t>
            </a:r>
          </a:p>
        </c:rich>
      </c:tx>
      <c:layout>
        <c:manualLayout>
          <c:xMode val="edge"/>
          <c:yMode val="edge"/>
          <c:x val="0.18519759792684146"/>
          <c:y val="1.5384615384615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'CapitalMP-Dinamica'!$B$64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'CapitalMP-Dinamica'!$A$65:$A$69</c:f>
              <c:strCache>
                <c:ptCount val="4"/>
                <c:pt idx="0">
                  <c:v>Armazem A</c:v>
                </c:pt>
                <c:pt idx="1">
                  <c:v>Armazem D</c:v>
                </c:pt>
                <c:pt idx="2">
                  <c:v>Armazem C</c:v>
                </c:pt>
                <c:pt idx="3">
                  <c:v>Armazem B</c:v>
                </c:pt>
              </c:strCache>
            </c:strRef>
          </c:cat>
          <c:val>
            <c:numRef>
              <c:f>'CapitalMP-Dinamica'!$B$65:$B$69</c:f>
              <c:numCache>
                <c:formatCode>_-* #,##0_-;\-* #,##0_-;_-* "-"??_-;_-@_-</c:formatCode>
                <c:ptCount val="4"/>
                <c:pt idx="0">
                  <c:v>9300</c:v>
                </c:pt>
                <c:pt idx="1">
                  <c:v>13600</c:v>
                </c:pt>
                <c:pt idx="2">
                  <c:v>14550</c:v>
                </c:pt>
                <c:pt idx="3">
                  <c:v>15750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D-4EE5-ACC9-A157794E45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23595695"/>
        <c:axId val="1323596527"/>
      </c:barChart>
      <c:catAx>
        <c:axId val="1323595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3596527"/>
        <c:crosses val="autoZero"/>
        <c:auto val="1"/>
        <c:lblAlgn val="ctr"/>
        <c:lblOffset val="100"/>
        <c:noMultiLvlLbl val="0"/>
      </c:catAx>
      <c:valAx>
        <c:axId val="1323596527"/>
        <c:scaling>
          <c:orientation val="minMax"/>
        </c:scaling>
        <c:delete val="1"/>
        <c:axPos val="b"/>
        <c:numFmt formatCode="_-* #,##0_-;\-* #,##0_-;_-* &quot;-&quot;??_-;_-@_-" sourceLinked="1"/>
        <c:majorTickMark val="none"/>
        <c:minorTickMark val="none"/>
        <c:tickLblPos val="nextTo"/>
        <c:crossAx val="13235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[Dashboard_Projeto_Grupo_7_Custo_Manutenção_de_Estoque.xlsx]CapitalMP-Dinamica!Tabela dinâmica8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rPr>
              <a:t>Valor Total x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98A1A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8880071037315987"/>
              <c:y val="0.186933390082996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322000171174255"/>
                  <c:h val="0.27685810810810813"/>
                </c:manualLayout>
              </c15:layout>
            </c:ext>
          </c:extLst>
        </c:dLbl>
      </c:pivotFmt>
      <c:pivotFmt>
        <c:idx val="8"/>
        <c:spPr>
          <a:solidFill>
            <a:srgbClr val="12239E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4880178021234"/>
              <c:y val="-0.2422889178548626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952434953782953"/>
                  <c:h val="0.23293918918918916"/>
                </c:manualLayout>
              </c15:layout>
            </c:ext>
          </c:extLst>
        </c:dLbl>
      </c:pivotFmt>
      <c:pivotFmt>
        <c:idx val="9"/>
        <c:spPr>
          <a:solidFill>
            <a:srgbClr val="F9EA17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0352618966107432E-3"/>
              <c:y val="-4.60398489040221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952434953782953"/>
                  <c:h val="0.29633964673334751"/>
                </c:manualLayout>
              </c15:layout>
            </c:ext>
          </c:extLst>
        </c:dLbl>
      </c:pivotFmt>
      <c:pivotFmt>
        <c:idx val="10"/>
        <c:spPr>
          <a:solidFill>
            <a:srgbClr val="118DFF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261736134885313"/>
              <c:y val="0.137847414343477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506782779869909"/>
                  <c:h val="0.18902027027027024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'CapitalMP-Dinamica'!$B$85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98A1A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8B7-428A-B9E5-AB8103AE5469}"/>
              </c:ext>
            </c:extLst>
          </c:dPt>
          <c:dPt>
            <c:idx val="1"/>
            <c:bubble3D val="0"/>
            <c:spPr>
              <a:solidFill>
                <a:srgbClr val="12239E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8B7-428A-B9E5-AB8103AE5469}"/>
              </c:ext>
            </c:extLst>
          </c:dPt>
          <c:dPt>
            <c:idx val="2"/>
            <c:bubble3D val="0"/>
            <c:spPr>
              <a:solidFill>
                <a:srgbClr val="F9EA17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8B7-428A-B9E5-AB8103AE5469}"/>
              </c:ext>
            </c:extLst>
          </c:dPt>
          <c:dPt>
            <c:idx val="3"/>
            <c:bubble3D val="0"/>
            <c:spPr>
              <a:solidFill>
                <a:srgbClr val="118DFF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B7-428A-B9E5-AB8103AE5469}"/>
              </c:ext>
            </c:extLst>
          </c:dPt>
          <c:dLbls>
            <c:dLbl>
              <c:idx val="0"/>
              <c:layout>
                <c:manualLayout>
                  <c:x val="-0.18880071037315987"/>
                  <c:y val="0.186933390082996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322000171174255"/>
                      <c:h val="0.276858108108108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8B7-428A-B9E5-AB8103AE5469}"/>
                </c:ext>
              </c:extLst>
            </c:dLbl>
            <c:dLbl>
              <c:idx val="1"/>
              <c:layout>
                <c:manualLayout>
                  <c:x val="-0.19974880178021234"/>
                  <c:y val="-0.2422889178548626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952434953782953"/>
                      <c:h val="0.232939189189189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8B7-428A-B9E5-AB8103AE5469}"/>
                </c:ext>
              </c:extLst>
            </c:dLbl>
            <c:dLbl>
              <c:idx val="2"/>
              <c:layout>
                <c:manualLayout>
                  <c:x val="7.0352618966107432E-3"/>
                  <c:y val="-4.60398489040221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952434953782953"/>
                      <c:h val="0.296339646733347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8B7-428A-B9E5-AB8103AE5469}"/>
                </c:ext>
              </c:extLst>
            </c:dLbl>
            <c:dLbl>
              <c:idx val="3"/>
              <c:layout>
                <c:manualLayout>
                  <c:x val="0.22261736134885313"/>
                  <c:y val="0.137847414343477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06782779869909"/>
                      <c:h val="0.189020270270270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8B7-428A-B9E5-AB8103AE54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'CapitalMP-Dinamica'!$A$86:$A$90</c:f>
              <c:strCache>
                <c:ptCount val="4"/>
                <c:pt idx="0">
                  <c:v>Depreciado</c:v>
                </c:pt>
                <c:pt idx="1">
                  <c:v>Disponível</c:v>
                </c:pt>
                <c:pt idx="2">
                  <c:v>Em processo</c:v>
                </c:pt>
                <c:pt idx="3">
                  <c:v>Obsoleto</c:v>
                </c:pt>
              </c:strCache>
            </c:strRef>
          </c:cat>
          <c:val>
            <c:numRef>
              <c:f>'CapitalMP-Dinamica'!$B$86:$B$90</c:f>
              <c:numCache>
                <c:formatCode>_("R$"* #,##0.00_);_("R$"* \(#,##0.00\);_("R$"* "-"??_);_(@_)</c:formatCode>
                <c:ptCount val="4"/>
                <c:pt idx="0">
                  <c:v>18855000</c:v>
                </c:pt>
                <c:pt idx="1">
                  <c:v>25285000</c:v>
                </c:pt>
                <c:pt idx="2">
                  <c:v>12785000</c:v>
                </c:pt>
                <c:pt idx="3">
                  <c:v>28610000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B7-428A-B9E5-AB8103AE54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[Dashboard_Projeto_Grupo_7_Custo_Manutenção_de_Estoque.xlsx]Espaço-Dinamica!Tabela dinâmica15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Valor x Fornecedor</a:t>
            </a:r>
          </a:p>
        </c:rich>
      </c:tx>
      <c:layout>
        <c:manualLayout>
          <c:xMode val="edge"/>
          <c:yMode val="edge"/>
          <c:x val="0.34713626336754744"/>
          <c:y val="2.7022215665650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'Espaço-Dinamica'!$B$31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'Espaço-Dinamica'!$A$32:$A$40</c:f>
              <c:strCache>
                <c:ptCount val="8"/>
                <c:pt idx="0">
                  <c:v>EDP Brasil</c:v>
                </c:pt>
                <c:pt idx="1">
                  <c:v>SABESP</c:v>
                </c:pt>
                <c:pt idx="2">
                  <c:v>Prefeitura Municipal</c:v>
                </c:pt>
                <c:pt idx="3">
                  <c:v>Locadora SA</c:v>
                </c:pt>
                <c:pt idx="4">
                  <c:v>MilClean</c:v>
                </c:pt>
                <c:pt idx="5">
                  <c:v>Porto Seguro</c:v>
                </c:pt>
                <c:pt idx="6">
                  <c:v>Mapfre Seguros</c:v>
                </c:pt>
                <c:pt idx="7">
                  <c:v>Frigelar</c:v>
                </c:pt>
              </c:strCache>
            </c:strRef>
          </c:cat>
          <c:val>
            <c:numRef>
              <c:f>'Espaço-Dinamica'!$B$32:$B$40</c:f>
              <c:numCache>
                <c:formatCode>_("R$"* #,##0.00_);_("R$"* \(#,##0.00\);_("R$"* "-"??_);_(@_)</c:formatCode>
                <c:ptCount val="8"/>
                <c:pt idx="0">
                  <c:v>8113500</c:v>
                </c:pt>
                <c:pt idx="1">
                  <c:v>2001250</c:v>
                </c:pt>
                <c:pt idx="2">
                  <c:v>600000</c:v>
                </c:pt>
                <c:pt idx="3">
                  <c:v>554850</c:v>
                </c:pt>
                <c:pt idx="4">
                  <c:v>275400</c:v>
                </c:pt>
                <c:pt idx="5">
                  <c:v>59100</c:v>
                </c:pt>
                <c:pt idx="6">
                  <c:v>50400</c:v>
                </c:pt>
                <c:pt idx="7">
                  <c:v>32550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1-4BD7-9230-9C2528CD51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429100943"/>
        <c:axId val="429091375"/>
      </c:barChart>
      <c:catAx>
        <c:axId val="42910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091375"/>
        <c:crosses val="autoZero"/>
        <c:auto val="1"/>
        <c:lblAlgn val="ctr"/>
        <c:lblOffset val="100"/>
        <c:noMultiLvlLbl val="0"/>
      </c:catAx>
      <c:valAx>
        <c:axId val="42909137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2910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[Dashboard_Projeto_Grupo_7_Custo_Manutenção_de_Estoque.xlsx]Espaço-Dinamica!Tabela dinâmica10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Quantidade x Tipo de Custo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rgbClr val="F9EA17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rgbClr val="118DFF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rgbClr val="098A1A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rgbClr val="12239E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'Espaço-Dinamica'!$B$118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42-4727-B06E-368A82FB3A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42-4727-B06E-368A82FB3A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42-4727-B06E-368A82FB3AF4}"/>
              </c:ext>
            </c:extLst>
          </c:dPt>
          <c:dPt>
            <c:idx val="3"/>
            <c:bubble3D val="0"/>
            <c:spPr>
              <a:solidFill>
                <a:srgbClr val="F9EA17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42-4727-B06E-368A82FB3AF4}"/>
              </c:ext>
            </c:extLst>
          </c:dPt>
          <c:dPt>
            <c:idx val="4"/>
            <c:bubble3D val="0"/>
            <c:spPr>
              <a:solidFill>
                <a:srgbClr val="118DFF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42-4727-B06E-368A82FB3AF4}"/>
              </c:ext>
            </c:extLst>
          </c:dPt>
          <c:dPt>
            <c:idx val="5"/>
            <c:bubble3D val="0"/>
            <c:spPr>
              <a:solidFill>
                <a:srgbClr val="098A1A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A42-4727-B06E-368A82FB3AF4}"/>
              </c:ext>
            </c:extLst>
          </c:dPt>
          <c:dPt>
            <c:idx val="6"/>
            <c:bubble3D val="0"/>
            <c:spPr>
              <a:solidFill>
                <a:srgbClr val="12239E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A42-4727-B06E-368A82FB3AF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A42-4727-B06E-368A82FB3A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'Espaço-Dinamica'!$A$119:$A$127</c:f>
              <c:strCache>
                <c:ptCount val="8"/>
                <c:pt idx="0">
                  <c:v>Agua</c:v>
                </c:pt>
                <c:pt idx="1">
                  <c:v>Aluguel</c:v>
                </c:pt>
                <c:pt idx="2">
                  <c:v>Ar Condicionado</c:v>
                </c:pt>
                <c:pt idx="3">
                  <c:v>Energia Eletrica</c:v>
                </c:pt>
                <c:pt idx="4">
                  <c:v>IPTU</c:v>
                </c:pt>
                <c:pt idx="5">
                  <c:v>Limpeza</c:v>
                </c:pt>
                <c:pt idx="6">
                  <c:v>Seguro Carga</c:v>
                </c:pt>
                <c:pt idx="7">
                  <c:v>Seguro Local</c:v>
                </c:pt>
              </c:strCache>
            </c:strRef>
          </c:cat>
          <c:val>
            <c:numRef>
              <c:f>'Espaço-Dinamica'!$B$119:$B$127</c:f>
              <c:numCache>
                <c:formatCode>General</c:formatCode>
                <c:ptCount val="8"/>
                <c:pt idx="0">
                  <c:v>208</c:v>
                </c:pt>
                <c:pt idx="1">
                  <c:v>290</c:v>
                </c:pt>
                <c:pt idx="2">
                  <c:v>211</c:v>
                </c:pt>
                <c:pt idx="3">
                  <c:v>405</c:v>
                </c:pt>
                <c:pt idx="4">
                  <c:v>316</c:v>
                </c:pt>
                <c:pt idx="5">
                  <c:v>290</c:v>
                </c:pt>
                <c:pt idx="6">
                  <c:v>477</c:v>
                </c:pt>
                <c:pt idx="7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A42-4727-B06E-368A82FB3A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[Dashboard_Projeto_Grupo_7_Custo_Manutenção_de_Estoque.xlsx]CapitalPA-Dinamica!Tabela dinâmica10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periodo</a:t>
            </a:r>
            <a:r>
              <a:rPr lang="pt-BR" baseline="0"/>
              <a:t> x valor e quantidade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0355955712094777E-17"/>
              <c:y val="-3.986046952494480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6460905349794841E-3"/>
              <c:y val="-1.375970853522504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'CapitalPA-Dinamica'!$C$60</c:f>
              <c:strCache>
                <c:ptCount val="1"/>
                <c:pt idx="0">
                  <c:v>Soma de Valor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3EE-4C64-A1C1-FE751730356E}"/>
              </c:ext>
            </c:extLst>
          </c:dPt>
          <c:dLbls>
            <c:dLbl>
              <c:idx val="3"/>
              <c:layout>
                <c:manualLayout>
                  <c:x val="-1.6460905349794841E-3"/>
                  <c:y val="-1.375970853522504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3EE-4C64-A1C1-FE75173035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'CapitalPA-Dinamica'!$A$61:$A$70</c:f>
              <c:multiLvlStrCache>
                <c:ptCount val="7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Trim3</c:v>
                  </c:pt>
                  <c:pt idx="6">
                    <c:v>Trim4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</c:lvl>
              </c:multiLvlStrCache>
            </c:multiLvlStrRef>
          </c:cat>
          <c:val>
            <c:numRef>
              <c:f>'CapitalPA-Dinamica'!$C$61:$C$70</c:f>
              <c:numCache>
                <c:formatCode>0</c:formatCode>
                <c:ptCount val="7"/>
                <c:pt idx="0">
                  <c:v>761850000</c:v>
                </c:pt>
                <c:pt idx="1">
                  <c:v>2158050000</c:v>
                </c:pt>
                <c:pt idx="2">
                  <c:v>1802100000</c:v>
                </c:pt>
                <c:pt idx="3">
                  <c:v>1142700000</c:v>
                </c:pt>
                <c:pt idx="4">
                  <c:v>1463700000</c:v>
                </c:pt>
                <c:pt idx="5">
                  <c:v>1187650000</c:v>
                </c:pt>
                <c:pt idx="6">
                  <c:v>395750000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E-4C64-A1C1-FE751730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48127"/>
        <c:axId val="261745631"/>
      </c:barChart>
      <c:lineChart>
        <c:grouping val="standard"/>
        <c:varyColors val="0"/>
        <c:ser>
          <c:idx val="0"/>
          <c:order val="0"/>
          <c:tx>
            <c:strRef>
              <c:f>'CapitalPA-Dinamica'!$B$60</c:f>
              <c:strCache>
                <c:ptCount val="1"/>
                <c:pt idx="0">
                  <c:v>Soma de Quantidade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43EE-4C64-A1C1-FE751730356E}"/>
              </c:ext>
            </c:extLst>
          </c:dPt>
          <c:dLbls>
            <c:dLbl>
              <c:idx val="3"/>
              <c:layout>
                <c:manualLayout>
                  <c:x val="-6.0355955712094777E-17"/>
                  <c:y val="-3.98604695249448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3EE-4C64-A1C1-FE75173035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'CapitalPA-Dinamica'!$A$61:$A$70</c:f>
              <c:multiLvlStrCache>
                <c:ptCount val="7"/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3">
                    <c:v>Trim4</c:v>
                  </c:pt>
                  <c:pt idx="4">
                    <c:v>Trim1</c:v>
                  </c:pt>
                  <c:pt idx="5">
                    <c:v>Trim3</c:v>
                  </c:pt>
                  <c:pt idx="6">
                    <c:v>Trim4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</c:lvl>
              </c:multiLvlStrCache>
            </c:multiLvlStrRef>
          </c:cat>
          <c:val>
            <c:numRef>
              <c:f>'CapitalPA-Dinamica'!$B$61:$B$70</c:f>
              <c:numCache>
                <c:formatCode>0</c:formatCode>
                <c:ptCount val="7"/>
                <c:pt idx="0">
                  <c:v>94</c:v>
                </c:pt>
                <c:pt idx="1">
                  <c:v>322</c:v>
                </c:pt>
                <c:pt idx="2">
                  <c:v>321</c:v>
                </c:pt>
                <c:pt idx="3">
                  <c:v>113</c:v>
                </c:pt>
                <c:pt idx="4">
                  <c:v>305</c:v>
                </c:pt>
                <c:pt idx="5">
                  <c:v>218</c:v>
                </c:pt>
                <c:pt idx="6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E-4C64-A1C1-FE75173035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1748127"/>
        <c:axId val="261745631"/>
      </c:lineChart>
      <c:catAx>
        <c:axId val="26174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45631"/>
        <c:crosses val="autoZero"/>
        <c:auto val="1"/>
        <c:lblAlgn val="ctr"/>
        <c:lblOffset val="100"/>
        <c:noMultiLvlLbl val="0"/>
      </c:catAx>
      <c:valAx>
        <c:axId val="26174563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6174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[Dashboard_Projeto_Grupo_7_Custo_Manutenção_de_Estoque.xlsx]Espaço-Dinamica!Tabela dinâmica12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Valor Total x Tipo de Custo</a:t>
            </a:r>
          </a:p>
        </c:rich>
      </c:tx>
      <c:layout>
        <c:manualLayout>
          <c:xMode val="edge"/>
          <c:yMode val="edge"/>
          <c:x val="0.23564298427355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12239E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27844557842617218"/>
              <c:y val="-0.162963112187062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6910211934654558"/>
                  <c:h val="0.23842216442580585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9231888409394393"/>
              <c:y val="4.965339036301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225456185324077"/>
                  <c:h val="0.15052459228725995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1.0468281882146812E-2"/>
              <c:y val="6.8729054497977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102394730373357"/>
                  <c:h val="0.10139612785982263"/>
                </c:manualLayout>
              </c15:layout>
            </c:ext>
          </c:extLst>
        </c:dLbl>
      </c:pivotFmt>
      <c:pivotFmt>
        <c:idx val="14"/>
        <c:spPr>
          <a:solidFill>
            <a:srgbClr val="F9EA17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2.9084797693395101E-2"/>
              <c:y val="4.2284976484440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398225345292508"/>
                  <c:h val="8.5700132835082307E-2"/>
                </c:manualLayout>
              </c15:layout>
            </c:ext>
          </c:extLst>
        </c:dLbl>
      </c:pivotFmt>
      <c:pivotFmt>
        <c:idx val="15"/>
        <c:spPr>
          <a:solidFill>
            <a:srgbClr val="118DFF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3109186699087558"/>
              <c:y val="1.71046899315857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398225345292508"/>
                  <c:h val="0.11081372487466686"/>
                </c:manualLayout>
              </c15:layout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34102043428475781"/>
              <c:y val="4.06337059083969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488107669532012"/>
                  <c:h val="0.17045850596868017"/>
                </c:manualLayout>
              </c15:layout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31330371879060304"/>
              <c:y val="0.10356798392730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610322642649745"/>
                  <c:h val="0.1673193069637321"/>
                </c:manualLayout>
              </c15:layout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8189563877034651"/>
              <c:y val="0.166608167157650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028368230686628"/>
                  <c:h val="0.21440729203795317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'Espaço-Dinamica'!$B$3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12239E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F1-4BC2-84D5-779DCB6BBA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F1-4BC2-84D5-779DCB6BBA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F1-4BC2-84D5-779DCB6BBA58}"/>
              </c:ext>
            </c:extLst>
          </c:dPt>
          <c:dPt>
            <c:idx val="3"/>
            <c:bubble3D val="0"/>
            <c:spPr>
              <a:solidFill>
                <a:srgbClr val="F9EA17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F1-4BC2-84D5-779DCB6BBA58}"/>
              </c:ext>
            </c:extLst>
          </c:dPt>
          <c:dPt>
            <c:idx val="4"/>
            <c:bubble3D val="0"/>
            <c:spPr>
              <a:solidFill>
                <a:srgbClr val="118DFF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5F1-4BC2-84D5-779DCB6BBA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5F1-4BC2-84D5-779DCB6BBA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5F1-4BC2-84D5-779DCB6BBA5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5F1-4BC2-84D5-779DCB6BBA58}"/>
              </c:ext>
            </c:extLst>
          </c:dPt>
          <c:dLbls>
            <c:dLbl>
              <c:idx val="0"/>
              <c:layout>
                <c:manualLayout>
                  <c:x val="-0.27844557842617218"/>
                  <c:y val="-0.1629631121870626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910211934654558"/>
                      <c:h val="0.2384221644258058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5F1-4BC2-84D5-779DCB6BBA58}"/>
                </c:ext>
              </c:extLst>
            </c:dLbl>
            <c:dLbl>
              <c:idx val="1"/>
              <c:layout>
                <c:manualLayout>
                  <c:x val="0.19231888409394393"/>
                  <c:y val="4.965339036301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225456185324077"/>
                      <c:h val="0.150524592287259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5F1-4BC2-84D5-779DCB6BBA58}"/>
                </c:ext>
              </c:extLst>
            </c:dLbl>
            <c:dLbl>
              <c:idx val="2"/>
              <c:layout>
                <c:manualLayout>
                  <c:x val="1.0468281882146812E-2"/>
                  <c:y val="6.87290544979778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102394730373357"/>
                      <c:h val="0.101396127859822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5F1-4BC2-84D5-779DCB6BBA58}"/>
                </c:ext>
              </c:extLst>
            </c:dLbl>
            <c:dLbl>
              <c:idx val="3"/>
              <c:layout>
                <c:manualLayout>
                  <c:x val="-2.9084797693395101E-2"/>
                  <c:y val="4.22849764844404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398225345292508"/>
                      <c:h val="8.57001328350823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5F1-4BC2-84D5-779DCB6BBA58}"/>
                </c:ext>
              </c:extLst>
            </c:dLbl>
            <c:dLbl>
              <c:idx val="4"/>
              <c:layout>
                <c:manualLayout>
                  <c:x val="-0.13109186699087558"/>
                  <c:y val="1.71046899315857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398225345292508"/>
                      <c:h val="0.110813724874666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95F1-4BC2-84D5-779DCB6BBA58}"/>
                </c:ext>
              </c:extLst>
            </c:dLbl>
            <c:dLbl>
              <c:idx val="5"/>
              <c:layout>
                <c:manualLayout>
                  <c:x val="0.34102043428475781"/>
                  <c:y val="4.06337059083969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488107669532012"/>
                      <c:h val="0.170458505968680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95F1-4BC2-84D5-779DCB6BBA58}"/>
                </c:ext>
              </c:extLst>
            </c:dLbl>
            <c:dLbl>
              <c:idx val="6"/>
              <c:layout>
                <c:manualLayout>
                  <c:x val="0.31330371879060304"/>
                  <c:y val="0.10356798392730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610322642649745"/>
                      <c:h val="0.16731930696373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95F1-4BC2-84D5-779DCB6BBA58}"/>
                </c:ext>
              </c:extLst>
            </c:dLbl>
            <c:dLbl>
              <c:idx val="7"/>
              <c:layout>
                <c:manualLayout>
                  <c:x val="0.28189563877034651"/>
                  <c:y val="0.166608167157650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28368230686628"/>
                      <c:h val="0.214407292037953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95F1-4BC2-84D5-779DCB6BBA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'Espaço-Dinamica'!$A$4:$A$12</c:f>
              <c:strCache>
                <c:ptCount val="8"/>
                <c:pt idx="0">
                  <c:v>Energia Eletrica</c:v>
                </c:pt>
                <c:pt idx="1">
                  <c:v>Agua</c:v>
                </c:pt>
                <c:pt idx="2">
                  <c:v>IPTU</c:v>
                </c:pt>
                <c:pt idx="3">
                  <c:v>Aluguel</c:v>
                </c:pt>
                <c:pt idx="4">
                  <c:v>Limpeza</c:v>
                </c:pt>
                <c:pt idx="5">
                  <c:v>Seguro Carga</c:v>
                </c:pt>
                <c:pt idx="6">
                  <c:v>Seguro Local</c:v>
                </c:pt>
                <c:pt idx="7">
                  <c:v>Ar Condicionado</c:v>
                </c:pt>
              </c:strCache>
            </c:strRef>
          </c:cat>
          <c:val>
            <c:numRef>
              <c:f>'Espaço-Dinamica'!$B$4:$B$12</c:f>
              <c:numCache>
                <c:formatCode>_("R$"* #,##0.00_);_("R$"* \(#,##0.00\);_("R$"* "-"??_);_(@_)</c:formatCode>
                <c:ptCount val="8"/>
                <c:pt idx="0">
                  <c:v>8113500</c:v>
                </c:pt>
                <c:pt idx="1">
                  <c:v>2001250</c:v>
                </c:pt>
                <c:pt idx="2">
                  <c:v>600000</c:v>
                </c:pt>
                <c:pt idx="3">
                  <c:v>554850</c:v>
                </c:pt>
                <c:pt idx="4">
                  <c:v>275400</c:v>
                </c:pt>
                <c:pt idx="5">
                  <c:v>59100</c:v>
                </c:pt>
                <c:pt idx="6">
                  <c:v>50400</c:v>
                </c:pt>
                <c:pt idx="7">
                  <c:v>32550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5F1-4BC2-84D5-779DCB6BBA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[Dashboard_Projeto_Grupo_7_Custo_Manutenção_de_Estoque.xlsx]Espaço-Dinamica!Tabela dinâmica9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Quantidade x Armazém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'Espaço-Dinamica'!$B$109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'Espaço-Dinamica'!$A$110:$A$114</c:f>
              <c:strCache>
                <c:ptCount val="4"/>
                <c:pt idx="0">
                  <c:v>Armazém C</c:v>
                </c:pt>
                <c:pt idx="1">
                  <c:v>Armazém B</c:v>
                </c:pt>
                <c:pt idx="2">
                  <c:v>Armazém D</c:v>
                </c:pt>
                <c:pt idx="3">
                  <c:v>Armazém A</c:v>
                </c:pt>
              </c:strCache>
            </c:strRef>
          </c:cat>
          <c:val>
            <c:numRef>
              <c:f>'Espaço-Dinamica'!$B$110:$B$114</c:f>
              <c:numCache>
                <c:formatCode>General</c:formatCode>
                <c:ptCount val="4"/>
                <c:pt idx="0">
                  <c:v>536</c:v>
                </c:pt>
                <c:pt idx="1">
                  <c:v>591</c:v>
                </c:pt>
                <c:pt idx="2">
                  <c:v>647</c:v>
                </c:pt>
                <c:pt idx="3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4-4522-B38E-6E1675F578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73573567"/>
        <c:axId val="973564831"/>
      </c:barChart>
      <c:catAx>
        <c:axId val="973573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3564831"/>
        <c:crosses val="autoZero"/>
        <c:auto val="1"/>
        <c:lblAlgn val="ctr"/>
        <c:lblOffset val="100"/>
        <c:noMultiLvlLbl val="0"/>
      </c:catAx>
      <c:valAx>
        <c:axId val="9735648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357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[Dashboard_Projeto_Grupo_7_Custo_Manutenção_de_Estoque.xlsx]Espaço-Dinamica!Tabela dinâmica13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Valor Total x Armazém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904208181469629"/>
                  <c:h val="0.11611676382963981"/>
                </c:manualLayout>
              </c15:layout>
            </c:ext>
          </c:extLst>
        </c:dLbl>
      </c:pivotFmt>
      <c:pivotFmt>
        <c:idx val="1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501692022155405"/>
                  <c:h val="0.1412570645234725"/>
                </c:manualLayout>
              </c15:layout>
            </c:ext>
          </c:extLst>
        </c:dLbl>
      </c:pivotFmt>
      <c:pivotFmt>
        <c:idx val="1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9895183138894648E-2"/>
              <c:y val="6.285075173458176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208190944867788"/>
                  <c:h val="0.15696975245711797"/>
                </c:manualLayout>
              </c15:layout>
            </c:ext>
          </c:extLst>
        </c:dLbl>
      </c:pivotFmt>
      <c:pivotFmt>
        <c:idx val="1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9.427612760187295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5607712468780844"/>
                  <c:h val="0.13497198935001437"/>
                </c:manualLayout>
              </c15:layout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'Espaço-Dinamica'!$B$16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41-4D91-84F1-C71EC59156B6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41-4D91-84F1-C71EC59156B6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41-4D91-84F1-C71EC59156B6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41-4D91-84F1-C71EC59156B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904208181469629"/>
                      <c:h val="0.116116763829639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441-4D91-84F1-C71EC59156B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501692022155405"/>
                      <c:h val="0.14125706452347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441-4D91-84F1-C71EC59156B6}"/>
                </c:ext>
              </c:extLst>
            </c:dLbl>
            <c:dLbl>
              <c:idx val="2"/>
              <c:layout>
                <c:manualLayout>
                  <c:x val="-4.9895183138894648E-2"/>
                  <c:y val="6.285075173458176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208190944867788"/>
                      <c:h val="0.156969752457117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441-4D91-84F1-C71EC59156B6}"/>
                </c:ext>
              </c:extLst>
            </c:dLbl>
            <c:dLbl>
              <c:idx val="3"/>
              <c:layout>
                <c:manualLayout>
                  <c:x val="0"/>
                  <c:y val="-9.427612760187295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607712468780844"/>
                      <c:h val="0.134971989350014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441-4D91-84F1-C71EC5915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'Espaço-Dinamica'!$A$17:$A$21</c:f>
              <c:strCache>
                <c:ptCount val="4"/>
                <c:pt idx="0">
                  <c:v>Armazém B</c:v>
                </c:pt>
                <c:pt idx="1">
                  <c:v>Armazém C</c:v>
                </c:pt>
                <c:pt idx="2">
                  <c:v>Armazém D</c:v>
                </c:pt>
                <c:pt idx="3">
                  <c:v>Armazém A</c:v>
                </c:pt>
              </c:strCache>
            </c:strRef>
          </c:cat>
          <c:val>
            <c:numRef>
              <c:f>'Espaço-Dinamica'!$B$17:$B$21</c:f>
              <c:numCache>
                <c:formatCode>_("R$"* #,##0.00_);_("R$"* \(#,##0.00\);_("R$"* "-"??_);_(@_)</c:formatCode>
                <c:ptCount val="4"/>
                <c:pt idx="0">
                  <c:v>2263980</c:v>
                </c:pt>
                <c:pt idx="1">
                  <c:v>2656530</c:v>
                </c:pt>
                <c:pt idx="2">
                  <c:v>2832080</c:v>
                </c:pt>
                <c:pt idx="3">
                  <c:v>3934460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41-4D91-84F1-C71EC5915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38161391"/>
        <c:axId val="1338158479"/>
      </c:barChart>
      <c:valAx>
        <c:axId val="133815847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38161391"/>
        <c:crosses val="autoZero"/>
        <c:crossBetween val="between"/>
      </c:valAx>
      <c:catAx>
        <c:axId val="133816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8158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[Dashboard_Projeto_Grupo_7_Custo_Manutenção_de_Estoque.xlsx]Equipamento-Dinamica!Tabela dinâmica2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bg1"/>
                </a:solidFill>
              </a:rPr>
              <a:t>Quantidade x TIpo de Manutenção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98A1A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7.0454545454545492E-2"/>
              <c:y val="-2.53623188405797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9EA17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0681818181818173"/>
              <c:y val="-1.4492753623188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12239E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'Equipamento-Dinamica'!$B$55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9EA17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B0-4145-8B6A-3C68B85DD2F2}"/>
              </c:ext>
            </c:extLst>
          </c:dPt>
          <c:dPt>
            <c:idx val="1"/>
            <c:bubble3D val="0"/>
            <c:spPr>
              <a:solidFill>
                <a:srgbClr val="12239E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B0-4145-8B6A-3C68B85DD2F2}"/>
              </c:ext>
            </c:extLst>
          </c:dPt>
          <c:dPt>
            <c:idx val="2"/>
            <c:bubble3D val="0"/>
            <c:spPr>
              <a:solidFill>
                <a:srgbClr val="098A1A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8F60-43A3-818A-B16B8287F327}"/>
              </c:ext>
            </c:extLst>
          </c:dPt>
          <c:dLbls>
            <c:dLbl>
              <c:idx val="0"/>
              <c:layout>
                <c:manualLayout>
                  <c:x val="0.10681818181818173"/>
                  <c:y val="-1.4492753623188406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B0-4145-8B6A-3C68B85DD2F2}"/>
                </c:ext>
              </c:extLst>
            </c:dLbl>
            <c:dLbl>
              <c:idx val="2"/>
              <c:layout>
                <c:manualLayout>
                  <c:x val="-7.0454545454545492E-2"/>
                  <c:y val="-2.536231884057971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F60-43A3-818A-B16B8287F3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'Equipamento-Dinamica'!$A$56:$A$59</c:f>
              <c:strCache>
                <c:ptCount val="3"/>
                <c:pt idx="0">
                  <c:v>Corretiva</c:v>
                </c:pt>
                <c:pt idx="1">
                  <c:v>Preditiva</c:v>
                </c:pt>
                <c:pt idx="2">
                  <c:v>Preventiva</c:v>
                </c:pt>
              </c:strCache>
            </c:strRef>
          </c:cat>
          <c:val>
            <c:numRef>
              <c:f>'Equipamento-Dinamica'!$B$56:$B$59</c:f>
              <c:numCache>
                <c:formatCode>General</c:formatCode>
                <c:ptCount val="3"/>
                <c:pt idx="0">
                  <c:v>49</c:v>
                </c:pt>
                <c:pt idx="1">
                  <c:v>67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F60-43A3-818A-B16B8287F3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[Dashboard_Projeto_Grupo_7_Custo_Manutenção_de_Estoque.xlsx]Equipamento-Dinamica!Tabela dinâmica22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Equipamento x Valor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852862926110922E-2"/>
          <c:y val="0.19194526714333729"/>
          <c:w val="0.93414713707388908"/>
          <c:h val="0.57805206127965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'Equipamento-Dinamica'!$B$17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'Equipamento-Dinamica'!$A$18:$A$27</c:f>
              <c:strCache>
                <c:ptCount val="9"/>
                <c:pt idx="0">
                  <c:v>AGVs</c:v>
                </c:pt>
                <c:pt idx="1">
                  <c:v>Ponte rolante</c:v>
                </c:pt>
                <c:pt idx="2">
                  <c:v>Empilhadeira</c:v>
                </c:pt>
                <c:pt idx="3">
                  <c:v>Plataforma</c:v>
                </c:pt>
                <c:pt idx="4">
                  <c:v>Esteira</c:v>
                </c:pt>
                <c:pt idx="5">
                  <c:v>Paleteira</c:v>
                </c:pt>
                <c:pt idx="6">
                  <c:v>Escada</c:v>
                </c:pt>
                <c:pt idx="7">
                  <c:v>Macaco</c:v>
                </c:pt>
                <c:pt idx="8">
                  <c:v>Leitores</c:v>
                </c:pt>
              </c:strCache>
            </c:strRef>
          </c:cat>
          <c:val>
            <c:numRef>
              <c:f>'Equipamento-Dinamica'!$B$18:$B$27</c:f>
              <c:numCache>
                <c:formatCode>_("R$"* #,##0.00_);_("R$"* \(#,##0.00\);_("R$"* "-"??_);_(@_)</c:formatCode>
                <c:ptCount val="9"/>
                <c:pt idx="0">
                  <c:v>6910000</c:v>
                </c:pt>
                <c:pt idx="1">
                  <c:v>3885000</c:v>
                </c:pt>
                <c:pt idx="2">
                  <c:v>2880000</c:v>
                </c:pt>
                <c:pt idx="3">
                  <c:v>321000</c:v>
                </c:pt>
                <c:pt idx="4">
                  <c:v>320000</c:v>
                </c:pt>
                <c:pt idx="5">
                  <c:v>35250</c:v>
                </c:pt>
                <c:pt idx="6">
                  <c:v>8880</c:v>
                </c:pt>
                <c:pt idx="7">
                  <c:v>2940</c:v>
                </c:pt>
                <c:pt idx="8">
                  <c:v>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0-4C5C-B2B7-A697965B3A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1388815"/>
        <c:axId val="261380911"/>
      </c:barChart>
      <c:catAx>
        <c:axId val="2613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380911"/>
        <c:crosses val="autoZero"/>
        <c:auto val="1"/>
        <c:lblAlgn val="ctr"/>
        <c:lblOffset val="100"/>
        <c:noMultiLvlLbl val="0"/>
      </c:catAx>
      <c:valAx>
        <c:axId val="26138091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6138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[Dashboard_Projeto_Grupo_7_Custo_Manutenção_de_Estoque.xlsx]Equipamento-Dinamica!Tabela dinâmica23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 dirty="0" err="1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baseline="0" dirty="0" err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Valor Total x Tipo de Manutenção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baseline="0" dirty="0" err="1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98A1A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20725388601036268"/>
              <c:y val="4.6750495473780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lang="en-US"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209844559585491"/>
                  <c:h val="0.13010204081632654"/>
                </c:manualLayout>
              </c15:layout>
            </c:ext>
          </c:extLst>
        </c:dLbl>
      </c:pivotFmt>
      <c:pivotFmt>
        <c:idx val="10"/>
        <c:spPr>
          <a:solidFill>
            <a:srgbClr val="12239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7266512994165883"/>
              <c:y val="-0.175649472387380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lang="en-US"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209844559585491"/>
                  <c:h val="0.11649659863945579"/>
                </c:manualLayout>
              </c15:layout>
            </c:ext>
          </c:extLst>
        </c:dLbl>
      </c:pivotFmt>
      <c:pivotFmt>
        <c:idx val="11"/>
        <c:spPr>
          <a:solidFill>
            <a:srgbClr val="F9EA17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2585981804087933E-2"/>
              <c:y val="8.00689645937115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lang="en-US"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516849577740601"/>
                  <c:h val="0.16088435374149659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'Equipamento-Dinamica'!$B$3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98A1A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F6-41D1-9D54-E2301AB6990F}"/>
              </c:ext>
            </c:extLst>
          </c:dPt>
          <c:dPt>
            <c:idx val="1"/>
            <c:bubble3D val="0"/>
            <c:spPr>
              <a:solidFill>
                <a:srgbClr val="12239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F6-41D1-9D54-E2301AB6990F}"/>
              </c:ext>
            </c:extLst>
          </c:dPt>
          <c:dPt>
            <c:idx val="2"/>
            <c:bubble3D val="0"/>
            <c:spPr>
              <a:solidFill>
                <a:srgbClr val="F9EA17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F6-41D1-9D54-E2301AB6990F}"/>
              </c:ext>
            </c:extLst>
          </c:dPt>
          <c:dLbls>
            <c:dLbl>
              <c:idx val="0"/>
              <c:layout>
                <c:manualLayout>
                  <c:x val="-0.20725388601036268"/>
                  <c:y val="4.6750495473780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09844559585491"/>
                      <c:h val="0.1301020408163265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FF6-41D1-9D54-E2301AB6990F}"/>
                </c:ext>
              </c:extLst>
            </c:dLbl>
            <c:dLbl>
              <c:idx val="1"/>
              <c:layout>
                <c:manualLayout>
                  <c:x val="0.17266512994165883"/>
                  <c:y val="-0.175649472387380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09844559585491"/>
                      <c:h val="0.116496598639455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FF6-41D1-9D54-E2301AB6990F}"/>
                </c:ext>
              </c:extLst>
            </c:dLbl>
            <c:dLbl>
              <c:idx val="2"/>
              <c:layout>
                <c:manualLayout>
                  <c:x val="1.2585981804087933E-2"/>
                  <c:y val="8.00689645937115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16849577740601"/>
                      <c:h val="0.160884353741496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FF6-41D1-9D54-E2301AB699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'Equipamento-Dinamica'!$A$4:$A$7</c:f>
              <c:strCache>
                <c:ptCount val="3"/>
                <c:pt idx="0">
                  <c:v>Preventiva</c:v>
                </c:pt>
                <c:pt idx="1">
                  <c:v>Preditiva</c:v>
                </c:pt>
                <c:pt idx="2">
                  <c:v>Corretiva</c:v>
                </c:pt>
              </c:strCache>
            </c:strRef>
          </c:cat>
          <c:val>
            <c:numRef>
              <c:f>'Equipamento-Dinamica'!$B$4:$B$7</c:f>
              <c:numCache>
                <c:formatCode>_("R$"* #,##0.00_);_("R$"* \(#,##0.00\);_("R$"* "-"??_);_(@_)</c:formatCode>
                <c:ptCount val="3"/>
                <c:pt idx="0">
                  <c:v>6093725</c:v>
                </c:pt>
                <c:pt idx="1">
                  <c:v>5070115</c:v>
                </c:pt>
                <c:pt idx="2">
                  <c:v>3202125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F6-41D1-9D54-E2301AB69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[Dashboard_Projeto_Grupo_7_Custo_Manutenção_de_Estoque.xlsx]Equipamento-Dinamica!Tabela dinâmica24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Valor Total x Armazém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'Equipamento-Dinamica'!$B$10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'Equipamento-Dinamica'!$A$11:$A$15</c:f>
              <c:strCache>
                <c:ptCount val="4"/>
                <c:pt idx="0">
                  <c:v>Armazém D</c:v>
                </c:pt>
                <c:pt idx="1">
                  <c:v>Armazém C</c:v>
                </c:pt>
                <c:pt idx="2">
                  <c:v>Armazém A</c:v>
                </c:pt>
                <c:pt idx="3">
                  <c:v>Armazém B</c:v>
                </c:pt>
              </c:strCache>
            </c:strRef>
          </c:cat>
          <c:val>
            <c:numRef>
              <c:f>'Equipamento-Dinamica'!$B$11:$B$15</c:f>
              <c:numCache>
                <c:formatCode>_("R$"* #,##0.00_);_("R$"* \(#,##0.00\);_("R$"* "-"??_);_(@_)</c:formatCode>
                <c:ptCount val="4"/>
                <c:pt idx="0">
                  <c:v>4851725</c:v>
                </c:pt>
                <c:pt idx="1">
                  <c:v>3590975</c:v>
                </c:pt>
                <c:pt idx="2">
                  <c:v>2964250</c:v>
                </c:pt>
                <c:pt idx="3">
                  <c:v>2959015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AA-4460-A3DD-B1A1D4609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77162735"/>
        <c:axId val="1977166063"/>
      </c:barChart>
      <c:valAx>
        <c:axId val="197716606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77162735"/>
        <c:crosses val="autoZero"/>
        <c:crossBetween val="between"/>
      </c:valAx>
      <c:catAx>
        <c:axId val="197716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7166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[Dashboard_Projeto_Grupo_7_Custo_Manutenção_de_Estoque.xlsx]Estoque-Dinamica!Tabela dinâmica9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Valor Total x Armazém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'Estoque-Dinamica'!$B$24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'Estoque-Dinamica'!$A$25:$A$29</c:f>
              <c:strCache>
                <c:ptCount val="4"/>
                <c:pt idx="0">
                  <c:v>Armazém C</c:v>
                </c:pt>
                <c:pt idx="1">
                  <c:v>Armazém D</c:v>
                </c:pt>
                <c:pt idx="2">
                  <c:v>Armazém A</c:v>
                </c:pt>
                <c:pt idx="3">
                  <c:v>Armazém B</c:v>
                </c:pt>
              </c:strCache>
            </c:strRef>
          </c:cat>
          <c:val>
            <c:numRef>
              <c:f>'Estoque-Dinamica'!$B$25:$B$29</c:f>
              <c:numCache>
                <c:formatCode>_("R$"* #,##0.00_);_("R$"* \(#,##0.00\);_("R$"* "-"??_);_(@_)</c:formatCode>
                <c:ptCount val="4"/>
                <c:pt idx="0">
                  <c:v>2526900</c:v>
                </c:pt>
                <c:pt idx="1">
                  <c:v>3324000</c:v>
                </c:pt>
                <c:pt idx="2">
                  <c:v>3501300</c:v>
                </c:pt>
                <c:pt idx="3">
                  <c:v>4542100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4B-8A57-718045AD9E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45447648"/>
        <c:axId val="219205776"/>
      </c:barChart>
      <c:catAx>
        <c:axId val="134544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05776"/>
        <c:crosses val="autoZero"/>
        <c:auto val="1"/>
        <c:lblAlgn val="ctr"/>
        <c:lblOffset val="100"/>
        <c:noMultiLvlLbl val="0"/>
      </c:catAx>
      <c:valAx>
        <c:axId val="21920577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454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[Dashboard_Projeto_Grupo_7_Custo_Manutenção_de_Estoque.xlsx]Estoque-Dinamica!Tabela dinâmica3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bg1"/>
                </a:solidFill>
              </a:rPr>
              <a:t>Quantidade x Tipo de Custo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'Estoque-Dinamica'!$B$3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3F-40D6-88D6-7F2A5B0C4AB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3F-40D6-88D6-7F2A5B0C4AB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3F-40D6-88D6-7F2A5B0C4ABC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23F-40D6-88D6-7F2A5B0C4ABC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23F-40D6-88D6-7F2A5B0C4ABC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23F-40D6-88D6-7F2A5B0C4A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'Estoque-Dinamica'!$A$4:$A$10</c:f>
              <c:strCache>
                <c:ptCount val="6"/>
                <c:pt idx="0">
                  <c:v>Mao de Obra</c:v>
                </c:pt>
                <c:pt idx="1">
                  <c:v>Estocagem</c:v>
                </c:pt>
                <c:pt idx="2">
                  <c:v>Preparacao</c:v>
                </c:pt>
                <c:pt idx="3">
                  <c:v>Recebimento</c:v>
                </c:pt>
                <c:pt idx="4">
                  <c:v>Expedicao</c:v>
                </c:pt>
                <c:pt idx="5">
                  <c:v>Deslocamento Medio</c:v>
                </c:pt>
              </c:strCache>
            </c:strRef>
          </c:cat>
          <c:val>
            <c:numRef>
              <c:f>'Estoque-Dinamica'!$B$4:$B$10</c:f>
              <c:numCache>
                <c:formatCode>General</c:formatCode>
                <c:ptCount val="6"/>
                <c:pt idx="0">
                  <c:v>542</c:v>
                </c:pt>
                <c:pt idx="1">
                  <c:v>540</c:v>
                </c:pt>
                <c:pt idx="2">
                  <c:v>425</c:v>
                </c:pt>
                <c:pt idx="3">
                  <c:v>408</c:v>
                </c:pt>
                <c:pt idx="4">
                  <c:v>404</c:v>
                </c:pt>
                <c:pt idx="5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3F-40D6-88D6-7F2A5B0C4AB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952569169960474E-2"/>
          <c:y val="0.7783691117557674"/>
          <c:w val="0.94211867044287445"/>
          <c:h val="0.19837518994336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[Dashboard_Projeto_Grupo_7_Custo_Manutenção_de_Estoque.xlsx]Estoque-Dinamica!Tabela dinâmica8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Custo x valor</a:t>
            </a:r>
          </a:p>
        </c:rich>
      </c:tx>
      <c:layout>
        <c:manualLayout>
          <c:xMode val="edge"/>
          <c:yMode val="edge"/>
          <c:x val="0.51786005624358133"/>
          <c:y val="2.08333333333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'Estoque-Dinamica'!$B$14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E0-43E1-9148-707E9105AE5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E0-43E1-9148-707E9105AE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6E0-43E1-9148-707E9105AE5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6E0-43E1-9148-707E9105AE5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6E0-43E1-9148-707E9105AE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'Estoque-Dinamica'!$A$15:$A$21</c:f>
              <c:strCache>
                <c:ptCount val="6"/>
                <c:pt idx="0">
                  <c:v>Deslocamento Medio</c:v>
                </c:pt>
                <c:pt idx="1">
                  <c:v>Mao de Obra</c:v>
                </c:pt>
                <c:pt idx="2">
                  <c:v>Estocagem</c:v>
                </c:pt>
                <c:pt idx="3">
                  <c:v>Expedicao</c:v>
                </c:pt>
                <c:pt idx="4">
                  <c:v>Recebimento</c:v>
                </c:pt>
                <c:pt idx="5">
                  <c:v>Preparacao</c:v>
                </c:pt>
              </c:strCache>
            </c:strRef>
          </c:cat>
          <c:val>
            <c:numRef>
              <c:f>'Estoque-Dinamica'!$B$15:$B$21</c:f>
              <c:numCache>
                <c:formatCode>_("R$"* #,##0.00_);_("R$"* \(#,##0.00\);_("R$"* "-"??_);_(@_)</c:formatCode>
                <c:ptCount val="6"/>
                <c:pt idx="0">
                  <c:v>5175000</c:v>
                </c:pt>
                <c:pt idx="1">
                  <c:v>2710000</c:v>
                </c:pt>
                <c:pt idx="2">
                  <c:v>2430000</c:v>
                </c:pt>
                <c:pt idx="3">
                  <c:v>1292800</c:v>
                </c:pt>
                <c:pt idx="4">
                  <c:v>1224000</c:v>
                </c:pt>
                <c:pt idx="5">
                  <c:v>1062500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E0-43E1-9148-707E9105AE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64335935"/>
        <c:axId val="964353407"/>
      </c:barChart>
      <c:catAx>
        <c:axId val="964335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4353407"/>
        <c:crosses val="autoZero"/>
        <c:auto val="1"/>
        <c:lblAlgn val="ctr"/>
        <c:lblOffset val="100"/>
        <c:noMultiLvlLbl val="0"/>
      </c:catAx>
      <c:valAx>
        <c:axId val="96435340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6433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7628784803961357"/>
          <c:w val="1"/>
          <c:h val="0.12371215196038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[Dashboard_Projeto_Grupo_7_Custo_Manutenção_de_Estoque.xlsx]CapitalPA-Dinamica!Tabela dinâmica9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'CapitalPA-Dinamica'!$B$47:$B$48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'CapitalPA-Dinamica'!$A$49:$A$53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'CapitalPA-Dinamica'!$B$49:$B$53</c:f>
              <c:numCache>
                <c:formatCode>_("R$"* #,##0.00_);_("R$"* \(#,##0.00\);_("R$"* "-"??_);_(@_)</c:formatCode>
                <c:ptCount val="4"/>
                <c:pt idx="0">
                  <c:v>4200350000</c:v>
                </c:pt>
                <c:pt idx="1">
                  <c:v>13464950000</c:v>
                </c:pt>
                <c:pt idx="2">
                  <c:v>14556950000</c:v>
                </c:pt>
                <c:pt idx="3">
                  <c:v>4884700000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C-4200-96CB-D0F9ED13EA01}"/>
            </c:ext>
          </c:extLst>
        </c:ser>
        <c:ser>
          <c:idx val="1"/>
          <c:order val="1"/>
          <c:tx>
            <c:strRef>
              <c:f>'CapitalPA-Dinamica'!$C$47:$C$48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'CapitalPA-Dinamica'!$A$49:$A$53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'CapitalPA-Dinamica'!$C$49:$C$53</c:f>
              <c:numCache>
                <c:formatCode>_("R$"* #,##0.00_);_("R$"* \(#,##0.00\);_("R$"* "-"??_);_(@_)</c:formatCode>
                <c:ptCount val="4"/>
                <c:pt idx="0">
                  <c:v>11843600000</c:v>
                </c:pt>
                <c:pt idx="2">
                  <c:v>10644400000</c:v>
                </c:pt>
                <c:pt idx="3">
                  <c:v>5402950000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C-4384-88CA-9F770B6F9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5849216"/>
        <c:axId val="219191392"/>
        <c:axId val="1141325952"/>
      </c:bar3DChart>
      <c:catAx>
        <c:axId val="10058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191392"/>
        <c:crosses val="autoZero"/>
        <c:auto val="1"/>
        <c:lblAlgn val="ctr"/>
        <c:lblOffset val="100"/>
        <c:noMultiLvlLbl val="0"/>
      </c:catAx>
      <c:valAx>
        <c:axId val="2191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5849216"/>
        <c:crosses val="autoZero"/>
        <c:crossBetween val="between"/>
      </c:valAx>
      <c:serAx>
        <c:axId val="114132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19139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[Dashboard_Projeto_Grupo_7_Custo_Manutenção_de_Estoque.xlsx]Estoque-Dinamica!Tabela dinâmica11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Quantidade x Armazém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'Estoque-Dinamica'!$B$57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'Estoque-Dinamica'!$A$58:$A$62</c:f>
              <c:strCache>
                <c:ptCount val="4"/>
                <c:pt idx="0">
                  <c:v>Armazém C</c:v>
                </c:pt>
                <c:pt idx="1">
                  <c:v>Armazém A</c:v>
                </c:pt>
                <c:pt idx="2">
                  <c:v>Armazém D</c:v>
                </c:pt>
                <c:pt idx="3">
                  <c:v>Armazém B</c:v>
                </c:pt>
              </c:strCache>
            </c:strRef>
          </c:cat>
          <c:val>
            <c:numRef>
              <c:f>'Estoque-Dinamica'!$B$58:$B$62</c:f>
              <c:numCache>
                <c:formatCode>General</c:formatCode>
                <c:ptCount val="4"/>
                <c:pt idx="0">
                  <c:v>580</c:v>
                </c:pt>
                <c:pt idx="1">
                  <c:v>597</c:v>
                </c:pt>
                <c:pt idx="2">
                  <c:v>669</c:v>
                </c:pt>
                <c:pt idx="3">
                  <c:v>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0-4AD1-B171-EE82263FB1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50447183"/>
        <c:axId val="1950448847"/>
      </c:barChart>
      <c:catAx>
        <c:axId val="195044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0448847"/>
        <c:crosses val="autoZero"/>
        <c:auto val="1"/>
        <c:lblAlgn val="ctr"/>
        <c:lblOffset val="100"/>
        <c:noMultiLvlLbl val="0"/>
      </c:catAx>
      <c:valAx>
        <c:axId val="19504488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5044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[Dashboard_Projeto_Grupo_7_Custo_Manutenção_de_Estoque.xlsx]CapitalPA-Dinamica!Tabela dinâmica9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2000" b="1" i="0" u="none" strike="noStrike" kern="1200" spc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t-BR" sz="20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rPr>
              <a:t>Comparativo - Custo Capital PA</a:t>
            </a:r>
          </a:p>
        </c:rich>
      </c:tx>
      <c:layout>
        <c:manualLayout>
          <c:xMode val="edge"/>
          <c:yMode val="edge"/>
          <c:x val="0.23047198726327559"/>
          <c:y val="9.827568079571111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2000" b="1" i="0" u="none" strike="noStrike" kern="1200" spc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3807099320656322"/>
          <c:y val="0.17148459821216802"/>
          <c:w val="0.70371919846136144"/>
          <c:h val="0.662330708661417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'CapitalPA-Dinamica'!$B$47:$B$48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'CapitalPA-Dinamica'!$A$49:$A$53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'CapitalPA-Dinamica'!$B$49:$B$53</c:f>
              <c:numCache>
                <c:formatCode>_("R$"* #,##0.00_);_("R$"* \(#,##0.00\);_("R$"* "-"??_);_(@_)</c:formatCode>
                <c:ptCount val="4"/>
                <c:pt idx="0">
                  <c:v>4200350000</c:v>
                </c:pt>
                <c:pt idx="1">
                  <c:v>13464950000</c:v>
                </c:pt>
                <c:pt idx="2">
                  <c:v>14556950000</c:v>
                </c:pt>
                <c:pt idx="3">
                  <c:v>4884700000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B-4E16-98BD-C8BF3DB3386E}"/>
            </c:ext>
          </c:extLst>
        </c:ser>
        <c:ser>
          <c:idx val="1"/>
          <c:order val="1"/>
          <c:tx>
            <c:strRef>
              <c:f>'CapitalPA-Dinamica'!$C$47:$C$48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'CapitalPA-Dinamica'!$A$49:$A$53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'CapitalPA-Dinamica'!$C$49:$C$53</c:f>
              <c:numCache>
                <c:formatCode>_("R$"* #,##0.00_);_("R$"* \(#,##0.00\);_("R$"* "-"??_);_(@_)</c:formatCode>
                <c:ptCount val="4"/>
                <c:pt idx="0">
                  <c:v>11843600000</c:v>
                </c:pt>
                <c:pt idx="2">
                  <c:v>10644400000</c:v>
                </c:pt>
                <c:pt idx="3">
                  <c:v>5402950000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0-4C2D-A493-EA4EBA42E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5849216"/>
        <c:axId val="219191392"/>
        <c:axId val="1141325952"/>
      </c:bar3DChart>
      <c:catAx>
        <c:axId val="10058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191392"/>
        <c:crosses val="autoZero"/>
        <c:auto val="1"/>
        <c:lblAlgn val="ctr"/>
        <c:lblOffset val="100"/>
        <c:noMultiLvlLbl val="0"/>
      </c:catAx>
      <c:valAx>
        <c:axId val="2191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5849216"/>
        <c:crosses val="autoZero"/>
        <c:crossBetween val="between"/>
      </c:valAx>
      <c:serAx>
        <c:axId val="114132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191392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[Dashboard_Projeto_Grupo_7_Custo_Manutenção_de_Estoque.xlsx]CapitalMP-Dinamica!Tabela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2000" b="1" i="0" u="none" strike="noStrike" kern="1200" spc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t-BR" sz="2000" b="1" i="0" u="none" strike="noStrike" kern="1200" spc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rPr>
              <a:t>Comparativo - Custo Capital 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2000" b="1" i="0" u="none" strike="noStrike" kern="1200" spc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'CapitalMP-Dinamica'!$B$55:$B$56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'CapitalMP-Dinamica'!$A$57:$A$61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'CapitalMP-Dinamica'!$B$57:$B$61</c:f>
              <c:numCache>
                <c:formatCode>General</c:formatCode>
                <c:ptCount val="4"/>
                <c:pt idx="0">
                  <c:v>10235000</c:v>
                </c:pt>
                <c:pt idx="1">
                  <c:v>7000000</c:v>
                </c:pt>
                <c:pt idx="2">
                  <c:v>15955000</c:v>
                </c:pt>
                <c:pt idx="3">
                  <c:v>7275000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7-4691-B665-C4E5169B3EDD}"/>
            </c:ext>
          </c:extLst>
        </c:ser>
        <c:ser>
          <c:idx val="1"/>
          <c:order val="1"/>
          <c:tx>
            <c:strRef>
              <c:f>'CapitalMP-Dinamica'!$C$55:$C$56</c:f>
              <c:strCache>
                <c:ptCount val="1"/>
                <c:pt idx="0">
                  <c:v>2023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'CapitalMP-Dinamica'!$A$57:$A$61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'CapitalMP-Dinamica'!$C$57:$C$61</c:f>
              <c:numCache>
                <c:formatCode>General</c:formatCode>
                <c:ptCount val="4"/>
                <c:pt idx="0">
                  <c:v>13565000</c:v>
                </c:pt>
                <c:pt idx="1">
                  <c:v>11930000</c:v>
                </c:pt>
                <c:pt idx="2">
                  <c:v>8800000</c:v>
                </c:pt>
                <c:pt idx="3">
                  <c:v>10775000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7-4691-B665-C4E5169B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3343679"/>
        <c:axId val="1213344095"/>
        <c:axId val="1636352207"/>
      </c:bar3DChart>
      <c:catAx>
        <c:axId val="121334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344095"/>
        <c:crosses val="autoZero"/>
        <c:auto val="1"/>
        <c:lblAlgn val="ctr"/>
        <c:lblOffset val="100"/>
        <c:noMultiLvlLbl val="0"/>
      </c:catAx>
      <c:valAx>
        <c:axId val="121334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343679"/>
        <c:crosses val="autoZero"/>
        <c:crossBetween val="between"/>
      </c:valAx>
      <c:serAx>
        <c:axId val="1636352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344095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[Dashboard_Projeto_Grupo_7_Custo_Manutenção_de_Estoque.xlsx]Espaço-Dinamica!Tabela dinâmica14</c:name>
    <c:fmtId val="6"/>
  </c:pivotSource>
  <c:chart>
    <c:title>
      <c:tx>
        <c:rich>
          <a:bodyPr/>
          <a:lstStyle/>
          <a:p>
            <a:pPr algn="ctr" rtl="0">
              <a:defRPr lang="pt-BR" sz="2000" b="1" i="0" u="none" strike="noStrike" kern="1200" spc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t-BR" sz="2000" b="1" i="0" u="none" strike="noStrike" kern="1200" spc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rPr>
              <a:t>Comparativo - Custo Espaço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4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4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4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4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4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4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869706911636048"/>
          <c:y val="0.1692548848060659"/>
          <c:w val="0.68655912802566343"/>
          <c:h val="0.6585309128025663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'Espaço-Dinamica'!$B$24:$B$25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'Espaço-Dinamica'!$A$26:$A$30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'Espaço-Dinamica'!$B$26:$B$30</c:f>
              <c:numCache>
                <c:formatCode>General</c:formatCode>
                <c:ptCount val="4"/>
                <c:pt idx="0">
                  <c:v>1297350</c:v>
                </c:pt>
                <c:pt idx="1">
                  <c:v>2672090</c:v>
                </c:pt>
                <c:pt idx="2">
                  <c:v>2465330</c:v>
                </c:pt>
                <c:pt idx="3">
                  <c:v>1661240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7-4499-A92A-C6ED2278D7E7}"/>
            </c:ext>
          </c:extLst>
        </c:ser>
        <c:ser>
          <c:idx val="1"/>
          <c:order val="1"/>
          <c:tx>
            <c:strRef>
              <c:f>'Espaço-Dinamica'!$C$24:$C$25</c:f>
              <c:strCache>
                <c:ptCount val="1"/>
                <c:pt idx="0">
                  <c:v>2023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'Espaço-Dinamica'!$A$26:$A$30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'Espaço-Dinamica'!$C$26:$C$30</c:f>
              <c:numCache>
                <c:formatCode>General</c:formatCode>
                <c:ptCount val="4"/>
                <c:pt idx="0">
                  <c:v>1306130</c:v>
                </c:pt>
                <c:pt idx="2">
                  <c:v>1412890</c:v>
                </c:pt>
                <c:pt idx="3">
                  <c:v>872020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7-4499-A92A-C6ED2278D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5485856"/>
        <c:axId val="815487936"/>
        <c:axId val="2116875664"/>
      </c:bar3DChart>
      <c:catAx>
        <c:axId val="81548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487936"/>
        <c:crosses val="autoZero"/>
        <c:auto val="1"/>
        <c:lblAlgn val="ctr"/>
        <c:lblOffset val="100"/>
        <c:noMultiLvlLbl val="0"/>
      </c:catAx>
      <c:valAx>
        <c:axId val="8154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485856"/>
        <c:crosses val="autoZero"/>
        <c:crossBetween val="between"/>
      </c:valAx>
      <c:serAx>
        <c:axId val="211687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487936"/>
        <c:crosses val="autoZero"/>
      </c:serAx>
      <c:dTable>
        <c:showHorzBorder val="1"/>
        <c:showVertBorder val="1"/>
        <c:showOutline val="1"/>
        <c:showKeys val="1"/>
        <c:txPr>
          <a:bodyPr/>
          <a:lstStyle/>
          <a:p>
            <a:pPr algn="ctr" rtl="0">
              <a:defRPr lang="en-US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[Dashboard_Projeto_Grupo_7_Custo_Manutenção_de_Estoque.xlsx]Equipamento-Dinamica!Tabela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2000" b="1" i="0" u="none" strike="noStrike" kern="1200" spc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t-BR" sz="2000" b="1" i="0" u="none" strike="noStrike" kern="1200" spc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rPr>
              <a:t>Comparativo - Custo Equipamento</a:t>
            </a:r>
          </a:p>
        </c:rich>
      </c:tx>
      <c:layout>
        <c:manualLayout>
          <c:xMode val="edge"/>
          <c:yMode val="edge"/>
          <c:x val="0.21346115635080662"/>
          <c:y val="4.2222230225852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2000" b="1" i="0" u="none" strike="noStrike" kern="1200" spc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'Equipamento-Dinamica'!$B$45:$B$46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'Equipamento-Dinamica'!$A$47:$A$51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'Equipamento-Dinamica'!$B$47:$B$51</c:f>
              <c:numCache>
                <c:formatCode>General</c:formatCode>
                <c:ptCount val="4"/>
                <c:pt idx="0">
                  <c:v>1683125</c:v>
                </c:pt>
                <c:pt idx="1">
                  <c:v>1067785</c:v>
                </c:pt>
                <c:pt idx="2">
                  <c:v>1878730</c:v>
                </c:pt>
                <c:pt idx="3">
                  <c:v>1403415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B-4C21-BC6C-F8E861FECC48}"/>
            </c:ext>
          </c:extLst>
        </c:ser>
        <c:ser>
          <c:idx val="1"/>
          <c:order val="1"/>
          <c:tx>
            <c:strRef>
              <c:f>'Equipamento-Dinamica'!$C$45:$C$46</c:f>
              <c:strCache>
                <c:ptCount val="1"/>
                <c:pt idx="0">
                  <c:v>2023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'Equipamento-Dinamica'!$A$47:$A$51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'Equipamento-Dinamica'!$C$47:$C$51</c:f>
              <c:numCache>
                <c:formatCode>General</c:formatCode>
                <c:ptCount val="4"/>
                <c:pt idx="0">
                  <c:v>2958190</c:v>
                </c:pt>
                <c:pt idx="1">
                  <c:v>2984515</c:v>
                </c:pt>
                <c:pt idx="2">
                  <c:v>1968920</c:v>
                </c:pt>
                <c:pt idx="3">
                  <c:v>421285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B-4C21-BC6C-F8E861FEC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9728192"/>
        <c:axId val="1089711552"/>
        <c:axId val="1231938336"/>
      </c:bar3DChart>
      <c:catAx>
        <c:axId val="10897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711552"/>
        <c:crosses val="autoZero"/>
        <c:auto val="1"/>
        <c:lblAlgn val="ctr"/>
        <c:lblOffset val="100"/>
        <c:noMultiLvlLbl val="0"/>
      </c:catAx>
      <c:valAx>
        <c:axId val="10897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728192"/>
        <c:crosses val="autoZero"/>
        <c:crossBetween val="between"/>
      </c:valAx>
      <c:serAx>
        <c:axId val="123193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711552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[Dashboard_Projeto_Grupo_7_Custo_Manutenção_de_Estoque.xlsx]Estoque-Dinamica!Tabela dinâmica6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2000" b="1" i="0" u="none" strike="noStrike" kern="1200" spc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t-BR" sz="2000" b="1" i="0" u="none" strike="noStrike" kern="1200" spc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rPr>
              <a:t>Comparativo - Custo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2000" b="1" i="0" u="none" strike="noStrike" kern="1200" spc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5850806570527"/>
          <c:y val="0.14513793103448275"/>
          <c:w val="0.79689728390692738"/>
          <c:h val="0.7080982894379581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'Estoque-Dinamica'!$B$33:$B$34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'Estoque-Dinamica'!$A$35:$A$39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'Estoque-Dinamica'!$B$35:$B$39</c:f>
              <c:numCache>
                <c:formatCode>_("R$"* #,##0.00_);_("R$"* \(#,##0.00\);_("R$"* "-"??_);_(@_)</c:formatCode>
                <c:ptCount val="4"/>
                <c:pt idx="0">
                  <c:v>1898400</c:v>
                </c:pt>
                <c:pt idx="1">
                  <c:v>3474600</c:v>
                </c:pt>
                <c:pt idx="2">
                  <c:v>2169200</c:v>
                </c:pt>
                <c:pt idx="3">
                  <c:v>1591300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F-417A-9F79-D82FC824AAE3}"/>
            </c:ext>
          </c:extLst>
        </c:ser>
        <c:ser>
          <c:idx val="1"/>
          <c:order val="1"/>
          <c:tx>
            <c:strRef>
              <c:f>'Estoque-Dinamica'!$C$33:$C$34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'Estoque-Dinamica'!$A$35:$A$39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'Estoque-Dinamica'!$C$35:$C$39</c:f>
              <c:numCache>
                <c:formatCode>_("R$"* #,##0.00_);_("R$"* \(#,##0.00\);_("R$"* "-"??_);_(@_)</c:formatCode>
                <c:ptCount val="4"/>
                <c:pt idx="0">
                  <c:v>2281900</c:v>
                </c:pt>
                <c:pt idx="2">
                  <c:v>2042500</c:v>
                </c:pt>
                <c:pt idx="3">
                  <c:v>436400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F-417A-9F79-D82FC824A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0407359"/>
        <c:axId val="490415679"/>
        <c:axId val="439888511"/>
      </c:bar3DChart>
      <c:catAx>
        <c:axId val="49040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415679"/>
        <c:crosses val="autoZero"/>
        <c:auto val="1"/>
        <c:lblAlgn val="ctr"/>
        <c:lblOffset val="100"/>
        <c:noMultiLvlLbl val="0"/>
      </c:catAx>
      <c:valAx>
        <c:axId val="49041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407359"/>
        <c:crosses val="autoZero"/>
        <c:crossBetween val="between"/>
      </c:valAx>
      <c:serAx>
        <c:axId val="43988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415679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[Dashboard_Projeto_Grupo_7_Custo_Manutenção_de_Estoque.xlsx]CapitalPA-Dinamica!Tabela dinâmica8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'CapitalPA-Dinamica'!$B$38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'CapitalPA-Dinamica'!$A$39:$A$43</c:f>
              <c:strCache>
                <c:ptCount val="4"/>
                <c:pt idx="0">
                  <c:v>Disponível</c:v>
                </c:pt>
                <c:pt idx="1">
                  <c:v>Em Produção</c:v>
                </c:pt>
                <c:pt idx="2">
                  <c:v>Avariado</c:v>
                </c:pt>
                <c:pt idx="3">
                  <c:v>Obsoleto</c:v>
                </c:pt>
              </c:strCache>
            </c:strRef>
          </c:cat>
          <c:val>
            <c:numRef>
              <c:f>'CapitalPA-Dinamica'!$B$39:$B$43</c:f>
              <c:numCache>
                <c:formatCode>General</c:formatCode>
                <c:ptCount val="4"/>
                <c:pt idx="0">
                  <c:v>859</c:v>
                </c:pt>
                <c:pt idx="1">
                  <c:v>525</c:v>
                </c:pt>
                <c:pt idx="2">
                  <c:v>48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7-4FBD-BAEA-200E12C43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252591"/>
        <c:axId val="459240111"/>
      </c:barChart>
      <c:catAx>
        <c:axId val="4592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240111"/>
        <c:crosses val="autoZero"/>
        <c:auto val="1"/>
        <c:lblAlgn val="ctr"/>
        <c:lblOffset val="100"/>
        <c:noMultiLvlLbl val="0"/>
      </c:catAx>
      <c:valAx>
        <c:axId val="45924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2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[Dashboard_Projeto_Grupo_7_Custo_Manutenção_de_Estoque.xlsx]CapitalPA-Dinamica!Tabela dinâmica1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'CapitalPA-Dinamica'!$B$18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'CapitalPA-Dinamica'!$A$19:$A$23</c:f>
              <c:strCache>
                <c:ptCount val="4"/>
                <c:pt idx="0">
                  <c:v>Armazém C</c:v>
                </c:pt>
                <c:pt idx="1">
                  <c:v>Armazém B</c:v>
                </c:pt>
                <c:pt idx="2">
                  <c:v>Armazém A</c:v>
                </c:pt>
                <c:pt idx="3">
                  <c:v>Armazém D</c:v>
                </c:pt>
              </c:strCache>
            </c:strRef>
          </c:cat>
          <c:val>
            <c:numRef>
              <c:f>'CapitalPA-Dinamica'!$B$19:$B$23</c:f>
              <c:numCache>
                <c:formatCode>General</c:formatCode>
                <c:ptCount val="4"/>
                <c:pt idx="0">
                  <c:v>153</c:v>
                </c:pt>
                <c:pt idx="1">
                  <c:v>304</c:v>
                </c:pt>
                <c:pt idx="2">
                  <c:v>492</c:v>
                </c:pt>
                <c:pt idx="3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B-48A9-B9E6-B15854B3F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4320927"/>
        <c:axId val="1874336735"/>
      </c:barChart>
      <c:catAx>
        <c:axId val="1874320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336735"/>
        <c:crosses val="autoZero"/>
        <c:auto val="1"/>
        <c:lblAlgn val="ctr"/>
        <c:lblOffset val="100"/>
        <c:noMultiLvlLbl val="0"/>
      </c:catAx>
      <c:valAx>
        <c:axId val="187433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3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[Dashboard_Projeto_Grupo_7_Custo_Manutenção_de_Estoque.xlsx]CapitalPA-Dinamica!Tabela dinâmica2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'CapitalPA-Dinamica'!$B$80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9D-4B56-9964-3B1569CF00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9D-4B56-9964-3B1569CF00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9D-4B56-9964-3B1569CF00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9D-4B56-9964-3B1569CF002D}"/>
              </c:ext>
            </c:extLst>
          </c:dPt>
          <c:cat>
            <c:strRef>
              <c:f>'CapitalPA-Dinamica'!$A$81:$A$85</c:f>
              <c:strCache>
                <c:ptCount val="4"/>
                <c:pt idx="0">
                  <c:v>Avariado</c:v>
                </c:pt>
                <c:pt idx="1">
                  <c:v>Disponível</c:v>
                </c:pt>
                <c:pt idx="2">
                  <c:v>Em Produção</c:v>
                </c:pt>
                <c:pt idx="3">
                  <c:v>Obsoleto</c:v>
                </c:pt>
              </c:strCache>
            </c:strRef>
          </c:cat>
          <c:val>
            <c:numRef>
              <c:f>'CapitalPA-Dinamica'!$B$81:$B$85</c:f>
              <c:numCache>
                <c:formatCode>_("R$"* #,##0.00_);_("R$"* \(#,##0.00\);_("R$"* "-"??_);_(@_)</c:formatCode>
                <c:ptCount val="4"/>
                <c:pt idx="0">
                  <c:v>2153550000</c:v>
                </c:pt>
                <c:pt idx="1">
                  <c:v>37389150000</c:v>
                </c:pt>
                <c:pt idx="2">
                  <c:v>23486850000</c:v>
                </c:pt>
                <c:pt idx="3">
                  <c:v>1968350000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7-4B4A-84B4-69384D37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Fornecedor x valor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Fornecedor x valor</a:t>
          </a:r>
        </a:p>
      </cx:txPr>
    </cx:title>
    <cx:plotArea>
      <cx:plotAreaRegion>
        <cx:series layoutId="funnel" uniqueId="{2DAF515E-9245-40DA-8413-DBD5ACBF7C48}">
          <cx:tx>
            <cx:txData>
              <cx:f>_xlchart.v2.1</cx:f>
              <cx:v>valor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r>
              <a:rPr lang="pt-BR"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Valor</a:t>
            </a:r>
            <a:r>
              <a:rPr lang="pt-BR" sz="2000" b="1" i="0" u="none" strike="noStrike" baseline="0">
                <a:solidFill>
                  <a:schemeClr val="bg1"/>
                </a:solidFill>
                <a:latin typeface="Calibri" panose="020F0502020204030204"/>
              </a:rPr>
              <a:t> Total x Fornecedor</a:t>
            </a:r>
          </a:p>
        </cx:rich>
      </cx:tx>
    </cx:title>
    <cx:plotArea>
      <cx:plotAreaRegion>
        <cx:series layoutId="funnel" uniqueId="{2DAF515E-9245-40DA-8413-DBD5ACBF7C48}">
          <cx:tx>
            <cx:txData>
              <cx:f>_xlchart.v2.4</cx:f>
              <cx:v>valor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pt-BR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10000000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pt-BR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43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image" Target="../media/image21.png"/><Relationship Id="rId3" Type="http://schemas.openxmlformats.org/officeDocument/2006/relationships/chart" Target="../charts/chart38.xml"/><Relationship Id="rId7" Type="http://schemas.openxmlformats.org/officeDocument/2006/relationships/image" Target="../media/image18.png"/><Relationship Id="rId12" Type="http://schemas.openxmlformats.org/officeDocument/2006/relationships/image" Target="../media/image20.png"/><Relationship Id="rId2" Type="http://schemas.openxmlformats.org/officeDocument/2006/relationships/image" Target="../media/image9.svg"/><Relationship Id="rId1" Type="http://schemas.openxmlformats.org/officeDocument/2006/relationships/image" Target="../media/image8.png"/><Relationship Id="rId6" Type="http://schemas.openxmlformats.org/officeDocument/2006/relationships/chart" Target="../charts/chart41.xml"/><Relationship Id="rId11" Type="http://schemas.openxmlformats.org/officeDocument/2006/relationships/hyperlink" Target="#'Pag 2'!A1"/><Relationship Id="rId5" Type="http://schemas.openxmlformats.org/officeDocument/2006/relationships/chart" Target="../charts/chart40.xml"/><Relationship Id="rId10" Type="http://schemas.openxmlformats.org/officeDocument/2006/relationships/image" Target="../media/image19.png"/><Relationship Id="rId4" Type="http://schemas.openxmlformats.org/officeDocument/2006/relationships/chart" Target="../charts/chart39.xml"/><Relationship Id="rId9" Type="http://schemas.openxmlformats.org/officeDocument/2006/relationships/hyperlink" Target="#Capa!A1"/><Relationship Id="rId14" Type="http://schemas.openxmlformats.org/officeDocument/2006/relationships/image" Target="../media/image22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chart" Target="../charts/chart47.xml"/><Relationship Id="rId3" Type="http://schemas.openxmlformats.org/officeDocument/2006/relationships/chart" Target="../charts/chart43.xml"/><Relationship Id="rId7" Type="http://schemas.openxmlformats.org/officeDocument/2006/relationships/hyperlink" Target="#'Pag 1'!A1"/><Relationship Id="rId12" Type="http://schemas.openxmlformats.org/officeDocument/2006/relationships/image" Target="../media/image22.png"/><Relationship Id="rId2" Type="http://schemas.openxmlformats.org/officeDocument/2006/relationships/image" Target="../media/image24.svg"/><Relationship Id="rId1" Type="http://schemas.openxmlformats.org/officeDocument/2006/relationships/image" Target="../media/image23.png"/><Relationship Id="rId6" Type="http://schemas.openxmlformats.org/officeDocument/2006/relationships/chart" Target="../charts/chart46.xml"/><Relationship Id="rId11" Type="http://schemas.openxmlformats.org/officeDocument/2006/relationships/image" Target="../media/image21.png"/><Relationship Id="rId5" Type="http://schemas.openxmlformats.org/officeDocument/2006/relationships/chart" Target="../charts/chart45.xml"/><Relationship Id="rId10" Type="http://schemas.openxmlformats.org/officeDocument/2006/relationships/image" Target="../media/image20.png"/><Relationship Id="rId4" Type="http://schemas.openxmlformats.org/officeDocument/2006/relationships/chart" Target="../charts/chart44.xml"/><Relationship Id="rId9" Type="http://schemas.openxmlformats.org/officeDocument/2006/relationships/hyperlink" Target="#'Pag 3'!A1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2.xml"/><Relationship Id="rId3" Type="http://schemas.openxmlformats.org/officeDocument/2006/relationships/chart" Target="../charts/chart48.xml"/><Relationship Id="rId7" Type="http://schemas.openxmlformats.org/officeDocument/2006/relationships/chart" Target="../charts/chart49.xml"/><Relationship Id="rId12" Type="http://schemas.openxmlformats.org/officeDocument/2006/relationships/hyperlink" Target="#'Pag 4'!A1"/><Relationship Id="rId2" Type="http://schemas.openxmlformats.org/officeDocument/2006/relationships/image" Target="../media/image26.svg"/><Relationship Id="rId1" Type="http://schemas.openxmlformats.org/officeDocument/2006/relationships/image" Target="../media/image25.png"/><Relationship Id="rId6" Type="http://schemas.openxmlformats.org/officeDocument/2006/relationships/image" Target="../media/image29.png"/><Relationship Id="rId11" Type="http://schemas.openxmlformats.org/officeDocument/2006/relationships/image" Target="../media/image19.png"/><Relationship Id="rId5" Type="http://schemas.openxmlformats.org/officeDocument/2006/relationships/image" Target="../media/image28.png"/><Relationship Id="rId10" Type="http://schemas.openxmlformats.org/officeDocument/2006/relationships/hyperlink" Target="#'Pag 2'!A1"/><Relationship Id="rId4" Type="http://schemas.openxmlformats.org/officeDocument/2006/relationships/image" Target="../media/image27.png"/><Relationship Id="rId9" Type="http://schemas.openxmlformats.org/officeDocument/2006/relationships/chart" Target="../charts/chart51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hyperlink" Target="#'Pag 5'!A1"/><Relationship Id="rId3" Type="http://schemas.openxmlformats.org/officeDocument/2006/relationships/chart" Target="../charts/chart53.xml"/><Relationship Id="rId7" Type="http://schemas.openxmlformats.org/officeDocument/2006/relationships/chart" Target="../charts/chart56.xml"/><Relationship Id="rId12" Type="http://schemas.openxmlformats.org/officeDocument/2006/relationships/image" Target="../media/image19.png"/><Relationship Id="rId2" Type="http://schemas.openxmlformats.org/officeDocument/2006/relationships/image" Target="../media/image31.svg"/><Relationship Id="rId1" Type="http://schemas.openxmlformats.org/officeDocument/2006/relationships/image" Target="../media/image30.png"/><Relationship Id="rId6" Type="http://schemas.openxmlformats.org/officeDocument/2006/relationships/chart" Target="../charts/chart55.xml"/><Relationship Id="rId11" Type="http://schemas.openxmlformats.org/officeDocument/2006/relationships/hyperlink" Target="#'Pag 3'!A1"/><Relationship Id="rId5" Type="http://schemas.microsoft.com/office/2014/relationships/chartEx" Target="../charts/chartEx2.xml"/><Relationship Id="rId10" Type="http://schemas.openxmlformats.org/officeDocument/2006/relationships/image" Target="../media/image29.png"/><Relationship Id="rId4" Type="http://schemas.openxmlformats.org/officeDocument/2006/relationships/chart" Target="../charts/chart54.xml"/><Relationship Id="rId9" Type="http://schemas.openxmlformats.org/officeDocument/2006/relationships/image" Target="../media/image28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chart" Target="../charts/chart57.xml"/><Relationship Id="rId7" Type="http://schemas.openxmlformats.org/officeDocument/2006/relationships/hyperlink" Target="#'Pag 6'!A1"/><Relationship Id="rId12" Type="http://schemas.openxmlformats.org/officeDocument/2006/relationships/chart" Target="../charts/chart60.xml"/><Relationship Id="rId2" Type="http://schemas.openxmlformats.org/officeDocument/2006/relationships/image" Target="../media/image33.svg"/><Relationship Id="rId1" Type="http://schemas.openxmlformats.org/officeDocument/2006/relationships/image" Target="../media/image32.png"/><Relationship Id="rId6" Type="http://schemas.openxmlformats.org/officeDocument/2006/relationships/image" Target="../media/image19.png"/><Relationship Id="rId11" Type="http://schemas.openxmlformats.org/officeDocument/2006/relationships/chart" Target="../charts/chart59.xml"/><Relationship Id="rId5" Type="http://schemas.openxmlformats.org/officeDocument/2006/relationships/hyperlink" Target="#'Pag 4'!A1"/><Relationship Id="rId10" Type="http://schemas.openxmlformats.org/officeDocument/2006/relationships/image" Target="../media/image29.png"/><Relationship Id="rId4" Type="http://schemas.openxmlformats.org/officeDocument/2006/relationships/chart" Target="../charts/chart58.xml"/><Relationship Id="rId9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hyperlink" Target="#'Pag 5'!A1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image" Target="../media/image35.svg"/><Relationship Id="rId1" Type="http://schemas.openxmlformats.org/officeDocument/2006/relationships/image" Target="../media/image34.png"/><Relationship Id="rId6" Type="http://schemas.openxmlformats.org/officeDocument/2006/relationships/chart" Target="../charts/chart64.xml"/><Relationship Id="rId11" Type="http://schemas.openxmlformats.org/officeDocument/2006/relationships/image" Target="../media/image36.png"/><Relationship Id="rId5" Type="http://schemas.openxmlformats.org/officeDocument/2006/relationships/chart" Target="../charts/chart63.xml"/><Relationship Id="rId10" Type="http://schemas.openxmlformats.org/officeDocument/2006/relationships/hyperlink" Target="#'contra-capa'!A1"/><Relationship Id="rId4" Type="http://schemas.openxmlformats.org/officeDocument/2006/relationships/chart" Target="../charts/chart62.xml"/><Relationship Id="rId9" Type="http://schemas.openxmlformats.org/officeDocument/2006/relationships/image" Target="../media/image19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hyperlink" Target="#Capa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microsoft.com/office/2007/relationships/hdphoto" Target="../media/hdphoto3.wdp"/><Relationship Id="rId18" Type="http://schemas.openxmlformats.org/officeDocument/2006/relationships/image" Target="../media/image7.png"/><Relationship Id="rId3" Type="http://schemas.openxmlformats.org/officeDocument/2006/relationships/hyperlink" Target="#'Pag 2'!A1"/><Relationship Id="rId7" Type="http://schemas.openxmlformats.org/officeDocument/2006/relationships/hyperlink" Target="#'Pag 6'!A1"/><Relationship Id="rId12" Type="http://schemas.openxmlformats.org/officeDocument/2006/relationships/image" Target="../media/image4.png"/><Relationship Id="rId17" Type="http://schemas.microsoft.com/office/2007/relationships/hdphoto" Target="../media/hdphoto5.wdp"/><Relationship Id="rId2" Type="http://schemas.openxmlformats.org/officeDocument/2006/relationships/hyperlink" Target="#'Pag 1'!A1"/><Relationship Id="rId16" Type="http://schemas.openxmlformats.org/officeDocument/2006/relationships/image" Target="../media/image6.png"/><Relationship Id="rId1" Type="http://schemas.openxmlformats.org/officeDocument/2006/relationships/image" Target="../media/image1.png"/><Relationship Id="rId6" Type="http://schemas.openxmlformats.org/officeDocument/2006/relationships/hyperlink" Target="#'Pag 5'!A1"/><Relationship Id="rId11" Type="http://schemas.microsoft.com/office/2007/relationships/hdphoto" Target="../media/hdphoto2.wdp"/><Relationship Id="rId5" Type="http://schemas.openxmlformats.org/officeDocument/2006/relationships/hyperlink" Target="#'Pag 4'!A1"/><Relationship Id="rId15" Type="http://schemas.microsoft.com/office/2007/relationships/hdphoto" Target="../media/hdphoto4.wdp"/><Relationship Id="rId10" Type="http://schemas.openxmlformats.org/officeDocument/2006/relationships/image" Target="../media/image3.png"/><Relationship Id="rId19" Type="http://schemas.microsoft.com/office/2007/relationships/hdphoto" Target="../media/hdphoto6.wdp"/><Relationship Id="rId4" Type="http://schemas.openxmlformats.org/officeDocument/2006/relationships/hyperlink" Target="#'Pag 3'!A1"/><Relationship Id="rId9" Type="http://schemas.microsoft.com/office/2007/relationships/hdphoto" Target="../media/hdphoto1.wdp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199</xdr:row>
      <xdr:rowOff>14287</xdr:rowOff>
    </xdr:from>
    <xdr:to>
      <xdr:col>9</xdr:col>
      <xdr:colOff>381000</xdr:colOff>
      <xdr:row>213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07B2F8-5098-D2E4-70EF-EEB2634CC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28</xdr:col>
      <xdr:colOff>0</xdr:colOff>
      <xdr:row>53</xdr:row>
      <xdr:rowOff>57150</xdr:rowOff>
    </xdr:to>
    <xdr:pic>
      <xdr:nvPicPr>
        <xdr:cNvPr id="7" name="Gráfico 6">
          <a:extLst>
            <a:ext uri="{FF2B5EF4-FFF2-40B4-BE49-F238E27FC236}">
              <a16:creationId xmlns:a16="http://schemas.microsoft.com/office/drawing/2014/main" id="{302BCA02-DC50-0B36-32A7-73B3ECABF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17068800" cy="10153650"/>
        </a:xfrm>
        <a:prstGeom prst="rect">
          <a:avLst/>
        </a:prstGeom>
      </xdr:spPr>
    </xdr:pic>
    <xdr:clientData/>
  </xdr:twoCellAnchor>
  <xdr:twoCellAnchor>
    <xdr:from>
      <xdr:col>12</xdr:col>
      <xdr:colOff>468084</xdr:colOff>
      <xdr:row>33</xdr:row>
      <xdr:rowOff>4076</xdr:rowOff>
    </xdr:from>
    <xdr:to>
      <xdr:col>19</xdr:col>
      <xdr:colOff>469900</xdr:colOff>
      <xdr:row>51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9C5A63-2641-4D75-9DCD-3089EBF2A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256620</xdr:colOff>
      <xdr:row>9</xdr:row>
      <xdr:rowOff>101600</xdr:rowOff>
    </xdr:from>
    <xdr:to>
      <xdr:col>27</xdr:col>
      <xdr:colOff>152400</xdr:colOff>
      <xdr:row>30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2D020D-5A29-4745-99B6-92B9759BE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237330</xdr:colOff>
      <xdr:row>0</xdr:row>
      <xdr:rowOff>106959</xdr:rowOff>
    </xdr:from>
    <xdr:to>
      <xdr:col>10</xdr:col>
      <xdr:colOff>94455</xdr:colOff>
      <xdr:row>8</xdr:row>
      <xdr:rowOff>63501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Localizacao 5">
              <a:extLst>
                <a:ext uri="{FF2B5EF4-FFF2-40B4-BE49-F238E27FC236}">
                  <a16:creationId xmlns:a16="http://schemas.microsoft.com/office/drawing/2014/main" id="{C2CCFC47-9677-4594-806D-2936D4D348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zacao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04530" y="106959"/>
              <a:ext cx="1685925" cy="14805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276223</xdr:colOff>
      <xdr:row>0</xdr:row>
      <xdr:rowOff>108943</xdr:rowOff>
    </xdr:from>
    <xdr:to>
      <xdr:col>13</xdr:col>
      <xdr:colOff>276224</xdr:colOff>
      <xdr:row>8</xdr:row>
      <xdr:rowOff>85724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Situacao 2">
              <a:extLst>
                <a:ext uri="{FF2B5EF4-FFF2-40B4-BE49-F238E27FC236}">
                  <a16:creationId xmlns:a16="http://schemas.microsoft.com/office/drawing/2014/main" id="{7ACD48F5-CD0F-4936-9254-91359C4DF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a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2223" y="108943"/>
              <a:ext cx="1828801" cy="15007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507998</xdr:colOff>
      <xdr:row>0</xdr:row>
      <xdr:rowOff>130968</xdr:rowOff>
    </xdr:from>
    <xdr:to>
      <xdr:col>25</xdr:col>
      <xdr:colOff>393700</xdr:colOff>
      <xdr:row>8</xdr:row>
      <xdr:rowOff>63500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0" name="Data 1">
              <a:extLst>
                <a:ext uri="{FF2B5EF4-FFF2-40B4-BE49-F238E27FC236}">
                  <a16:creationId xmlns:a16="http://schemas.microsoft.com/office/drawing/2014/main" id="{46DCE604-9B51-39D1-7961-965384DA2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19198" y="130968"/>
              <a:ext cx="1714502" cy="14565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13</xdr:row>
      <xdr:rowOff>184943</xdr:rowOff>
    </xdr:from>
    <xdr:to>
      <xdr:col>3</xdr:col>
      <xdr:colOff>304800</xdr:colOff>
      <xdr:row>17</xdr:row>
      <xdr:rowOff>101601</xdr:rowOff>
    </xdr:to>
    <xdr:sp macro="" textlink="'CapitalPA-Dinamica'!D2">
      <xdr:nvSpPr>
        <xdr:cNvPr id="42" name="Retângulo: Cantos Diagonais Arredondados 41">
          <a:extLst>
            <a:ext uri="{FF2B5EF4-FFF2-40B4-BE49-F238E27FC236}">
              <a16:creationId xmlns:a16="http://schemas.microsoft.com/office/drawing/2014/main" id="{70D500FF-2473-467B-8528-D22640C641E8}"/>
            </a:ext>
          </a:extLst>
        </xdr:cNvPr>
        <xdr:cNvSpPr/>
      </xdr:nvSpPr>
      <xdr:spPr>
        <a:xfrm>
          <a:off x="0" y="2661443"/>
          <a:ext cx="2133600" cy="678658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8B2924D-6179-4C6D-AF37-FD20C000F2F7}" type="TxLink">
            <a:rPr lang="en-US" sz="16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R$ 64.997.900.000,00 </a:t>
          </a:fld>
          <a:endParaRPr lang="pt-BR" sz="1600" b="1" baseline="0">
            <a:solidFill>
              <a:srgbClr val="FFC000"/>
            </a:solidFill>
          </a:endParaRPr>
        </a:p>
      </xdr:txBody>
    </xdr:sp>
    <xdr:clientData/>
  </xdr:twoCellAnchor>
  <xdr:twoCellAnchor>
    <xdr:from>
      <xdr:col>0</xdr:col>
      <xdr:colOff>0</xdr:colOff>
      <xdr:row>10</xdr:row>
      <xdr:rowOff>80167</xdr:rowOff>
    </xdr:from>
    <xdr:to>
      <xdr:col>3</xdr:col>
      <xdr:colOff>300037</xdr:colOff>
      <xdr:row>13</xdr:row>
      <xdr:rowOff>163511</xdr:rowOff>
    </xdr:to>
    <xdr:sp macro="" textlink="">
      <xdr:nvSpPr>
        <xdr:cNvPr id="44" name="Retângulo: Cantos Diagonais Arredondados 43">
          <a:extLst>
            <a:ext uri="{FF2B5EF4-FFF2-40B4-BE49-F238E27FC236}">
              <a16:creationId xmlns:a16="http://schemas.microsoft.com/office/drawing/2014/main" id="{CA027809-EFA4-4F4E-9242-79B3D03C9280}"/>
            </a:ext>
          </a:extLst>
        </xdr:cNvPr>
        <xdr:cNvSpPr/>
      </xdr:nvSpPr>
      <xdr:spPr>
        <a:xfrm>
          <a:off x="0" y="1985167"/>
          <a:ext cx="2128837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Valor Total</a:t>
          </a:r>
          <a:r>
            <a:rPr lang="pt-BR" sz="16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 </a:t>
          </a:r>
          <a:r>
            <a:rPr lang="pt-BR" sz="1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PA</a:t>
          </a:r>
        </a:p>
      </xdr:txBody>
    </xdr:sp>
    <xdr:clientData/>
  </xdr:twoCellAnchor>
  <xdr:twoCellAnchor>
    <xdr:from>
      <xdr:col>0</xdr:col>
      <xdr:colOff>12701</xdr:colOff>
      <xdr:row>18</xdr:row>
      <xdr:rowOff>124619</xdr:rowOff>
    </xdr:from>
    <xdr:to>
      <xdr:col>3</xdr:col>
      <xdr:colOff>310357</xdr:colOff>
      <xdr:row>22</xdr:row>
      <xdr:rowOff>17463</xdr:rowOff>
    </xdr:to>
    <xdr:sp macro="" textlink="">
      <xdr:nvSpPr>
        <xdr:cNvPr id="48" name="Retângulo: Cantos Diagonais Arredondados 47">
          <a:extLst>
            <a:ext uri="{FF2B5EF4-FFF2-40B4-BE49-F238E27FC236}">
              <a16:creationId xmlns:a16="http://schemas.microsoft.com/office/drawing/2014/main" id="{E60BA533-12C8-4D07-B5E7-8F5696BFD5B3}"/>
            </a:ext>
          </a:extLst>
        </xdr:cNvPr>
        <xdr:cNvSpPr/>
      </xdr:nvSpPr>
      <xdr:spPr>
        <a:xfrm>
          <a:off x="12701" y="3553619"/>
          <a:ext cx="2126456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Valor</a:t>
          </a:r>
          <a:r>
            <a:rPr lang="pt-BR" sz="16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 Mínimo</a:t>
          </a:r>
        </a:p>
      </xdr:txBody>
    </xdr:sp>
    <xdr:clientData/>
  </xdr:twoCellAnchor>
  <xdr:twoCellAnchor>
    <xdr:from>
      <xdr:col>0</xdr:col>
      <xdr:colOff>0</xdr:colOff>
      <xdr:row>22</xdr:row>
      <xdr:rowOff>61119</xdr:rowOff>
    </xdr:from>
    <xdr:to>
      <xdr:col>3</xdr:col>
      <xdr:colOff>297656</xdr:colOff>
      <xdr:row>25</xdr:row>
      <xdr:rowOff>144463</xdr:rowOff>
    </xdr:to>
    <xdr:sp macro="" textlink="[1]CustoDeCapitalPA!$L$4">
      <xdr:nvSpPr>
        <xdr:cNvPr id="50" name="Retângulo: Cantos Diagonais Arredondados 49">
          <a:extLst>
            <a:ext uri="{FF2B5EF4-FFF2-40B4-BE49-F238E27FC236}">
              <a16:creationId xmlns:a16="http://schemas.microsoft.com/office/drawing/2014/main" id="{4B4D3FC0-44DB-4783-BBA2-C5E5551900B7}"/>
            </a:ext>
          </a:extLst>
        </xdr:cNvPr>
        <xdr:cNvSpPr/>
      </xdr:nvSpPr>
      <xdr:spPr>
        <a:xfrm>
          <a:off x="0" y="4252119"/>
          <a:ext cx="2126456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52C37904-E969-442F-8C20-5FEF1275EFAE}" type="TxLink">
            <a:rPr lang="en-US" sz="16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R$ 28.500.000,00 </a:t>
          </a:fld>
          <a:endParaRPr lang="pt-BR" sz="16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29369</xdr:colOff>
      <xdr:row>27</xdr:row>
      <xdr:rowOff>53975</xdr:rowOff>
    </xdr:from>
    <xdr:to>
      <xdr:col>3</xdr:col>
      <xdr:colOff>329406</xdr:colOff>
      <xdr:row>30</xdr:row>
      <xdr:rowOff>137319</xdr:rowOff>
    </xdr:to>
    <xdr:sp macro="" textlink="">
      <xdr:nvSpPr>
        <xdr:cNvPr id="51" name="Retângulo: Cantos Diagonais Arredondados 50">
          <a:extLst>
            <a:ext uri="{FF2B5EF4-FFF2-40B4-BE49-F238E27FC236}">
              <a16:creationId xmlns:a16="http://schemas.microsoft.com/office/drawing/2014/main" id="{6E4BE436-5DE6-4372-8578-C40A7419D509}"/>
            </a:ext>
          </a:extLst>
        </xdr:cNvPr>
        <xdr:cNvSpPr/>
      </xdr:nvSpPr>
      <xdr:spPr>
        <a:xfrm>
          <a:off x="29369" y="5197475"/>
          <a:ext cx="2128837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Valor</a:t>
          </a:r>
          <a:r>
            <a:rPr lang="pt-BR" sz="16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 Máximo</a:t>
          </a:r>
        </a:p>
      </xdr:txBody>
    </xdr:sp>
    <xdr:clientData/>
  </xdr:twoCellAnchor>
  <xdr:twoCellAnchor>
    <xdr:from>
      <xdr:col>0</xdr:col>
      <xdr:colOff>0</xdr:colOff>
      <xdr:row>30</xdr:row>
      <xdr:rowOff>175419</xdr:rowOff>
    </xdr:from>
    <xdr:to>
      <xdr:col>3</xdr:col>
      <xdr:colOff>300037</xdr:colOff>
      <xdr:row>34</xdr:row>
      <xdr:rowOff>68263</xdr:rowOff>
    </xdr:to>
    <xdr:sp macro="" textlink="[1]CustoDeCapitalPA!$L$6">
      <xdr:nvSpPr>
        <xdr:cNvPr id="52" name="Retângulo: Cantos Diagonais Arredondados 51">
          <a:extLst>
            <a:ext uri="{FF2B5EF4-FFF2-40B4-BE49-F238E27FC236}">
              <a16:creationId xmlns:a16="http://schemas.microsoft.com/office/drawing/2014/main" id="{E9AF29D7-4132-48EC-BCD7-CF0C3B0298CC}"/>
            </a:ext>
          </a:extLst>
        </xdr:cNvPr>
        <xdr:cNvSpPr/>
      </xdr:nvSpPr>
      <xdr:spPr>
        <a:xfrm>
          <a:off x="0" y="5890419"/>
          <a:ext cx="2128837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D0D54D73-AEE4-401E-8392-86EA82B1C3A0}" type="TxLink">
            <a:rPr lang="en-US" sz="16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R$ 58.500.000,00 </a:t>
          </a:fld>
          <a:endParaRPr lang="en-US" sz="16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50006</xdr:colOff>
      <xdr:row>35</xdr:row>
      <xdr:rowOff>123031</xdr:rowOff>
    </xdr:from>
    <xdr:to>
      <xdr:col>3</xdr:col>
      <xdr:colOff>350043</xdr:colOff>
      <xdr:row>39</xdr:row>
      <xdr:rowOff>15875</xdr:rowOff>
    </xdr:to>
    <xdr:sp macro="" textlink="">
      <xdr:nvSpPr>
        <xdr:cNvPr id="53" name="Retângulo: Cantos Diagonais Arredondados 52">
          <a:extLst>
            <a:ext uri="{FF2B5EF4-FFF2-40B4-BE49-F238E27FC236}">
              <a16:creationId xmlns:a16="http://schemas.microsoft.com/office/drawing/2014/main" id="{E308419C-05F3-451C-9952-1AF7F5B95456}"/>
            </a:ext>
          </a:extLst>
        </xdr:cNvPr>
        <xdr:cNvSpPr/>
      </xdr:nvSpPr>
      <xdr:spPr>
        <a:xfrm>
          <a:off x="50006" y="6790531"/>
          <a:ext cx="2128837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Valor</a:t>
          </a:r>
          <a:r>
            <a:rPr lang="pt-BR" sz="16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 Médio</a:t>
          </a:r>
        </a:p>
      </xdr:txBody>
    </xdr:sp>
    <xdr:clientData/>
  </xdr:twoCellAnchor>
  <xdr:twoCellAnchor>
    <xdr:from>
      <xdr:col>0</xdr:col>
      <xdr:colOff>38894</xdr:colOff>
      <xdr:row>39</xdr:row>
      <xdr:rowOff>73819</xdr:rowOff>
    </xdr:from>
    <xdr:to>
      <xdr:col>3</xdr:col>
      <xdr:colOff>338931</xdr:colOff>
      <xdr:row>42</xdr:row>
      <xdr:rowOff>157163</xdr:rowOff>
    </xdr:to>
    <xdr:sp macro="" textlink="[1]CustoDeCapitalPA!$L$9">
      <xdr:nvSpPr>
        <xdr:cNvPr id="54" name="Retângulo: Cantos Diagonais Arredondados 53">
          <a:extLst>
            <a:ext uri="{FF2B5EF4-FFF2-40B4-BE49-F238E27FC236}">
              <a16:creationId xmlns:a16="http://schemas.microsoft.com/office/drawing/2014/main" id="{03A7D14C-EAA5-49A5-B8D6-36D26D5560F2}"/>
            </a:ext>
          </a:extLst>
        </xdr:cNvPr>
        <xdr:cNvSpPr/>
      </xdr:nvSpPr>
      <xdr:spPr>
        <a:xfrm>
          <a:off x="38894" y="7503319"/>
          <a:ext cx="2128837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3676BB7B-BC31-40B3-A555-22EF1DDC2D95}" type="TxLink">
            <a:rPr lang="en-US" sz="16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R$ 44.559.000,00 </a:t>
          </a:fld>
          <a:endParaRPr lang="en-US" sz="16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13</xdr:col>
      <xdr:colOff>465933</xdr:colOff>
      <xdr:row>0</xdr:row>
      <xdr:rowOff>125412</xdr:rowOff>
    </xdr:from>
    <xdr:to>
      <xdr:col>22</xdr:col>
      <xdr:colOff>355600</xdr:colOff>
      <xdr:row>8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5" name="Produto 1">
              <a:extLst>
                <a:ext uri="{FF2B5EF4-FFF2-40B4-BE49-F238E27FC236}">
                  <a16:creationId xmlns:a16="http://schemas.microsoft.com/office/drawing/2014/main" id="{8A55E5BA-057D-40D3-A126-3F9B0998F1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0733" y="125412"/>
              <a:ext cx="5376067" cy="1474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119857</xdr:colOff>
      <xdr:row>10</xdr:row>
      <xdr:rowOff>50800</xdr:rowOff>
    </xdr:from>
    <xdr:to>
      <xdr:col>10</xdr:col>
      <xdr:colOff>81756</xdr:colOff>
      <xdr:row>30</xdr:row>
      <xdr:rowOff>114300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4D456BE0-11B5-49B1-9817-BCF3017C8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431800</xdr:colOff>
      <xdr:row>33</xdr:row>
      <xdr:rowOff>38100</xdr:rowOff>
    </xdr:from>
    <xdr:to>
      <xdr:col>27</xdr:col>
      <xdr:colOff>330200</xdr:colOff>
      <xdr:row>51</xdr:row>
      <xdr:rowOff>12700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08E2A8C5-1300-4196-9981-2FCDE6910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49212</xdr:colOff>
      <xdr:row>43</xdr:row>
      <xdr:rowOff>177800</xdr:rowOff>
    </xdr:from>
    <xdr:to>
      <xdr:col>3</xdr:col>
      <xdr:colOff>349249</xdr:colOff>
      <xdr:row>47</xdr:row>
      <xdr:rowOff>70644</xdr:rowOff>
    </xdr:to>
    <xdr:sp macro="" textlink="">
      <xdr:nvSpPr>
        <xdr:cNvPr id="49" name="Retângulo: Cantos Diagonais Arredondados 48">
          <a:extLst>
            <a:ext uri="{FF2B5EF4-FFF2-40B4-BE49-F238E27FC236}">
              <a16:creationId xmlns:a16="http://schemas.microsoft.com/office/drawing/2014/main" id="{AAA4CCEC-A493-41BE-B765-CCC8F3827E57}"/>
            </a:ext>
          </a:extLst>
        </xdr:cNvPr>
        <xdr:cNvSpPr/>
      </xdr:nvSpPr>
      <xdr:spPr>
        <a:xfrm>
          <a:off x="49212" y="8369300"/>
          <a:ext cx="2128837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Imposto</a:t>
          </a:r>
        </a:p>
      </xdr:txBody>
    </xdr:sp>
    <xdr:clientData/>
  </xdr:twoCellAnchor>
  <xdr:twoCellAnchor>
    <xdr:from>
      <xdr:col>0</xdr:col>
      <xdr:colOff>38100</xdr:colOff>
      <xdr:row>47</xdr:row>
      <xdr:rowOff>128588</xdr:rowOff>
    </xdr:from>
    <xdr:to>
      <xdr:col>3</xdr:col>
      <xdr:colOff>338137</xdr:colOff>
      <xdr:row>51</xdr:row>
      <xdr:rowOff>21432</xdr:rowOff>
    </xdr:to>
    <xdr:sp macro="" textlink="[1]CustoDeCapitalPA!$J$203">
      <xdr:nvSpPr>
        <xdr:cNvPr id="59" name="Retângulo: Cantos Diagonais Arredondados 58">
          <a:extLst>
            <a:ext uri="{FF2B5EF4-FFF2-40B4-BE49-F238E27FC236}">
              <a16:creationId xmlns:a16="http://schemas.microsoft.com/office/drawing/2014/main" id="{C19DFA24-44D8-475C-B456-318813CEBD17}"/>
            </a:ext>
          </a:extLst>
        </xdr:cNvPr>
        <xdr:cNvSpPr/>
      </xdr:nvSpPr>
      <xdr:spPr>
        <a:xfrm>
          <a:off x="38100" y="9082088"/>
          <a:ext cx="2128837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EADE2AFB-24ED-4AE1-A760-9B3B148B8C0F}" type="TxLink">
            <a:rPr lang="en-US" sz="16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R$ 19.499.370.000,00 </a:t>
          </a:fld>
          <a:endParaRPr lang="en-US" sz="16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12700</xdr:colOff>
      <xdr:row>0</xdr:row>
      <xdr:rowOff>25400</xdr:rowOff>
    </xdr:from>
    <xdr:to>
      <xdr:col>7</xdr:col>
      <xdr:colOff>12700</xdr:colOff>
      <xdr:row>6</xdr:row>
      <xdr:rowOff>38100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6CBDC8E1-C3FB-1AFA-BAC5-904757AD5419}"/>
            </a:ext>
          </a:extLst>
        </xdr:cNvPr>
        <xdr:cNvCxnSpPr/>
      </xdr:nvCxnSpPr>
      <xdr:spPr>
        <a:xfrm>
          <a:off x="4279900" y="25400"/>
          <a:ext cx="0" cy="1155700"/>
        </a:xfrm>
        <a:prstGeom prst="line">
          <a:avLst/>
        </a:prstGeom>
        <a:ln w="57150">
          <a:solidFill>
            <a:schemeClr val="bg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215900</xdr:colOff>
      <xdr:row>10</xdr:row>
      <xdr:rowOff>38100</xdr:rowOff>
    </xdr:from>
    <xdr:to>
      <xdr:col>12</xdr:col>
      <xdr:colOff>413209</xdr:colOff>
      <xdr:row>12</xdr:row>
      <xdr:rowOff>50800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9B1F091-E6B1-B28E-5B79-D575E3C43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1900" y="1943100"/>
          <a:ext cx="1416509" cy="393700"/>
        </a:xfrm>
        <a:prstGeom prst="rect">
          <a:avLst/>
        </a:prstGeom>
      </xdr:spPr>
    </xdr:pic>
    <xdr:clientData/>
  </xdr:twoCellAnchor>
  <xdr:twoCellAnchor>
    <xdr:from>
      <xdr:col>3</xdr:col>
      <xdr:colOff>330200</xdr:colOff>
      <xdr:row>32</xdr:row>
      <xdr:rowOff>139700</xdr:rowOff>
    </xdr:from>
    <xdr:to>
      <xdr:col>11</xdr:col>
      <xdr:colOff>596900</xdr:colOff>
      <xdr:row>51</xdr:row>
      <xdr:rowOff>101600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385CDDA-F1AA-4125-8EBB-D653DF434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26</xdr:col>
      <xdr:colOff>278947</xdr:colOff>
      <xdr:row>1</xdr:row>
      <xdr:rowOff>6350</xdr:rowOff>
    </xdr:from>
    <xdr:to>
      <xdr:col>27</xdr:col>
      <xdr:colOff>29587</xdr:colOff>
      <xdr:row>3</xdr:row>
      <xdr:rowOff>3733</xdr:rowOff>
    </xdr:to>
    <xdr:pic>
      <xdr:nvPicPr>
        <xdr:cNvPr id="28" name="Imagem 2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E2254B3-4DB9-4436-8164-3441466FB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8547" y="196850"/>
          <a:ext cx="360240" cy="378383"/>
        </a:xfrm>
        <a:prstGeom prst="rect">
          <a:avLst/>
        </a:prstGeom>
      </xdr:spPr>
    </xdr:pic>
    <xdr:clientData/>
  </xdr:twoCellAnchor>
  <xdr:oneCellAnchor>
    <xdr:from>
      <xdr:col>26</xdr:col>
      <xdr:colOff>142875</xdr:colOff>
      <xdr:row>3</xdr:row>
      <xdr:rowOff>6350</xdr:rowOff>
    </xdr:from>
    <xdr:ext cx="866775" cy="311496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CD32FD11-D9E0-4B35-A81B-73906D407AEE}"/>
            </a:ext>
          </a:extLst>
        </xdr:cNvPr>
        <xdr:cNvSpPr txBox="1"/>
      </xdr:nvSpPr>
      <xdr:spPr>
        <a:xfrm>
          <a:off x="15992475" y="577850"/>
          <a:ext cx="8667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Anterior</a:t>
          </a:r>
        </a:p>
      </xdr:txBody>
    </xdr:sp>
    <xdr:clientData/>
  </xdr:oneCellAnchor>
  <xdr:twoCellAnchor editAs="oneCell">
    <xdr:from>
      <xdr:col>26</xdr:col>
      <xdr:colOff>307522</xdr:colOff>
      <xdr:row>5</xdr:row>
      <xdr:rowOff>25400</xdr:rowOff>
    </xdr:from>
    <xdr:to>
      <xdr:col>27</xdr:col>
      <xdr:colOff>58162</xdr:colOff>
      <xdr:row>7</xdr:row>
      <xdr:rowOff>22783</xdr:rowOff>
    </xdr:to>
    <xdr:pic>
      <xdr:nvPicPr>
        <xdr:cNvPr id="32" name="Imagem 3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8E3C460-2A08-437B-BF72-57E74D01D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600808">
          <a:off x="16157122" y="977900"/>
          <a:ext cx="360240" cy="378383"/>
        </a:xfrm>
        <a:prstGeom prst="rect">
          <a:avLst/>
        </a:prstGeom>
      </xdr:spPr>
    </xdr:pic>
    <xdr:clientData/>
  </xdr:twoCellAnchor>
  <xdr:oneCellAnchor>
    <xdr:from>
      <xdr:col>26</xdr:col>
      <xdr:colOff>171450</xdr:colOff>
      <xdr:row>7</xdr:row>
      <xdr:rowOff>25400</xdr:rowOff>
    </xdr:from>
    <xdr:ext cx="914400" cy="311496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3E9EE2FA-A951-4FA4-B378-11D27689008F}"/>
            </a:ext>
          </a:extLst>
        </xdr:cNvPr>
        <xdr:cNvSpPr txBox="1"/>
      </xdr:nvSpPr>
      <xdr:spPr>
        <a:xfrm>
          <a:off x="16021050" y="1358900"/>
          <a:ext cx="9144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Próximo</a:t>
          </a:r>
        </a:p>
      </xdr:txBody>
    </xdr:sp>
    <xdr:clientData/>
  </xdr:oneCellAnchor>
  <xdr:twoCellAnchor editAs="oneCell">
    <xdr:from>
      <xdr:col>0</xdr:col>
      <xdr:colOff>9525</xdr:colOff>
      <xdr:row>11</xdr:row>
      <xdr:rowOff>19050</xdr:rowOff>
    </xdr:from>
    <xdr:to>
      <xdr:col>0</xdr:col>
      <xdr:colOff>400050</xdr:colOff>
      <xdr:row>13</xdr:row>
      <xdr:rowOff>28575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D23D466-3B5A-694B-F077-99551A87C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114550"/>
          <a:ext cx="390525" cy="390525"/>
        </a:xfrm>
        <a:prstGeom prst="rect">
          <a:avLst/>
        </a:prstGeom>
      </xdr:spPr>
    </xdr:pic>
    <xdr:clientData/>
  </xdr:twoCellAnchor>
  <xdr:twoCellAnchor>
    <xdr:from>
      <xdr:col>0</xdr:col>
      <xdr:colOff>142875</xdr:colOff>
      <xdr:row>19</xdr:row>
      <xdr:rowOff>95250</xdr:rowOff>
    </xdr:from>
    <xdr:to>
      <xdr:col>0</xdr:col>
      <xdr:colOff>390525</xdr:colOff>
      <xdr:row>21</xdr:row>
      <xdr:rowOff>95250</xdr:rowOff>
    </xdr:to>
    <xdr:sp macro="" textlink="">
      <xdr:nvSpPr>
        <xdr:cNvPr id="11" name="Seta: para Baixo 10">
          <a:extLst>
            <a:ext uri="{FF2B5EF4-FFF2-40B4-BE49-F238E27FC236}">
              <a16:creationId xmlns:a16="http://schemas.microsoft.com/office/drawing/2014/main" id="{2C55768C-1C53-73B8-C970-7450CA5CDF83}"/>
            </a:ext>
          </a:extLst>
        </xdr:cNvPr>
        <xdr:cNvSpPr/>
      </xdr:nvSpPr>
      <xdr:spPr>
        <a:xfrm>
          <a:off x="142875" y="3714750"/>
          <a:ext cx="247650" cy="381000"/>
        </a:xfrm>
        <a:prstGeom prst="down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115094</xdr:colOff>
      <xdr:row>27</xdr:row>
      <xdr:rowOff>149225</xdr:rowOff>
    </xdr:from>
    <xdr:to>
      <xdr:col>0</xdr:col>
      <xdr:colOff>362744</xdr:colOff>
      <xdr:row>29</xdr:row>
      <xdr:rowOff>149225</xdr:rowOff>
    </xdr:to>
    <xdr:sp macro="" textlink="">
      <xdr:nvSpPr>
        <xdr:cNvPr id="34" name="Seta: para Baixo 33">
          <a:extLst>
            <a:ext uri="{FF2B5EF4-FFF2-40B4-BE49-F238E27FC236}">
              <a16:creationId xmlns:a16="http://schemas.microsoft.com/office/drawing/2014/main" id="{3EE25DEC-3FA6-4DCA-80A9-426577BAAAD5}"/>
            </a:ext>
          </a:extLst>
        </xdr:cNvPr>
        <xdr:cNvSpPr/>
      </xdr:nvSpPr>
      <xdr:spPr>
        <a:xfrm rot="10800000">
          <a:off x="115094" y="5292725"/>
          <a:ext cx="247650" cy="381000"/>
        </a:xfrm>
        <a:prstGeom prst="down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95251</xdr:colOff>
      <xdr:row>36</xdr:row>
      <xdr:rowOff>38101</xdr:rowOff>
    </xdr:from>
    <xdr:to>
      <xdr:col>0</xdr:col>
      <xdr:colOff>533401</xdr:colOff>
      <xdr:row>38</xdr:row>
      <xdr:rowOff>95251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3B3009A2-97F3-B9B7-196C-DF40BEDFC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6896101"/>
          <a:ext cx="438150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44</xdr:row>
      <xdr:rowOff>133349</xdr:rowOff>
    </xdr:from>
    <xdr:to>
      <xdr:col>1</xdr:col>
      <xdr:colOff>66674</xdr:colOff>
      <xdr:row>47</xdr:row>
      <xdr:rowOff>28574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86F6765E-1E8C-40EB-780A-9D2D7412F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8515349"/>
          <a:ext cx="466725" cy="466725"/>
        </a:xfrm>
        <a:prstGeom prst="rect">
          <a:avLst/>
        </a:prstGeom>
      </xdr:spPr>
    </xdr:pic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0.1223</cdr:x>
      <cdr:y>0</cdr:y>
    </cdr:from>
    <cdr:to>
      <cdr:x>0.24362</cdr:x>
      <cdr:y>0.31658</cdr:y>
    </cdr:to>
    <cdr:pic>
      <cdr:nvPicPr>
        <cdr:cNvPr id="3" name="Imagem 2">
          <a:extLst xmlns:a="http://schemas.openxmlformats.org/drawingml/2006/main">
            <a:ext uri="{FF2B5EF4-FFF2-40B4-BE49-F238E27FC236}">
              <a16:creationId xmlns:a16="http://schemas.microsoft.com/office/drawing/2014/main" id="{B6AFA433-A9A8-59B7-9AD9-8DD91C13C80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254676" y="0"/>
          <a:ext cx="1244620" cy="124135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0.21788</cdr:x>
      <cdr:y>0.32064</cdr:y>
    </cdr:from>
    <cdr:to>
      <cdr:x>0.3377</cdr:x>
      <cdr:y>0.44765</cdr:y>
    </cdr:to>
    <cdr:pic>
      <cdr:nvPicPr>
        <cdr:cNvPr id="5" name="Imagem 4">
          <a:extLst xmlns:a="http://schemas.openxmlformats.org/drawingml/2006/main">
            <a:ext uri="{FF2B5EF4-FFF2-40B4-BE49-F238E27FC236}">
              <a16:creationId xmlns:a16="http://schemas.microsoft.com/office/drawing/2014/main" id="{7705B728-5AE4-5C91-4CCE-0025E58E855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235205" y="1257288"/>
          <a:ext cx="1229231" cy="49802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0.34415</cdr:x>
      <cdr:y>0.34575</cdr:y>
    </cdr:from>
    <cdr:to>
      <cdr:x>0.44387</cdr:x>
      <cdr:y>0.48202</cdr:y>
    </cdr:to>
    <cdr:pic>
      <cdr:nvPicPr>
        <cdr:cNvPr id="7" name="Imagem 6">
          <a:extLst xmlns:a="http://schemas.openxmlformats.org/drawingml/2006/main">
            <a:ext uri="{FF2B5EF4-FFF2-40B4-BE49-F238E27FC236}">
              <a16:creationId xmlns:a16="http://schemas.microsoft.com/office/drawing/2014/main" id="{1712C549-7B92-7248-23AD-961BBFF1ED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530631" y="1355731"/>
          <a:ext cx="1023026" cy="53433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0.44442</cdr:x>
      <cdr:y>0.39433</cdr:y>
    </cdr:from>
    <cdr:to>
      <cdr:x>0.56897</cdr:x>
      <cdr:y>0.5327</cdr:y>
    </cdr:to>
    <cdr:pic>
      <cdr:nvPicPr>
        <cdr:cNvPr id="9" name="Imagem 8">
          <a:extLst xmlns:a="http://schemas.openxmlformats.org/drawingml/2006/main">
            <a:ext uri="{FF2B5EF4-FFF2-40B4-BE49-F238E27FC236}">
              <a16:creationId xmlns:a16="http://schemas.microsoft.com/office/drawing/2014/main" id="{C7E54451-DA62-8793-20F2-6AD0AA4EE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559260" y="1546210"/>
          <a:ext cx="1277756" cy="54256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0.56791</cdr:x>
      <cdr:y>0.46559</cdr:y>
    </cdr:from>
    <cdr:to>
      <cdr:x>0.67859</cdr:x>
      <cdr:y>0.55834</cdr:y>
    </cdr:to>
    <cdr:pic>
      <cdr:nvPicPr>
        <cdr:cNvPr id="11" name="Imagem 10">
          <a:extLst xmlns:a="http://schemas.openxmlformats.org/drawingml/2006/main">
            <a:ext uri="{FF2B5EF4-FFF2-40B4-BE49-F238E27FC236}">
              <a16:creationId xmlns:a16="http://schemas.microsoft.com/office/drawing/2014/main" id="{340FB215-DBBB-8273-B543-6A482206E28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826135" y="1825630"/>
          <a:ext cx="1135464" cy="36368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0.6851</cdr:x>
      <cdr:y>0.44133</cdr:y>
    </cdr:from>
    <cdr:to>
      <cdr:x>0.7773</cdr:x>
      <cdr:y>0.56032</cdr:y>
    </cdr:to>
    <cdr:pic>
      <cdr:nvPicPr>
        <cdr:cNvPr id="15" name="Imagem 14">
          <a:extLst xmlns:a="http://schemas.openxmlformats.org/drawingml/2006/main">
            <a:ext uri="{FF2B5EF4-FFF2-40B4-BE49-F238E27FC236}">
              <a16:creationId xmlns:a16="http://schemas.microsoft.com/office/drawing/2014/main" id="{B006B871-49FC-BFFE-1576-34FAB9C040B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028463" y="1730529"/>
          <a:ext cx="945878" cy="46657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0.79229</cdr:x>
      <cdr:y>0.45668</cdr:y>
    </cdr:from>
    <cdr:to>
      <cdr:x>0.87749</cdr:x>
      <cdr:y>0.57543</cdr:y>
    </cdr:to>
    <cdr:pic>
      <cdr:nvPicPr>
        <cdr:cNvPr id="18" name="Imagem 17">
          <a:extLst xmlns:a="http://schemas.openxmlformats.org/drawingml/2006/main">
            <a:ext uri="{FF2B5EF4-FFF2-40B4-BE49-F238E27FC236}">
              <a16:creationId xmlns:a16="http://schemas.microsoft.com/office/drawing/2014/main" id="{3403804A-0054-008D-262E-9DFD227FC4E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128084" y="1790701"/>
          <a:ext cx="874065" cy="46563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0.90745</cdr:x>
      <cdr:y>0.54104</cdr:y>
    </cdr:from>
    <cdr:to>
      <cdr:x>0.98521</cdr:x>
      <cdr:y>0.65901</cdr:y>
    </cdr:to>
    <cdr:pic>
      <cdr:nvPicPr>
        <cdr:cNvPr id="20" name="Imagem 19">
          <a:extLst xmlns:a="http://schemas.openxmlformats.org/drawingml/2006/main">
            <a:ext uri="{FF2B5EF4-FFF2-40B4-BE49-F238E27FC236}">
              <a16:creationId xmlns:a16="http://schemas.microsoft.com/office/drawing/2014/main" id="{AD407EDC-6FD3-1BA5-5940-D758F615BEF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9309505" y="2121474"/>
          <a:ext cx="797739" cy="462576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0.2932</cdr:x>
      <cdr:y>0.33115</cdr:y>
    </cdr:from>
    <cdr:to>
      <cdr:x>0.70022</cdr:x>
      <cdr:y>0.67869</cdr:y>
    </cdr:to>
    <cdr:sp macro="" textlink="'CapitalPA-Dinamica'!$C$43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46FAF6CB-88E7-1272-9D2E-F373DC2F736A}"/>
            </a:ext>
          </a:extLst>
        </cdr:cNvPr>
        <cdr:cNvSpPr/>
      </cdr:nvSpPr>
      <cdr:spPr>
        <a:xfrm xmlns:a="http://schemas.openxmlformats.org/drawingml/2006/main">
          <a:off x="1061243" y="1282700"/>
          <a:ext cx="1473200" cy="13462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426DED83-3063-46F0-B397-998327D444F6}" type="TxLink">
            <a:rPr lang="en-US" sz="24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1477</a:t>
          </a:fld>
          <a:endParaRPr lang="pt-BR" sz="2400" b="1">
            <a:solidFill>
              <a:schemeClr val="bg1"/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330200</xdr:colOff>
      <xdr:row>53</xdr:row>
      <xdr:rowOff>0</xdr:rowOff>
    </xdr:to>
    <xdr:pic>
      <xdr:nvPicPr>
        <xdr:cNvPr id="9" name="Gráfico 8">
          <a:extLst>
            <a:ext uri="{FF2B5EF4-FFF2-40B4-BE49-F238E27FC236}">
              <a16:creationId xmlns:a16="http://schemas.microsoft.com/office/drawing/2014/main" id="{98A9DA4A-73F0-6D44-382A-02E79CDD0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16789400" cy="10096500"/>
        </a:xfrm>
        <a:prstGeom prst="rect">
          <a:avLst/>
        </a:prstGeom>
      </xdr:spPr>
    </xdr:pic>
    <xdr:clientData/>
  </xdr:twoCellAnchor>
  <xdr:twoCellAnchor editAs="oneCell">
    <xdr:from>
      <xdr:col>5</xdr:col>
      <xdr:colOff>596899</xdr:colOff>
      <xdr:row>0</xdr:row>
      <xdr:rowOff>76993</xdr:rowOff>
    </xdr:from>
    <xdr:to>
      <xdr:col>9</xdr:col>
      <xdr:colOff>44450</xdr:colOff>
      <xdr:row>8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Localizacao 7">
              <a:extLst>
                <a:ext uri="{FF2B5EF4-FFF2-40B4-BE49-F238E27FC236}">
                  <a16:creationId xmlns:a16="http://schemas.microsoft.com/office/drawing/2014/main" id="{AFC29322-A8BE-49DF-AC68-770F8A9652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zacao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4899" y="76993"/>
              <a:ext cx="1885951" cy="14660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153192</xdr:colOff>
      <xdr:row>0</xdr:row>
      <xdr:rowOff>101598</xdr:rowOff>
    </xdr:from>
    <xdr:to>
      <xdr:col>12</xdr:col>
      <xdr:colOff>190499</xdr:colOff>
      <xdr:row>8</xdr:row>
      <xdr:rowOff>25399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Situacao 4">
              <a:extLst>
                <a:ext uri="{FF2B5EF4-FFF2-40B4-BE49-F238E27FC236}">
                  <a16:creationId xmlns:a16="http://schemas.microsoft.com/office/drawing/2014/main" id="{BE04DE47-9553-437D-8A22-AA417E157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a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9592" y="101598"/>
              <a:ext cx="1866107" cy="14478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75406</xdr:colOff>
      <xdr:row>0</xdr:row>
      <xdr:rowOff>65086</xdr:rowOff>
    </xdr:from>
    <xdr:to>
      <xdr:col>26</xdr:col>
      <xdr:colOff>50800</xdr:colOff>
      <xdr:row>8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2" name="Data 6">
              <a:extLst>
                <a:ext uri="{FF2B5EF4-FFF2-40B4-BE49-F238E27FC236}">
                  <a16:creationId xmlns:a16="http://schemas.microsoft.com/office/drawing/2014/main" id="{DBEB3E03-F19B-4388-86D0-E57ACB3DA5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96206" y="65086"/>
              <a:ext cx="1804194" cy="1497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320674</xdr:colOff>
      <xdr:row>0</xdr:row>
      <xdr:rowOff>74611</xdr:rowOff>
    </xdr:from>
    <xdr:to>
      <xdr:col>22</xdr:col>
      <xdr:colOff>529852</xdr:colOff>
      <xdr:row>8</xdr:row>
      <xdr:rowOff>50800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MateriaPrima 2">
              <a:extLst>
                <a:ext uri="{FF2B5EF4-FFF2-40B4-BE49-F238E27FC236}">
                  <a16:creationId xmlns:a16="http://schemas.microsoft.com/office/drawing/2014/main" id="{066A2E09-B450-48AB-96FF-45F82DD226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teriaPrim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5874" y="74611"/>
              <a:ext cx="6130926" cy="15001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20713</xdr:colOff>
      <xdr:row>9</xdr:row>
      <xdr:rowOff>60324</xdr:rowOff>
    </xdr:from>
    <xdr:to>
      <xdr:col>3</xdr:col>
      <xdr:colOff>409576</xdr:colOff>
      <xdr:row>12</xdr:row>
      <xdr:rowOff>128740</xdr:rowOff>
    </xdr:to>
    <xdr:sp macro="" textlink="">
      <xdr:nvSpPr>
        <xdr:cNvPr id="14" name="Retângulo: Cantos Diagonais Arredondados 13">
          <a:extLst>
            <a:ext uri="{FF2B5EF4-FFF2-40B4-BE49-F238E27FC236}">
              <a16:creationId xmlns:a16="http://schemas.microsoft.com/office/drawing/2014/main" id="{B745FC45-847C-4861-BD8C-B34A81EDC2B1}"/>
            </a:ext>
          </a:extLst>
        </xdr:cNvPr>
        <xdr:cNvSpPr/>
      </xdr:nvSpPr>
      <xdr:spPr>
        <a:xfrm>
          <a:off x="20713" y="1774824"/>
          <a:ext cx="2217663" cy="639916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Custo Total MP</a:t>
          </a:r>
        </a:p>
      </xdr:txBody>
    </xdr:sp>
    <xdr:clientData/>
  </xdr:twoCellAnchor>
  <xdr:twoCellAnchor>
    <xdr:from>
      <xdr:col>0</xdr:col>
      <xdr:colOff>0</xdr:colOff>
      <xdr:row>12</xdr:row>
      <xdr:rowOff>161020</xdr:rowOff>
    </xdr:from>
    <xdr:to>
      <xdr:col>3</xdr:col>
      <xdr:colOff>399710</xdr:colOff>
      <xdr:row>16</xdr:row>
      <xdr:rowOff>113396</xdr:rowOff>
    </xdr:to>
    <xdr:sp macro="" textlink="'CapitalMP-Dinamica'!D2">
      <xdr:nvSpPr>
        <xdr:cNvPr id="15" name="Retângulo: Cantos Diagonais Arredondados 14">
          <a:extLst>
            <a:ext uri="{FF2B5EF4-FFF2-40B4-BE49-F238E27FC236}">
              <a16:creationId xmlns:a16="http://schemas.microsoft.com/office/drawing/2014/main" id="{85CC3706-4EE7-4081-93ED-B348CB2AEBB0}"/>
            </a:ext>
          </a:extLst>
        </xdr:cNvPr>
        <xdr:cNvSpPr/>
      </xdr:nvSpPr>
      <xdr:spPr>
        <a:xfrm>
          <a:off x="0" y="2447020"/>
          <a:ext cx="2228510" cy="714376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A3EA4D6D-DCAF-4B9D-9D9C-FB93BED83AAA}" type="TxLink">
            <a:rPr lang="en-US" sz="15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R$ 85.535.000,00 </a:t>
          </a:fld>
          <a:endParaRPr lang="pt-BR" sz="15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38100</xdr:colOff>
      <xdr:row>17</xdr:row>
      <xdr:rowOff>172395</xdr:rowOff>
    </xdr:from>
    <xdr:to>
      <xdr:col>3</xdr:col>
      <xdr:colOff>335756</xdr:colOff>
      <xdr:row>21</xdr:row>
      <xdr:rowOff>65239</xdr:rowOff>
    </xdr:to>
    <xdr:sp macro="" textlink="">
      <xdr:nvSpPr>
        <xdr:cNvPr id="16" name="Retângulo: Cantos Diagonais Arredondados 15">
          <a:extLst>
            <a:ext uri="{FF2B5EF4-FFF2-40B4-BE49-F238E27FC236}">
              <a16:creationId xmlns:a16="http://schemas.microsoft.com/office/drawing/2014/main" id="{E9DF5186-EC43-4DA1-94E6-0B8F154BA5FA}"/>
            </a:ext>
          </a:extLst>
        </xdr:cNvPr>
        <xdr:cNvSpPr/>
      </xdr:nvSpPr>
      <xdr:spPr>
        <a:xfrm>
          <a:off x="38100" y="3410895"/>
          <a:ext cx="2126456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Valor</a:t>
          </a:r>
          <a:r>
            <a:rPr lang="pt-BR" sz="15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 Mínimo</a:t>
          </a:r>
        </a:p>
      </xdr:txBody>
    </xdr:sp>
    <xdr:clientData/>
  </xdr:twoCellAnchor>
  <xdr:twoCellAnchor>
    <xdr:from>
      <xdr:col>0</xdr:col>
      <xdr:colOff>26193</xdr:colOff>
      <xdr:row>21</xdr:row>
      <xdr:rowOff>120009</xdr:rowOff>
    </xdr:from>
    <xdr:to>
      <xdr:col>3</xdr:col>
      <xdr:colOff>335756</xdr:colOff>
      <xdr:row>25</xdr:row>
      <xdr:rowOff>24758</xdr:rowOff>
    </xdr:to>
    <xdr:sp macro="" textlink="[1]CustoCapitalMP!$M$3">
      <xdr:nvSpPr>
        <xdr:cNvPr id="17" name="Retângulo: Cantos Diagonais Arredondados 16">
          <a:extLst>
            <a:ext uri="{FF2B5EF4-FFF2-40B4-BE49-F238E27FC236}">
              <a16:creationId xmlns:a16="http://schemas.microsoft.com/office/drawing/2014/main" id="{8D2BD467-CDE6-4D71-BEDA-06020327A1C0}"/>
            </a:ext>
          </a:extLst>
        </xdr:cNvPr>
        <xdr:cNvSpPr/>
      </xdr:nvSpPr>
      <xdr:spPr>
        <a:xfrm>
          <a:off x="26193" y="4120509"/>
          <a:ext cx="2138363" cy="666749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054EA7EF-51AE-4F04-9C3E-CBCC9F7ECD68}" type="TxLink">
            <a:rPr lang="en-US" sz="15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R$ 300,00 </a:t>
          </a:fld>
          <a:endParaRPr lang="en-US" sz="15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0</xdr:colOff>
      <xdr:row>26</xdr:row>
      <xdr:rowOff>44602</xdr:rowOff>
    </xdr:from>
    <xdr:to>
      <xdr:col>3</xdr:col>
      <xdr:colOff>297656</xdr:colOff>
      <xdr:row>29</xdr:row>
      <xdr:rowOff>127946</xdr:rowOff>
    </xdr:to>
    <xdr:sp macro="" textlink="">
      <xdr:nvSpPr>
        <xdr:cNvPr id="18" name="Retângulo: Cantos Diagonais Arredondados 17">
          <a:extLst>
            <a:ext uri="{FF2B5EF4-FFF2-40B4-BE49-F238E27FC236}">
              <a16:creationId xmlns:a16="http://schemas.microsoft.com/office/drawing/2014/main" id="{CFFDCD89-0B0B-4D19-BCD1-8C4904A2E0E1}"/>
            </a:ext>
          </a:extLst>
        </xdr:cNvPr>
        <xdr:cNvSpPr/>
      </xdr:nvSpPr>
      <xdr:spPr>
        <a:xfrm>
          <a:off x="0" y="4997602"/>
          <a:ext cx="2126456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Valor</a:t>
          </a:r>
          <a:r>
            <a:rPr lang="pt-BR" sz="15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 Máximo</a:t>
          </a:r>
        </a:p>
      </xdr:txBody>
    </xdr:sp>
    <xdr:clientData/>
  </xdr:twoCellAnchor>
  <xdr:twoCellAnchor>
    <xdr:from>
      <xdr:col>0</xdr:col>
      <xdr:colOff>3174</xdr:colOff>
      <xdr:row>29</xdr:row>
      <xdr:rowOff>183507</xdr:rowOff>
    </xdr:from>
    <xdr:to>
      <xdr:col>3</xdr:col>
      <xdr:colOff>300830</xdr:colOff>
      <xdr:row>33</xdr:row>
      <xdr:rowOff>76351</xdr:rowOff>
    </xdr:to>
    <xdr:sp macro="" textlink="[1]CustoCapitalMP!$M$5">
      <xdr:nvSpPr>
        <xdr:cNvPr id="19" name="Retângulo: Cantos Diagonais Arredondados 18">
          <a:extLst>
            <a:ext uri="{FF2B5EF4-FFF2-40B4-BE49-F238E27FC236}">
              <a16:creationId xmlns:a16="http://schemas.microsoft.com/office/drawing/2014/main" id="{3AF3A503-8979-4434-80A6-DA52CD4B23F4}"/>
            </a:ext>
          </a:extLst>
        </xdr:cNvPr>
        <xdr:cNvSpPr/>
      </xdr:nvSpPr>
      <xdr:spPr>
        <a:xfrm>
          <a:off x="3174" y="5708007"/>
          <a:ext cx="2126456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EAA77C44-3DBC-4AEC-A3BB-0CB7FCBF6347}" type="TxLink">
            <a:rPr lang="en-US" sz="15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R$ 3.500,00 </a:t>
          </a:fld>
          <a:endParaRPr lang="en-US" sz="15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0</xdr:colOff>
      <xdr:row>35</xdr:row>
      <xdr:rowOff>21583</xdr:rowOff>
    </xdr:from>
    <xdr:to>
      <xdr:col>3</xdr:col>
      <xdr:colOff>297656</xdr:colOff>
      <xdr:row>38</xdr:row>
      <xdr:rowOff>104927</xdr:rowOff>
    </xdr:to>
    <xdr:sp macro="" textlink="">
      <xdr:nvSpPr>
        <xdr:cNvPr id="20" name="Retângulo: Cantos Diagonais Arredondados 19">
          <a:extLst>
            <a:ext uri="{FF2B5EF4-FFF2-40B4-BE49-F238E27FC236}">
              <a16:creationId xmlns:a16="http://schemas.microsoft.com/office/drawing/2014/main" id="{DDEB27E2-6FD3-4A5A-8808-E562EE425092}"/>
            </a:ext>
          </a:extLst>
        </xdr:cNvPr>
        <xdr:cNvSpPr/>
      </xdr:nvSpPr>
      <xdr:spPr>
        <a:xfrm>
          <a:off x="0" y="6689083"/>
          <a:ext cx="2126456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Valor</a:t>
          </a:r>
          <a:r>
            <a:rPr lang="pt-BR" sz="15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 Médio</a:t>
          </a:r>
        </a:p>
      </xdr:txBody>
    </xdr:sp>
    <xdr:clientData/>
  </xdr:twoCellAnchor>
  <xdr:twoCellAnchor>
    <xdr:from>
      <xdr:col>0</xdr:col>
      <xdr:colOff>16668</xdr:colOff>
      <xdr:row>38</xdr:row>
      <xdr:rowOff>171603</xdr:rowOff>
    </xdr:from>
    <xdr:to>
      <xdr:col>3</xdr:col>
      <xdr:colOff>314324</xdr:colOff>
      <xdr:row>42</xdr:row>
      <xdr:rowOff>64447</xdr:rowOff>
    </xdr:to>
    <xdr:sp macro="" textlink="[1]CustoCapitalMP!$M$7">
      <xdr:nvSpPr>
        <xdr:cNvPr id="21" name="Retângulo: Cantos Diagonais Arredondados 20">
          <a:extLst>
            <a:ext uri="{FF2B5EF4-FFF2-40B4-BE49-F238E27FC236}">
              <a16:creationId xmlns:a16="http://schemas.microsoft.com/office/drawing/2014/main" id="{22B21308-3FEE-40CF-B70F-BCE5A166EC78}"/>
            </a:ext>
          </a:extLst>
        </xdr:cNvPr>
        <xdr:cNvSpPr/>
      </xdr:nvSpPr>
      <xdr:spPr>
        <a:xfrm>
          <a:off x="16668" y="7410603"/>
          <a:ext cx="2126456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A273D0C1-07F7-4537-859C-29807643D008}" type="TxLink">
            <a:rPr lang="en-US" sz="15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R$ 1.561,50 </a:t>
          </a:fld>
          <a:endParaRPr lang="en-US" sz="15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342901</xdr:colOff>
      <xdr:row>9</xdr:row>
      <xdr:rowOff>146202</xdr:rowOff>
    </xdr:from>
    <xdr:to>
      <xdr:col>27</xdr:col>
      <xdr:colOff>25401</xdr:colOff>
      <xdr:row>32</xdr:row>
      <xdr:rowOff>114300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C958CB1E-C923-4C31-B360-7160AB12D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201612</xdr:colOff>
      <xdr:row>9</xdr:row>
      <xdr:rowOff>170808</xdr:rowOff>
    </xdr:from>
    <xdr:to>
      <xdr:col>11</xdr:col>
      <xdr:colOff>63500</xdr:colOff>
      <xdr:row>29</xdr:row>
      <xdr:rowOff>12700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F63BB22E-C5B5-4B74-8937-D533F60F5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520700</xdr:colOff>
      <xdr:row>31</xdr:row>
      <xdr:rowOff>152400</xdr:rowOff>
    </xdr:from>
    <xdr:to>
      <xdr:col>19</xdr:col>
      <xdr:colOff>419099</xdr:colOff>
      <xdr:row>52</xdr:row>
      <xdr:rowOff>114300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107A8EB-2D67-4939-946E-A6D437DE9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</xdr:colOff>
      <xdr:row>43</xdr:row>
      <xdr:rowOff>165100</xdr:rowOff>
    </xdr:from>
    <xdr:to>
      <xdr:col>3</xdr:col>
      <xdr:colOff>323849</xdr:colOff>
      <xdr:row>47</xdr:row>
      <xdr:rowOff>57944</xdr:rowOff>
    </xdr:to>
    <xdr:sp macro="" textlink="">
      <xdr:nvSpPr>
        <xdr:cNvPr id="30" name="Retângulo: Cantos Diagonais Arredondados 29">
          <a:extLst>
            <a:ext uri="{FF2B5EF4-FFF2-40B4-BE49-F238E27FC236}">
              <a16:creationId xmlns:a16="http://schemas.microsoft.com/office/drawing/2014/main" id="{A7E3E7F4-3AE6-4D92-971F-33FF378AF83E}"/>
            </a:ext>
          </a:extLst>
        </xdr:cNvPr>
        <xdr:cNvSpPr/>
      </xdr:nvSpPr>
      <xdr:spPr>
        <a:xfrm>
          <a:off x="23812" y="8356600"/>
          <a:ext cx="2128837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Imposto</a:t>
          </a:r>
        </a:p>
      </xdr:txBody>
    </xdr:sp>
    <xdr:clientData/>
  </xdr:twoCellAnchor>
  <xdr:twoCellAnchor>
    <xdr:from>
      <xdr:col>0</xdr:col>
      <xdr:colOff>12700</xdr:colOff>
      <xdr:row>47</xdr:row>
      <xdr:rowOff>115888</xdr:rowOff>
    </xdr:from>
    <xdr:to>
      <xdr:col>3</xdr:col>
      <xdr:colOff>312737</xdr:colOff>
      <xdr:row>51</xdr:row>
      <xdr:rowOff>8732</xdr:rowOff>
    </xdr:to>
    <xdr:sp macro="" textlink="[1]CustoCapitalMP!$K$204">
      <xdr:nvSpPr>
        <xdr:cNvPr id="31" name="Retângulo: Cantos Diagonais Arredondados 30">
          <a:extLst>
            <a:ext uri="{FF2B5EF4-FFF2-40B4-BE49-F238E27FC236}">
              <a16:creationId xmlns:a16="http://schemas.microsoft.com/office/drawing/2014/main" id="{B014BF70-5C21-4099-B8C0-32C700FCE866}"/>
            </a:ext>
          </a:extLst>
        </xdr:cNvPr>
        <xdr:cNvSpPr/>
      </xdr:nvSpPr>
      <xdr:spPr>
        <a:xfrm>
          <a:off x="12700" y="9069388"/>
          <a:ext cx="2128837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D92FE2D7-01D2-42F5-8A83-6A53E193DCDD}" type="TxLink">
            <a:rPr lang="en-US" sz="15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R$ 25.660.500,00</a:t>
          </a:fld>
          <a:endParaRPr lang="en-US" sz="15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20</xdr:col>
      <xdr:colOff>0</xdr:colOff>
      <xdr:row>31</xdr:row>
      <xdr:rowOff>165100</xdr:rowOff>
    </xdr:from>
    <xdr:to>
      <xdr:col>27</xdr:col>
      <xdr:colOff>152400</xdr:colOff>
      <xdr:row>53</xdr:row>
      <xdr:rowOff>101600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08D350B0-56D1-42BF-B461-2211374A4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26</xdr:col>
      <xdr:colOff>263073</xdr:colOff>
      <xdr:row>0</xdr:row>
      <xdr:rowOff>152401</xdr:rowOff>
    </xdr:from>
    <xdr:to>
      <xdr:col>27</xdr:col>
      <xdr:colOff>13713</xdr:colOff>
      <xdr:row>2</xdr:row>
      <xdr:rowOff>149784</xdr:rowOff>
    </xdr:to>
    <xdr:pic>
      <xdr:nvPicPr>
        <xdr:cNvPr id="33" name="Imagem 3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709848-E503-446E-AFFD-6071D0354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12673" y="152401"/>
          <a:ext cx="360240" cy="378383"/>
        </a:xfrm>
        <a:prstGeom prst="rect">
          <a:avLst/>
        </a:prstGeom>
      </xdr:spPr>
    </xdr:pic>
    <xdr:clientData/>
  </xdr:twoCellAnchor>
  <xdr:oneCellAnchor>
    <xdr:from>
      <xdr:col>26</xdr:col>
      <xdr:colOff>127001</xdr:colOff>
      <xdr:row>2</xdr:row>
      <xdr:rowOff>152401</xdr:rowOff>
    </xdr:from>
    <xdr:ext cx="866775" cy="311496"/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F104EF24-3DDE-4462-AC6D-4C63C23AA8FD}"/>
            </a:ext>
          </a:extLst>
        </xdr:cNvPr>
        <xdr:cNvSpPr txBox="1"/>
      </xdr:nvSpPr>
      <xdr:spPr>
        <a:xfrm>
          <a:off x="15976601" y="533401"/>
          <a:ext cx="8667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Anterior</a:t>
          </a:r>
        </a:p>
      </xdr:txBody>
    </xdr:sp>
    <xdr:clientData/>
  </xdr:oneCellAnchor>
  <xdr:twoCellAnchor editAs="oneCell">
    <xdr:from>
      <xdr:col>26</xdr:col>
      <xdr:colOff>291648</xdr:colOff>
      <xdr:row>4</xdr:row>
      <xdr:rowOff>171451</xdr:rowOff>
    </xdr:from>
    <xdr:to>
      <xdr:col>27</xdr:col>
      <xdr:colOff>42288</xdr:colOff>
      <xdr:row>6</xdr:row>
      <xdr:rowOff>168834</xdr:rowOff>
    </xdr:to>
    <xdr:pic>
      <xdr:nvPicPr>
        <xdr:cNvPr id="35" name="Imagem 3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B7CEEF1-A03F-4B64-904B-F7DF539DD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600808">
          <a:off x="16141248" y="933451"/>
          <a:ext cx="360240" cy="378383"/>
        </a:xfrm>
        <a:prstGeom prst="rect">
          <a:avLst/>
        </a:prstGeom>
      </xdr:spPr>
    </xdr:pic>
    <xdr:clientData/>
  </xdr:twoCellAnchor>
  <xdr:oneCellAnchor>
    <xdr:from>
      <xdr:col>26</xdr:col>
      <xdr:colOff>155576</xdr:colOff>
      <xdr:row>6</xdr:row>
      <xdr:rowOff>171451</xdr:rowOff>
    </xdr:from>
    <xdr:ext cx="914400" cy="311496"/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F4AAEC7D-EE5D-4FBC-99A5-4773C98180F7}"/>
            </a:ext>
          </a:extLst>
        </xdr:cNvPr>
        <xdr:cNvSpPr txBox="1"/>
      </xdr:nvSpPr>
      <xdr:spPr>
        <a:xfrm>
          <a:off x="16005176" y="1314451"/>
          <a:ext cx="9144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Próximo</a:t>
          </a:r>
        </a:p>
      </xdr:txBody>
    </xdr:sp>
    <xdr:clientData/>
  </xdr:oneCellAnchor>
  <xdr:twoCellAnchor editAs="oneCell">
    <xdr:from>
      <xdr:col>0</xdr:col>
      <xdr:colOff>96913</xdr:colOff>
      <xdr:row>9</xdr:row>
      <xdr:rowOff>187324</xdr:rowOff>
    </xdr:from>
    <xdr:to>
      <xdr:col>0</xdr:col>
      <xdr:colOff>487438</xdr:colOff>
      <xdr:row>12</xdr:row>
      <xdr:rowOff>6349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D7A6B5D5-517E-4CE5-A856-3BA1BA41B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13" y="1901824"/>
          <a:ext cx="390525" cy="390525"/>
        </a:xfrm>
        <a:prstGeom prst="rect">
          <a:avLst/>
        </a:prstGeom>
      </xdr:spPr>
    </xdr:pic>
    <xdr:clientData/>
  </xdr:twoCellAnchor>
  <xdr:twoCellAnchor>
    <xdr:from>
      <xdr:col>0</xdr:col>
      <xdr:colOff>192163</xdr:colOff>
      <xdr:row>18</xdr:row>
      <xdr:rowOff>123824</xdr:rowOff>
    </xdr:from>
    <xdr:to>
      <xdr:col>0</xdr:col>
      <xdr:colOff>439813</xdr:colOff>
      <xdr:row>20</xdr:row>
      <xdr:rowOff>123824</xdr:rowOff>
    </xdr:to>
    <xdr:sp macro="" textlink="">
      <xdr:nvSpPr>
        <xdr:cNvPr id="38" name="Seta: para Baixo 37">
          <a:extLst>
            <a:ext uri="{FF2B5EF4-FFF2-40B4-BE49-F238E27FC236}">
              <a16:creationId xmlns:a16="http://schemas.microsoft.com/office/drawing/2014/main" id="{BE9E9797-8CAD-46DD-ABCF-DE81BC749730}"/>
            </a:ext>
          </a:extLst>
        </xdr:cNvPr>
        <xdr:cNvSpPr/>
      </xdr:nvSpPr>
      <xdr:spPr>
        <a:xfrm>
          <a:off x="192163" y="3552824"/>
          <a:ext cx="247650" cy="381000"/>
        </a:xfrm>
        <a:prstGeom prst="down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189782</xdr:colOff>
      <xdr:row>26</xdr:row>
      <xdr:rowOff>165099</xdr:rowOff>
    </xdr:from>
    <xdr:to>
      <xdr:col>0</xdr:col>
      <xdr:colOff>437432</xdr:colOff>
      <xdr:row>28</xdr:row>
      <xdr:rowOff>165099</xdr:rowOff>
    </xdr:to>
    <xdr:sp macro="" textlink="">
      <xdr:nvSpPr>
        <xdr:cNvPr id="39" name="Seta: para Baixo 38">
          <a:extLst>
            <a:ext uri="{FF2B5EF4-FFF2-40B4-BE49-F238E27FC236}">
              <a16:creationId xmlns:a16="http://schemas.microsoft.com/office/drawing/2014/main" id="{BA6746E1-A21B-4B84-B25D-CC0FEAE96C2C}"/>
            </a:ext>
          </a:extLst>
        </xdr:cNvPr>
        <xdr:cNvSpPr/>
      </xdr:nvSpPr>
      <xdr:spPr>
        <a:xfrm rot="10800000">
          <a:off x="189782" y="5118099"/>
          <a:ext cx="247650" cy="381000"/>
        </a:xfrm>
        <a:prstGeom prst="down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106439</xdr:colOff>
      <xdr:row>35</xdr:row>
      <xdr:rowOff>92075</xdr:rowOff>
    </xdr:from>
    <xdr:to>
      <xdr:col>0</xdr:col>
      <xdr:colOff>544589</xdr:colOff>
      <xdr:row>37</xdr:row>
      <xdr:rowOff>149225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92CA675D-6E9D-44D9-92B9-A9A296A2F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39" y="6759575"/>
          <a:ext cx="438150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195337</xdr:colOff>
      <xdr:row>44</xdr:row>
      <xdr:rowOff>60323</xdr:rowOff>
    </xdr:from>
    <xdr:to>
      <xdr:col>1</xdr:col>
      <xdr:colOff>52462</xdr:colOff>
      <xdr:row>46</xdr:row>
      <xdr:rowOff>146048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5DD9D44C-DFA3-43CF-8D7E-3B9ADDA63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337" y="8442323"/>
          <a:ext cx="466725" cy="466725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31</xdr:row>
      <xdr:rowOff>63500</xdr:rowOff>
    </xdr:from>
    <xdr:to>
      <xdr:col>11</xdr:col>
      <xdr:colOff>558800</xdr:colOff>
      <xdr:row>51</xdr:row>
      <xdr:rowOff>12700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A7875171-5A1E-4E0C-9C45-EAE7D1C77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0.36159</cdr:x>
      <cdr:y>0.34521</cdr:y>
    </cdr:from>
    <cdr:to>
      <cdr:x>0.71694</cdr:x>
      <cdr:y>0.66111</cdr:y>
    </cdr:to>
    <cdr:sp macro="" textlink="'CapitalMP-Dinamica'!$B$25">
      <cdr:nvSpPr>
        <cdr:cNvPr id="3" name="Elipse 2">
          <a:extLst xmlns:a="http://schemas.openxmlformats.org/drawingml/2006/main">
            <a:ext uri="{FF2B5EF4-FFF2-40B4-BE49-F238E27FC236}">
              <a16:creationId xmlns:a16="http://schemas.microsoft.com/office/drawing/2014/main" id="{3D479D0E-F0E8-0715-6E55-48EED3B106BE}"/>
            </a:ext>
          </a:extLst>
        </cdr:cNvPr>
        <cdr:cNvSpPr/>
      </cdr:nvSpPr>
      <cdr:spPr>
        <a:xfrm xmlns:a="http://schemas.openxmlformats.org/drawingml/2006/main">
          <a:off x="1493044" y="1260663"/>
          <a:ext cx="1467271" cy="115363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612695D8-1141-407B-B004-7467CFC6804F}" type="TxLink">
            <a:rPr lang="en-US" sz="24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53200</a:t>
          </a:fld>
          <a:endParaRPr lang="pt-BR" sz="2400" b="1">
            <a:solidFill>
              <a:schemeClr val="bg1"/>
            </a:solidFill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12532</xdr:rowOff>
    </xdr:from>
    <xdr:to>
      <xdr:col>27</xdr:col>
      <xdr:colOff>330200</xdr:colOff>
      <xdr:row>52</xdr:row>
      <xdr:rowOff>177632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DDF40AEF-E6A8-7730-6843-F63D69D44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12532"/>
          <a:ext cx="16911220" cy="994075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92076</xdr:rowOff>
    </xdr:from>
    <xdr:to>
      <xdr:col>3</xdr:col>
      <xdr:colOff>304800</xdr:colOff>
      <xdr:row>17</xdr:row>
      <xdr:rowOff>8734</xdr:rowOff>
    </xdr:to>
    <xdr:sp macro="" textlink="'Espaço-Dinamica'!D2">
      <xdr:nvSpPr>
        <xdr:cNvPr id="3" name="Retângulo: Cantos Diagonais Arredondados 2">
          <a:extLst>
            <a:ext uri="{FF2B5EF4-FFF2-40B4-BE49-F238E27FC236}">
              <a16:creationId xmlns:a16="http://schemas.microsoft.com/office/drawing/2014/main" id="{D2A9A2AB-2B8B-49D9-86EE-D44E8B903B06}"/>
            </a:ext>
          </a:extLst>
        </xdr:cNvPr>
        <xdr:cNvSpPr/>
      </xdr:nvSpPr>
      <xdr:spPr>
        <a:xfrm>
          <a:off x="0" y="2568576"/>
          <a:ext cx="2133600" cy="678658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6661C4B3-6879-436C-9C96-825D878B1F40}" type="TxLink">
            <a:rPr lang="en-US" sz="15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R$ 11.687.050,00 </a:t>
          </a:fld>
          <a:endParaRPr lang="en-US" sz="15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0</xdr:colOff>
      <xdr:row>9</xdr:row>
      <xdr:rowOff>177800</xdr:rowOff>
    </xdr:from>
    <xdr:to>
      <xdr:col>3</xdr:col>
      <xdr:colOff>300037</xdr:colOff>
      <xdr:row>13</xdr:row>
      <xdr:rowOff>70644</xdr:rowOff>
    </xdr:to>
    <xdr:sp macro="" textlink="">
      <xdr:nvSpPr>
        <xdr:cNvPr id="4" name="Retângulo: Cantos Diagonais Arredondados 3">
          <a:extLst>
            <a:ext uri="{FF2B5EF4-FFF2-40B4-BE49-F238E27FC236}">
              <a16:creationId xmlns:a16="http://schemas.microsoft.com/office/drawing/2014/main" id="{5470375B-B163-4B4E-8D06-CED185580FF0}"/>
            </a:ext>
          </a:extLst>
        </xdr:cNvPr>
        <xdr:cNvSpPr/>
      </xdr:nvSpPr>
      <xdr:spPr>
        <a:xfrm>
          <a:off x="0" y="1892300"/>
          <a:ext cx="2128837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Valor Total</a:t>
          </a:r>
          <a:r>
            <a:rPr lang="pt-BR" sz="15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 </a:t>
          </a:r>
        </a:p>
      </xdr:txBody>
    </xdr:sp>
    <xdr:clientData/>
  </xdr:twoCellAnchor>
  <xdr:twoCellAnchor>
    <xdr:from>
      <xdr:col>0</xdr:col>
      <xdr:colOff>12701</xdr:colOff>
      <xdr:row>18</xdr:row>
      <xdr:rowOff>31752</xdr:rowOff>
    </xdr:from>
    <xdr:to>
      <xdr:col>3</xdr:col>
      <xdr:colOff>310357</xdr:colOff>
      <xdr:row>21</xdr:row>
      <xdr:rowOff>115096</xdr:rowOff>
    </xdr:to>
    <xdr:sp macro="" textlink="">
      <xdr:nvSpPr>
        <xdr:cNvPr id="5" name="Retângulo: Cantos Diagonais Arredondados 4">
          <a:extLst>
            <a:ext uri="{FF2B5EF4-FFF2-40B4-BE49-F238E27FC236}">
              <a16:creationId xmlns:a16="http://schemas.microsoft.com/office/drawing/2014/main" id="{565326C2-829F-4E9F-8827-1CB5E978BDA0}"/>
            </a:ext>
          </a:extLst>
        </xdr:cNvPr>
        <xdr:cNvSpPr/>
      </xdr:nvSpPr>
      <xdr:spPr>
        <a:xfrm>
          <a:off x="12701" y="3460752"/>
          <a:ext cx="2126456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Valor</a:t>
          </a:r>
          <a:r>
            <a:rPr lang="pt-BR" sz="15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 Mínimo</a:t>
          </a:r>
        </a:p>
      </xdr:txBody>
    </xdr:sp>
    <xdr:clientData/>
  </xdr:twoCellAnchor>
  <xdr:twoCellAnchor>
    <xdr:from>
      <xdr:col>0</xdr:col>
      <xdr:colOff>0</xdr:colOff>
      <xdr:row>21</xdr:row>
      <xdr:rowOff>158752</xdr:rowOff>
    </xdr:from>
    <xdr:to>
      <xdr:col>3</xdr:col>
      <xdr:colOff>297656</xdr:colOff>
      <xdr:row>25</xdr:row>
      <xdr:rowOff>51596</xdr:rowOff>
    </xdr:to>
    <xdr:sp macro="" textlink="[1]CustodoEspaço!$L$8">
      <xdr:nvSpPr>
        <xdr:cNvPr id="6" name="Retângulo: Cantos Diagonais Arredondados 5">
          <a:extLst>
            <a:ext uri="{FF2B5EF4-FFF2-40B4-BE49-F238E27FC236}">
              <a16:creationId xmlns:a16="http://schemas.microsoft.com/office/drawing/2014/main" id="{779DE0BF-486E-4691-B0E5-83BF308BE3C5}"/>
            </a:ext>
          </a:extLst>
        </xdr:cNvPr>
        <xdr:cNvSpPr/>
      </xdr:nvSpPr>
      <xdr:spPr>
        <a:xfrm>
          <a:off x="0" y="4159252"/>
          <a:ext cx="2126456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4227CC25-17D6-48D1-9084-9B3883641AC9}" type="TxLink">
            <a:rPr lang="en-US" sz="15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R$ 65,67 </a:t>
          </a:fld>
          <a:endParaRPr lang="en-US" sz="15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29369</xdr:colOff>
      <xdr:row>26</xdr:row>
      <xdr:rowOff>151608</xdr:rowOff>
    </xdr:from>
    <xdr:to>
      <xdr:col>3</xdr:col>
      <xdr:colOff>329406</xdr:colOff>
      <xdr:row>30</xdr:row>
      <xdr:rowOff>44452</xdr:rowOff>
    </xdr:to>
    <xdr:sp macro="" textlink="">
      <xdr:nvSpPr>
        <xdr:cNvPr id="7" name="Retângulo: Cantos Diagonais Arredondados 6">
          <a:extLst>
            <a:ext uri="{FF2B5EF4-FFF2-40B4-BE49-F238E27FC236}">
              <a16:creationId xmlns:a16="http://schemas.microsoft.com/office/drawing/2014/main" id="{44354C82-2F52-4201-BB06-93EAF812E504}"/>
            </a:ext>
          </a:extLst>
        </xdr:cNvPr>
        <xdr:cNvSpPr/>
      </xdr:nvSpPr>
      <xdr:spPr>
        <a:xfrm>
          <a:off x="29369" y="5104608"/>
          <a:ext cx="2128837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Valor</a:t>
          </a:r>
          <a:r>
            <a:rPr lang="pt-BR" sz="15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 Máximo</a:t>
          </a:r>
        </a:p>
      </xdr:txBody>
    </xdr:sp>
    <xdr:clientData/>
  </xdr:twoCellAnchor>
  <xdr:twoCellAnchor>
    <xdr:from>
      <xdr:col>0</xdr:col>
      <xdr:colOff>0</xdr:colOff>
      <xdr:row>30</xdr:row>
      <xdr:rowOff>82552</xdr:rowOff>
    </xdr:from>
    <xdr:to>
      <xdr:col>3</xdr:col>
      <xdr:colOff>300037</xdr:colOff>
      <xdr:row>33</xdr:row>
      <xdr:rowOff>165896</xdr:rowOff>
    </xdr:to>
    <xdr:sp macro="" textlink="[1]CustodoEspaço!$L$10">
      <xdr:nvSpPr>
        <xdr:cNvPr id="8" name="Retângulo: Cantos Diagonais Arredondados 7">
          <a:extLst>
            <a:ext uri="{FF2B5EF4-FFF2-40B4-BE49-F238E27FC236}">
              <a16:creationId xmlns:a16="http://schemas.microsoft.com/office/drawing/2014/main" id="{A727CA70-46F7-404C-8F0F-B892CA79F71C}"/>
            </a:ext>
          </a:extLst>
        </xdr:cNvPr>
        <xdr:cNvSpPr/>
      </xdr:nvSpPr>
      <xdr:spPr>
        <a:xfrm>
          <a:off x="0" y="5797552"/>
          <a:ext cx="2128837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6700BF70-1CBB-476C-ACC3-ABCA9603BADB}" type="TxLink">
            <a:rPr lang="en-US" sz="15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R$ 300.500,00 </a:t>
          </a:fld>
          <a:endParaRPr lang="en-US" sz="15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50006</xdr:colOff>
      <xdr:row>35</xdr:row>
      <xdr:rowOff>30164</xdr:rowOff>
    </xdr:from>
    <xdr:to>
      <xdr:col>3</xdr:col>
      <xdr:colOff>350043</xdr:colOff>
      <xdr:row>38</xdr:row>
      <xdr:rowOff>113508</xdr:rowOff>
    </xdr:to>
    <xdr:sp macro="" textlink="">
      <xdr:nvSpPr>
        <xdr:cNvPr id="9" name="Retângulo: Cantos Diagonais Arredondados 8">
          <a:extLst>
            <a:ext uri="{FF2B5EF4-FFF2-40B4-BE49-F238E27FC236}">
              <a16:creationId xmlns:a16="http://schemas.microsoft.com/office/drawing/2014/main" id="{BA021810-E90A-4312-B784-69428CE21CB4}"/>
            </a:ext>
          </a:extLst>
        </xdr:cNvPr>
        <xdr:cNvSpPr/>
      </xdr:nvSpPr>
      <xdr:spPr>
        <a:xfrm>
          <a:off x="50006" y="6697664"/>
          <a:ext cx="2128837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Valor</a:t>
          </a:r>
          <a:r>
            <a:rPr lang="pt-BR" sz="15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 Médio</a:t>
          </a:r>
        </a:p>
      </xdr:txBody>
    </xdr:sp>
    <xdr:clientData/>
  </xdr:twoCellAnchor>
  <xdr:twoCellAnchor>
    <xdr:from>
      <xdr:col>0</xdr:col>
      <xdr:colOff>38894</xdr:colOff>
      <xdr:row>38</xdr:row>
      <xdr:rowOff>171452</xdr:rowOff>
    </xdr:from>
    <xdr:to>
      <xdr:col>3</xdr:col>
      <xdr:colOff>338931</xdr:colOff>
      <xdr:row>42</xdr:row>
      <xdr:rowOff>64296</xdr:rowOff>
    </xdr:to>
    <xdr:sp macro="" textlink="[1]CustodoEspaço!$L$12">
      <xdr:nvSpPr>
        <xdr:cNvPr id="10" name="Retângulo: Cantos Diagonais Arredondados 9">
          <a:extLst>
            <a:ext uri="{FF2B5EF4-FFF2-40B4-BE49-F238E27FC236}">
              <a16:creationId xmlns:a16="http://schemas.microsoft.com/office/drawing/2014/main" id="{29150EE0-3B81-41C7-B6FC-70BAB66E5FCE}"/>
            </a:ext>
          </a:extLst>
        </xdr:cNvPr>
        <xdr:cNvSpPr/>
      </xdr:nvSpPr>
      <xdr:spPr>
        <a:xfrm>
          <a:off x="38894" y="7410452"/>
          <a:ext cx="2128837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7B5A1324-090C-4A24-9B37-A21A2ABFC8D1}" type="TxLink">
            <a:rPr lang="en-US" sz="15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R$ 15.706,25 </a:t>
          </a:fld>
          <a:endParaRPr lang="en-US" sz="15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49212</xdr:colOff>
      <xdr:row>43</xdr:row>
      <xdr:rowOff>84933</xdr:rowOff>
    </xdr:from>
    <xdr:to>
      <xdr:col>3</xdr:col>
      <xdr:colOff>349249</xdr:colOff>
      <xdr:row>46</xdr:row>
      <xdr:rowOff>168277</xdr:rowOff>
    </xdr:to>
    <xdr:sp macro="" textlink="">
      <xdr:nvSpPr>
        <xdr:cNvPr id="11" name="Retângulo: Cantos Diagonais Arredondados 10">
          <a:extLst>
            <a:ext uri="{FF2B5EF4-FFF2-40B4-BE49-F238E27FC236}">
              <a16:creationId xmlns:a16="http://schemas.microsoft.com/office/drawing/2014/main" id="{6969C66A-0550-4664-8052-F7F80D3B1982}"/>
            </a:ext>
          </a:extLst>
        </xdr:cNvPr>
        <xdr:cNvSpPr/>
      </xdr:nvSpPr>
      <xdr:spPr>
        <a:xfrm>
          <a:off x="49212" y="8276433"/>
          <a:ext cx="2128837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Imposto</a:t>
          </a:r>
        </a:p>
      </xdr:txBody>
    </xdr:sp>
    <xdr:clientData/>
  </xdr:twoCellAnchor>
  <xdr:twoCellAnchor>
    <xdr:from>
      <xdr:col>0</xdr:col>
      <xdr:colOff>38100</xdr:colOff>
      <xdr:row>47</xdr:row>
      <xdr:rowOff>35721</xdr:rowOff>
    </xdr:from>
    <xdr:to>
      <xdr:col>3</xdr:col>
      <xdr:colOff>338137</xdr:colOff>
      <xdr:row>50</xdr:row>
      <xdr:rowOff>119065</xdr:rowOff>
    </xdr:to>
    <xdr:sp macro="" textlink="[1]CustodoEspaço!$J$203">
      <xdr:nvSpPr>
        <xdr:cNvPr id="12" name="Retângulo: Cantos Diagonais Arredondados 11">
          <a:extLst>
            <a:ext uri="{FF2B5EF4-FFF2-40B4-BE49-F238E27FC236}">
              <a16:creationId xmlns:a16="http://schemas.microsoft.com/office/drawing/2014/main" id="{25ACEDAD-5455-419E-B461-81CEEFD4C502}"/>
            </a:ext>
          </a:extLst>
        </xdr:cNvPr>
        <xdr:cNvSpPr/>
      </xdr:nvSpPr>
      <xdr:spPr>
        <a:xfrm>
          <a:off x="38100" y="8989221"/>
          <a:ext cx="2128837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D37F848F-296E-4851-9DB5-C47048893A84}" type="TxLink">
            <a:rPr lang="en-US" sz="15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R$ 3.506.115,00 </a:t>
          </a:fld>
          <a:endParaRPr lang="en-US" sz="15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9</xdr:col>
      <xdr:colOff>575511</xdr:colOff>
      <xdr:row>0</xdr:row>
      <xdr:rowOff>99388</xdr:rowOff>
    </xdr:from>
    <xdr:to>
      <xdr:col>15</xdr:col>
      <xdr:colOff>463717</xdr:colOff>
      <xdr:row>8</xdr:row>
      <xdr:rowOff>38267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Custo 2">
              <a:extLst>
                <a:ext uri="{FF2B5EF4-FFF2-40B4-BE49-F238E27FC236}">
                  <a16:creationId xmlns:a16="http://schemas.microsoft.com/office/drawing/2014/main" id="{BCF3375C-6CA7-4402-8E93-D776C24EAA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2518" y="99388"/>
              <a:ext cx="3572877" cy="1442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41275</xdr:colOff>
      <xdr:row>0</xdr:row>
      <xdr:rowOff>80171</xdr:rowOff>
    </xdr:from>
    <xdr:to>
      <xdr:col>9</xdr:col>
      <xdr:colOff>53975</xdr:colOff>
      <xdr:row>8</xdr:row>
      <xdr:rowOff>50800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Localizacao 6">
              <a:extLst>
                <a:ext uri="{FF2B5EF4-FFF2-40B4-BE49-F238E27FC236}">
                  <a16:creationId xmlns:a16="http://schemas.microsoft.com/office/drawing/2014/main" id="{655602BD-EB41-4B94-8950-8FD592BDD8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zacao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5946" y="80171"/>
              <a:ext cx="1855036" cy="14745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240967</xdr:colOff>
      <xdr:row>0</xdr:row>
      <xdr:rowOff>86354</xdr:rowOff>
    </xdr:from>
    <xdr:to>
      <xdr:col>21</xdr:col>
      <xdr:colOff>476250</xdr:colOff>
      <xdr:row>8</xdr:row>
      <xdr:rowOff>63333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Fornecedor 2">
              <a:extLst>
                <a:ext uri="{FF2B5EF4-FFF2-40B4-BE49-F238E27FC236}">
                  <a16:creationId xmlns:a16="http://schemas.microsoft.com/office/drawing/2014/main" id="{7885EEA0-F636-4F26-BA7E-D50C585725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neced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66756" y="86354"/>
              <a:ext cx="3305843" cy="1480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201861</xdr:colOff>
      <xdr:row>0</xdr:row>
      <xdr:rowOff>63834</xdr:rowOff>
    </xdr:from>
    <xdr:to>
      <xdr:col>25</xdr:col>
      <xdr:colOff>75197</xdr:colOff>
      <xdr:row>8</xdr:row>
      <xdr:rowOff>25066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6" name="Data 5">
              <a:extLst>
                <a:ext uri="{FF2B5EF4-FFF2-40B4-BE49-F238E27FC236}">
                  <a16:creationId xmlns:a16="http://schemas.microsoft.com/office/drawing/2014/main" id="{8A6DF6DB-E86D-4330-8B5E-D0DE39BBC6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2322" y="63834"/>
              <a:ext cx="1715671" cy="14651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13</xdr:col>
      <xdr:colOff>447507</xdr:colOff>
      <xdr:row>10</xdr:row>
      <xdr:rowOff>151396</xdr:rowOff>
    </xdr:from>
    <xdr:to>
      <xdr:col>26</xdr:col>
      <xdr:colOff>585107</xdr:colOff>
      <xdr:row>29</xdr:row>
      <xdr:rowOff>122464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88A31A9B-0EA5-4033-9D81-1F49642C7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163286</xdr:colOff>
      <xdr:row>10</xdr:row>
      <xdr:rowOff>137863</xdr:rowOff>
    </xdr:from>
    <xdr:to>
      <xdr:col>0</xdr:col>
      <xdr:colOff>553811</xdr:colOff>
      <xdr:row>12</xdr:row>
      <xdr:rowOff>152401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7C0743ED-F286-4749-B3BC-21E2FC201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6" y="2042863"/>
          <a:ext cx="390525" cy="395538"/>
        </a:xfrm>
        <a:prstGeom prst="rect">
          <a:avLst/>
        </a:prstGeom>
      </xdr:spPr>
    </xdr:pic>
    <xdr:clientData/>
  </xdr:twoCellAnchor>
  <xdr:twoCellAnchor>
    <xdr:from>
      <xdr:col>0</xdr:col>
      <xdr:colOff>195513</xdr:colOff>
      <xdr:row>18</xdr:row>
      <xdr:rowOff>172119</xdr:rowOff>
    </xdr:from>
    <xdr:to>
      <xdr:col>0</xdr:col>
      <xdr:colOff>443163</xdr:colOff>
      <xdr:row>20</xdr:row>
      <xdr:rowOff>177133</xdr:rowOff>
    </xdr:to>
    <xdr:sp macro="" textlink="">
      <xdr:nvSpPr>
        <xdr:cNvPr id="26" name="Seta: para Baixo 25">
          <a:extLst>
            <a:ext uri="{FF2B5EF4-FFF2-40B4-BE49-F238E27FC236}">
              <a16:creationId xmlns:a16="http://schemas.microsoft.com/office/drawing/2014/main" id="{6C4F7EC3-EF3C-4224-A5C5-188010588F92}"/>
            </a:ext>
          </a:extLst>
        </xdr:cNvPr>
        <xdr:cNvSpPr/>
      </xdr:nvSpPr>
      <xdr:spPr>
        <a:xfrm>
          <a:off x="195513" y="3556001"/>
          <a:ext cx="247650" cy="381000"/>
        </a:xfrm>
        <a:prstGeom prst="down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201368</xdr:colOff>
      <xdr:row>27</xdr:row>
      <xdr:rowOff>61926</xdr:rowOff>
    </xdr:from>
    <xdr:to>
      <xdr:col>0</xdr:col>
      <xdr:colOff>449018</xdr:colOff>
      <xdr:row>29</xdr:row>
      <xdr:rowOff>66939</xdr:rowOff>
    </xdr:to>
    <xdr:sp macro="" textlink="">
      <xdr:nvSpPr>
        <xdr:cNvPr id="27" name="Seta: para Baixo 26">
          <a:extLst>
            <a:ext uri="{FF2B5EF4-FFF2-40B4-BE49-F238E27FC236}">
              <a16:creationId xmlns:a16="http://schemas.microsoft.com/office/drawing/2014/main" id="{AF83E4C6-9CC2-41F2-956A-93BEE465C4E5}"/>
            </a:ext>
          </a:extLst>
        </xdr:cNvPr>
        <xdr:cNvSpPr/>
      </xdr:nvSpPr>
      <xdr:spPr>
        <a:xfrm rot="10800000">
          <a:off x="201368" y="5205426"/>
          <a:ext cx="247650" cy="386013"/>
        </a:xfrm>
        <a:prstGeom prst="down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134855</xdr:colOff>
      <xdr:row>35</xdr:row>
      <xdr:rowOff>145383</xdr:rowOff>
    </xdr:from>
    <xdr:to>
      <xdr:col>0</xdr:col>
      <xdr:colOff>573005</xdr:colOff>
      <xdr:row>38</xdr:row>
      <xdr:rowOff>19553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419A6AFA-DFD5-413C-A01F-71C3051E4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55" y="6725153"/>
          <a:ext cx="438150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182931</xdr:colOff>
      <xdr:row>44</xdr:row>
      <xdr:rowOff>33778</xdr:rowOff>
    </xdr:from>
    <xdr:to>
      <xdr:col>1</xdr:col>
      <xdr:colOff>35544</xdr:colOff>
      <xdr:row>46</xdr:row>
      <xdr:rowOff>124517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3FDF9BEF-F9BE-42AD-936B-E12C0EA73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931" y="8415778"/>
          <a:ext cx="464934" cy="471739"/>
        </a:xfrm>
        <a:prstGeom prst="rect">
          <a:avLst/>
        </a:prstGeom>
      </xdr:spPr>
    </xdr:pic>
    <xdr:clientData/>
  </xdr:twoCellAnchor>
  <xdr:twoCellAnchor>
    <xdr:from>
      <xdr:col>4</xdr:col>
      <xdr:colOff>162927</xdr:colOff>
      <xdr:row>9</xdr:row>
      <xdr:rowOff>150395</xdr:rowOff>
    </xdr:from>
    <xdr:to>
      <xdr:col>13</xdr:col>
      <xdr:colOff>275724</xdr:colOff>
      <xdr:row>30</xdr:row>
      <xdr:rowOff>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D323A319-06C4-444B-981E-A2C0D74E6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100264</xdr:colOff>
      <xdr:row>31</xdr:row>
      <xdr:rowOff>50132</xdr:rowOff>
    </xdr:from>
    <xdr:to>
      <xdr:col>13</xdr:col>
      <xdr:colOff>1</xdr:colOff>
      <xdr:row>52</xdr:row>
      <xdr:rowOff>95250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2A492B72-62CA-4724-B2A4-27B1D8F51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517071</xdr:colOff>
      <xdr:row>30</xdr:row>
      <xdr:rowOff>68035</xdr:rowOff>
    </xdr:from>
    <xdr:to>
      <xdr:col>20</xdr:col>
      <xdr:colOff>54428</xdr:colOff>
      <xdr:row>52</xdr:row>
      <xdr:rowOff>122463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DFA1A039-8A78-41B7-82E7-143BAB4DB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25</xdr:col>
      <xdr:colOff>600304</xdr:colOff>
      <xdr:row>0</xdr:row>
      <xdr:rowOff>107782</xdr:rowOff>
    </xdr:from>
    <xdr:to>
      <xdr:col>26</xdr:col>
      <xdr:colOff>348223</xdr:colOff>
      <xdr:row>2</xdr:row>
      <xdr:rowOff>105165</xdr:rowOff>
    </xdr:to>
    <xdr:pic>
      <xdr:nvPicPr>
        <xdr:cNvPr id="34" name="Imagem 3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EEF06A1-1C97-4566-A6A0-E0FB9DDDC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8340" y="107782"/>
          <a:ext cx="360240" cy="378383"/>
        </a:xfrm>
        <a:prstGeom prst="rect">
          <a:avLst/>
        </a:prstGeom>
      </xdr:spPr>
    </xdr:pic>
    <xdr:clientData/>
  </xdr:twoCellAnchor>
  <xdr:oneCellAnchor>
    <xdr:from>
      <xdr:col>25</xdr:col>
      <xdr:colOff>464232</xdr:colOff>
      <xdr:row>2</xdr:row>
      <xdr:rowOff>107782</xdr:rowOff>
    </xdr:from>
    <xdr:ext cx="866775" cy="311496"/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F13F6562-A4FC-49D8-AF97-FEDD59CACE43}"/>
            </a:ext>
          </a:extLst>
        </xdr:cNvPr>
        <xdr:cNvSpPr txBox="1"/>
      </xdr:nvSpPr>
      <xdr:spPr>
        <a:xfrm>
          <a:off x="15772268" y="488782"/>
          <a:ext cx="8667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Anterior</a:t>
          </a:r>
        </a:p>
      </xdr:txBody>
    </xdr:sp>
    <xdr:clientData/>
  </xdr:oneCellAnchor>
  <xdr:twoCellAnchor editAs="oneCell">
    <xdr:from>
      <xdr:col>26</xdr:col>
      <xdr:colOff>16558</xdr:colOff>
      <xdr:row>4</xdr:row>
      <xdr:rowOff>126832</xdr:rowOff>
    </xdr:from>
    <xdr:to>
      <xdr:col>26</xdr:col>
      <xdr:colOff>376798</xdr:colOff>
      <xdr:row>6</xdr:row>
      <xdr:rowOff>124215</xdr:rowOff>
    </xdr:to>
    <xdr:pic>
      <xdr:nvPicPr>
        <xdr:cNvPr id="36" name="Imagem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95D3D8B-6AAF-4CA4-916C-3113D095B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600808">
          <a:off x="15936915" y="888832"/>
          <a:ext cx="360240" cy="378383"/>
        </a:xfrm>
        <a:prstGeom prst="rect">
          <a:avLst/>
        </a:prstGeom>
      </xdr:spPr>
    </xdr:pic>
    <xdr:clientData/>
  </xdr:twoCellAnchor>
  <xdr:oneCellAnchor>
    <xdr:from>
      <xdr:col>25</xdr:col>
      <xdr:colOff>492807</xdr:colOff>
      <xdr:row>6</xdr:row>
      <xdr:rowOff>126832</xdr:rowOff>
    </xdr:from>
    <xdr:ext cx="914400" cy="311496"/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B48DCB49-CE93-4734-AB02-3013FCF97883}"/>
            </a:ext>
          </a:extLst>
        </xdr:cNvPr>
        <xdr:cNvSpPr txBox="1"/>
      </xdr:nvSpPr>
      <xdr:spPr>
        <a:xfrm>
          <a:off x="15800843" y="1269832"/>
          <a:ext cx="9144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Próximo</a:t>
          </a:r>
        </a:p>
      </xdr:txBody>
    </xdr:sp>
    <xdr:clientData/>
  </xdr:oneCellAnchor>
  <xdr:twoCellAnchor>
    <xdr:from>
      <xdr:col>20</xdr:col>
      <xdr:colOff>68034</xdr:colOff>
      <xdr:row>30</xdr:row>
      <xdr:rowOff>122466</xdr:rowOff>
    </xdr:from>
    <xdr:to>
      <xdr:col>27</xdr:col>
      <xdr:colOff>231321</xdr:colOff>
      <xdr:row>51</xdr:row>
      <xdr:rowOff>163286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8E997DE6-CE95-434E-9D86-EE30B8858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0.42889</cdr:x>
      <cdr:y>0.36634</cdr:y>
    </cdr:from>
    <cdr:to>
      <cdr:x>0.58444</cdr:x>
      <cdr:y>0.57756</cdr:y>
    </cdr:to>
    <cdr:sp macro="" textlink="'Espaço-Dinamica'!$C$114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9ECE2F24-A07B-76DF-DFA2-CABA57272B07}"/>
            </a:ext>
          </a:extLst>
        </cdr:cNvPr>
        <cdr:cNvSpPr/>
      </cdr:nvSpPr>
      <cdr:spPr>
        <a:xfrm xmlns:a="http://schemas.openxmlformats.org/drawingml/2006/main">
          <a:off x="2418850" y="1391151"/>
          <a:ext cx="877302" cy="8021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/>
        <a:p xmlns:a="http://schemas.openxmlformats.org/drawingml/2006/main">
          <a:fld id="{42BB0B7F-8F0E-498B-A367-5065DCECA3B9}" type="TxLink">
            <a: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/>
            <a:t>2512</a:t>
          </a:fld>
          <a:endParaRPr lang="pt-BR" sz="24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32</xdr:col>
      <xdr:colOff>95250</xdr:colOff>
      <xdr:row>57</xdr:row>
      <xdr:rowOff>168604</xdr:rowOff>
    </xdr:to>
    <xdr:pic>
      <xdr:nvPicPr>
        <xdr:cNvPr id="3" name="Gráfico 2">
          <a:extLst>
            <a:ext uri="{FF2B5EF4-FFF2-40B4-BE49-F238E27FC236}">
              <a16:creationId xmlns:a16="http://schemas.microsoft.com/office/drawing/2014/main" id="{653E491B-3145-0769-3FF3-A70018104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19602450" cy="1102710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</xdr:row>
      <xdr:rowOff>104776</xdr:rowOff>
    </xdr:from>
    <xdr:to>
      <xdr:col>3</xdr:col>
      <xdr:colOff>333375</xdr:colOff>
      <xdr:row>16</xdr:row>
      <xdr:rowOff>21434</xdr:rowOff>
    </xdr:to>
    <xdr:sp macro="" textlink="'Equipamento-Dinamica'!D2">
      <xdr:nvSpPr>
        <xdr:cNvPr id="4" name="Retângulo: Cantos Diagonais Arredondados 3">
          <a:extLst>
            <a:ext uri="{FF2B5EF4-FFF2-40B4-BE49-F238E27FC236}">
              <a16:creationId xmlns:a16="http://schemas.microsoft.com/office/drawing/2014/main" id="{3EA231EB-FAC6-4136-BAEF-876E9F911850}"/>
            </a:ext>
          </a:extLst>
        </xdr:cNvPr>
        <xdr:cNvSpPr/>
      </xdr:nvSpPr>
      <xdr:spPr>
        <a:xfrm>
          <a:off x="0" y="2390776"/>
          <a:ext cx="2162175" cy="678658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D3CDF06C-8445-4235-B6FB-93EB37C38391}" type="TxLink">
            <a:rPr lang="en-US" sz="15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R$ 14.365.965,00 </a:t>
          </a:fld>
          <a:endParaRPr lang="en-US" sz="15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3</xdr:col>
      <xdr:colOff>328612</xdr:colOff>
      <xdr:row>12</xdr:row>
      <xdr:rowOff>83344</xdr:rowOff>
    </xdr:to>
    <xdr:sp macro="" textlink="">
      <xdr:nvSpPr>
        <xdr:cNvPr id="5" name="Retângulo: Cantos Diagonais Arredondados 4">
          <a:extLst>
            <a:ext uri="{FF2B5EF4-FFF2-40B4-BE49-F238E27FC236}">
              <a16:creationId xmlns:a16="http://schemas.microsoft.com/office/drawing/2014/main" id="{1D089AFD-4AB9-4F59-BA2B-AFA871E2DDF5}"/>
            </a:ext>
          </a:extLst>
        </xdr:cNvPr>
        <xdr:cNvSpPr/>
      </xdr:nvSpPr>
      <xdr:spPr>
        <a:xfrm>
          <a:off x="0" y="1714500"/>
          <a:ext cx="2157412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Valor Total</a:t>
          </a:r>
          <a:r>
            <a:rPr lang="pt-BR" sz="15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 </a:t>
          </a:r>
        </a:p>
      </xdr:txBody>
    </xdr:sp>
    <xdr:clientData/>
  </xdr:twoCellAnchor>
  <xdr:twoCellAnchor>
    <xdr:from>
      <xdr:col>0</xdr:col>
      <xdr:colOff>12701</xdr:colOff>
      <xdr:row>17</xdr:row>
      <xdr:rowOff>44452</xdr:rowOff>
    </xdr:from>
    <xdr:to>
      <xdr:col>3</xdr:col>
      <xdr:colOff>338932</xdr:colOff>
      <xdr:row>20</xdr:row>
      <xdr:rowOff>127796</xdr:rowOff>
    </xdr:to>
    <xdr:sp macro="" textlink="">
      <xdr:nvSpPr>
        <xdr:cNvPr id="6" name="Retângulo: Cantos Diagonais Arredondados 5">
          <a:extLst>
            <a:ext uri="{FF2B5EF4-FFF2-40B4-BE49-F238E27FC236}">
              <a16:creationId xmlns:a16="http://schemas.microsoft.com/office/drawing/2014/main" id="{7B2F67A7-EA7D-4F09-B586-DF3F0320E058}"/>
            </a:ext>
          </a:extLst>
        </xdr:cNvPr>
        <xdr:cNvSpPr/>
      </xdr:nvSpPr>
      <xdr:spPr>
        <a:xfrm>
          <a:off x="12701" y="3282952"/>
          <a:ext cx="2155031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Valor</a:t>
          </a:r>
          <a:r>
            <a:rPr lang="pt-BR" sz="15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 Mínimo</a:t>
          </a:r>
        </a:p>
      </xdr:txBody>
    </xdr:sp>
    <xdr:clientData/>
  </xdr:twoCellAnchor>
  <xdr:twoCellAnchor>
    <xdr:from>
      <xdr:col>0</xdr:col>
      <xdr:colOff>0</xdr:colOff>
      <xdr:row>20</xdr:row>
      <xdr:rowOff>171452</xdr:rowOff>
    </xdr:from>
    <xdr:to>
      <xdr:col>3</xdr:col>
      <xdr:colOff>326231</xdr:colOff>
      <xdr:row>24</xdr:row>
      <xdr:rowOff>64296</xdr:rowOff>
    </xdr:to>
    <xdr:sp macro="" textlink="'[1]Custo Manutenção de equipamento'!$L$27">
      <xdr:nvSpPr>
        <xdr:cNvPr id="7" name="Retângulo: Cantos Diagonais Arredondados 6">
          <a:extLst>
            <a:ext uri="{FF2B5EF4-FFF2-40B4-BE49-F238E27FC236}">
              <a16:creationId xmlns:a16="http://schemas.microsoft.com/office/drawing/2014/main" id="{D9FD8CBB-2997-4A6C-949B-0ED24DB27E74}"/>
            </a:ext>
          </a:extLst>
        </xdr:cNvPr>
        <xdr:cNvSpPr/>
      </xdr:nvSpPr>
      <xdr:spPr>
        <a:xfrm>
          <a:off x="0" y="3981452"/>
          <a:ext cx="2155031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A57C84A7-F27D-4FE6-B69C-5922A307A959}" type="TxLink">
            <a:rPr lang="en-US" sz="15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R$ 110,00 </a:t>
          </a:fld>
          <a:endParaRPr lang="en-US" sz="15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29369</xdr:colOff>
      <xdr:row>25</xdr:row>
      <xdr:rowOff>164308</xdr:rowOff>
    </xdr:from>
    <xdr:to>
      <xdr:col>3</xdr:col>
      <xdr:colOff>357981</xdr:colOff>
      <xdr:row>29</xdr:row>
      <xdr:rowOff>57152</xdr:rowOff>
    </xdr:to>
    <xdr:sp macro="" textlink="">
      <xdr:nvSpPr>
        <xdr:cNvPr id="8" name="Retângulo: Cantos Diagonais Arredondados 7">
          <a:extLst>
            <a:ext uri="{FF2B5EF4-FFF2-40B4-BE49-F238E27FC236}">
              <a16:creationId xmlns:a16="http://schemas.microsoft.com/office/drawing/2014/main" id="{6C87A7D8-7369-42E7-B141-86C87E4B4F1C}"/>
            </a:ext>
          </a:extLst>
        </xdr:cNvPr>
        <xdr:cNvSpPr/>
      </xdr:nvSpPr>
      <xdr:spPr>
        <a:xfrm>
          <a:off x="29369" y="4926808"/>
          <a:ext cx="2157412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Valor</a:t>
          </a:r>
          <a:r>
            <a:rPr lang="pt-BR" sz="15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 Máximo</a:t>
          </a:r>
        </a:p>
      </xdr:txBody>
    </xdr:sp>
    <xdr:clientData/>
  </xdr:twoCellAnchor>
  <xdr:twoCellAnchor>
    <xdr:from>
      <xdr:col>0</xdr:col>
      <xdr:colOff>0</xdr:colOff>
      <xdr:row>29</xdr:row>
      <xdr:rowOff>95252</xdr:rowOff>
    </xdr:from>
    <xdr:to>
      <xdr:col>3</xdr:col>
      <xdr:colOff>328612</xdr:colOff>
      <xdr:row>32</xdr:row>
      <xdr:rowOff>178596</xdr:rowOff>
    </xdr:to>
    <xdr:sp macro="" textlink="'[1]Custo Manutenção de equipamento'!$L$30">
      <xdr:nvSpPr>
        <xdr:cNvPr id="9" name="Retângulo: Cantos Diagonais Arredondados 8">
          <a:extLst>
            <a:ext uri="{FF2B5EF4-FFF2-40B4-BE49-F238E27FC236}">
              <a16:creationId xmlns:a16="http://schemas.microsoft.com/office/drawing/2014/main" id="{D63B7606-17D6-4F4B-9F93-3DC10CF4D978}"/>
            </a:ext>
          </a:extLst>
        </xdr:cNvPr>
        <xdr:cNvSpPr/>
      </xdr:nvSpPr>
      <xdr:spPr>
        <a:xfrm>
          <a:off x="0" y="5619752"/>
          <a:ext cx="2157412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D036318D-B718-4753-BA8D-12869535D30A}" type="TxLink">
            <a:rPr lang="en-US" sz="15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R$ 350.000,00 </a:t>
          </a:fld>
          <a:endParaRPr lang="en-US" sz="15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50006</xdr:colOff>
      <xdr:row>34</xdr:row>
      <xdr:rowOff>42864</xdr:rowOff>
    </xdr:from>
    <xdr:to>
      <xdr:col>3</xdr:col>
      <xdr:colOff>378618</xdr:colOff>
      <xdr:row>37</xdr:row>
      <xdr:rowOff>126208</xdr:rowOff>
    </xdr:to>
    <xdr:sp macro="" textlink="">
      <xdr:nvSpPr>
        <xdr:cNvPr id="10" name="Retângulo: Cantos Diagonais Arredondados 9">
          <a:extLst>
            <a:ext uri="{FF2B5EF4-FFF2-40B4-BE49-F238E27FC236}">
              <a16:creationId xmlns:a16="http://schemas.microsoft.com/office/drawing/2014/main" id="{0C02B64C-041A-4AC4-9CB7-772BE3092687}"/>
            </a:ext>
          </a:extLst>
        </xdr:cNvPr>
        <xdr:cNvSpPr/>
      </xdr:nvSpPr>
      <xdr:spPr>
        <a:xfrm>
          <a:off x="50006" y="6519864"/>
          <a:ext cx="2157412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Valor</a:t>
          </a:r>
          <a:r>
            <a:rPr lang="pt-BR" sz="15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 Médio</a:t>
          </a:r>
        </a:p>
      </xdr:txBody>
    </xdr:sp>
    <xdr:clientData/>
  </xdr:twoCellAnchor>
  <xdr:twoCellAnchor>
    <xdr:from>
      <xdr:col>0</xdr:col>
      <xdr:colOff>38894</xdr:colOff>
      <xdr:row>37</xdr:row>
      <xdr:rowOff>184152</xdr:rowOff>
    </xdr:from>
    <xdr:to>
      <xdr:col>3</xdr:col>
      <xdr:colOff>367506</xdr:colOff>
      <xdr:row>41</xdr:row>
      <xdr:rowOff>76996</xdr:rowOff>
    </xdr:to>
    <xdr:sp macro="" textlink="'[1]Custo Manutenção de equipamento'!$L$33">
      <xdr:nvSpPr>
        <xdr:cNvPr id="11" name="Retângulo: Cantos Diagonais Arredondados 10">
          <a:extLst>
            <a:ext uri="{FF2B5EF4-FFF2-40B4-BE49-F238E27FC236}">
              <a16:creationId xmlns:a16="http://schemas.microsoft.com/office/drawing/2014/main" id="{216E30D8-A296-4641-8CC4-97E884B312A4}"/>
            </a:ext>
          </a:extLst>
        </xdr:cNvPr>
        <xdr:cNvSpPr/>
      </xdr:nvSpPr>
      <xdr:spPr>
        <a:xfrm>
          <a:off x="38894" y="7232652"/>
          <a:ext cx="2157412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4F9ABB36-DA59-4811-BCFE-8432187F095F}" type="TxLink">
            <a:rPr lang="en-US" sz="15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R$ 71.829,83 </a:t>
          </a:fld>
          <a:endParaRPr lang="en-US" sz="15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49212</xdr:colOff>
      <xdr:row>42</xdr:row>
      <xdr:rowOff>97633</xdr:rowOff>
    </xdr:from>
    <xdr:to>
      <xdr:col>3</xdr:col>
      <xdr:colOff>377824</xdr:colOff>
      <xdr:row>45</xdr:row>
      <xdr:rowOff>180977</xdr:rowOff>
    </xdr:to>
    <xdr:sp macro="" textlink="">
      <xdr:nvSpPr>
        <xdr:cNvPr id="12" name="Retângulo: Cantos Diagonais Arredondados 11">
          <a:extLst>
            <a:ext uri="{FF2B5EF4-FFF2-40B4-BE49-F238E27FC236}">
              <a16:creationId xmlns:a16="http://schemas.microsoft.com/office/drawing/2014/main" id="{0DCA4C74-6697-474F-837A-02A5F9B7B109}"/>
            </a:ext>
          </a:extLst>
        </xdr:cNvPr>
        <xdr:cNvSpPr/>
      </xdr:nvSpPr>
      <xdr:spPr>
        <a:xfrm>
          <a:off x="49212" y="8098633"/>
          <a:ext cx="2157412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Imposto</a:t>
          </a:r>
        </a:p>
      </xdr:txBody>
    </xdr:sp>
    <xdr:clientData/>
  </xdr:twoCellAnchor>
  <xdr:twoCellAnchor>
    <xdr:from>
      <xdr:col>0</xdr:col>
      <xdr:colOff>38100</xdr:colOff>
      <xdr:row>46</xdr:row>
      <xdr:rowOff>48421</xdr:rowOff>
    </xdr:from>
    <xdr:to>
      <xdr:col>3</xdr:col>
      <xdr:colOff>366712</xdr:colOff>
      <xdr:row>49</xdr:row>
      <xdr:rowOff>131765</xdr:rowOff>
    </xdr:to>
    <xdr:sp macro="" textlink="'[1]Custo Manutenção de equipamento'!$J$204">
      <xdr:nvSpPr>
        <xdr:cNvPr id="13" name="Retângulo: Cantos Diagonais Arredondados 12">
          <a:extLst>
            <a:ext uri="{FF2B5EF4-FFF2-40B4-BE49-F238E27FC236}">
              <a16:creationId xmlns:a16="http://schemas.microsoft.com/office/drawing/2014/main" id="{64B2AB1F-DD6D-43D0-859C-3F6B2AF15DE3}"/>
            </a:ext>
          </a:extLst>
        </xdr:cNvPr>
        <xdr:cNvSpPr/>
      </xdr:nvSpPr>
      <xdr:spPr>
        <a:xfrm>
          <a:off x="38100" y="8811421"/>
          <a:ext cx="2157412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497A06EF-1EC7-4EDD-A1AA-AC1682BA6006}" type="TxLink">
            <a:rPr lang="en-US" sz="15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R$ 519.118,56 </a:t>
          </a:fld>
          <a:endParaRPr lang="en-US" sz="15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7</xdr:col>
      <xdr:colOff>355600</xdr:colOff>
      <xdr:row>0</xdr:row>
      <xdr:rowOff>117673</xdr:rowOff>
    </xdr:from>
    <xdr:to>
      <xdr:col>15</xdr:col>
      <xdr:colOff>228600</xdr:colOff>
      <xdr:row>7</xdr:row>
      <xdr:rowOff>189199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Equipamento 1">
              <a:extLst>
                <a:ext uri="{FF2B5EF4-FFF2-40B4-BE49-F238E27FC236}">
                  <a16:creationId xmlns:a16="http://schemas.microsoft.com/office/drawing/2014/main" id="{27DBF6D9-4414-4F43-AD28-0F5DCC321D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quipamen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2800" y="117673"/>
              <a:ext cx="3549668" cy="1405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564156</xdr:colOff>
      <xdr:row>0</xdr:row>
      <xdr:rowOff>158351</xdr:rowOff>
    </xdr:from>
    <xdr:to>
      <xdr:col>20</xdr:col>
      <xdr:colOff>139417</xdr:colOff>
      <xdr:row>8</xdr:row>
      <xdr:rowOff>25400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TipoDeManutencao 1">
              <a:extLst>
                <a:ext uri="{FF2B5EF4-FFF2-40B4-BE49-F238E27FC236}">
                  <a16:creationId xmlns:a16="http://schemas.microsoft.com/office/drawing/2014/main" id="{62C10A98-4688-460A-804F-45CC69A272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DeManutenca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08156" y="158351"/>
              <a:ext cx="2623261" cy="1391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12301</xdr:colOff>
      <xdr:row>0</xdr:row>
      <xdr:rowOff>156567</xdr:rowOff>
    </xdr:from>
    <xdr:to>
      <xdr:col>25</xdr:col>
      <xdr:colOff>38100</xdr:colOff>
      <xdr:row>8</xdr:row>
      <xdr:rowOff>50800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Localizacao 8">
              <a:extLst>
                <a:ext uri="{FF2B5EF4-FFF2-40B4-BE49-F238E27FC236}">
                  <a16:creationId xmlns:a16="http://schemas.microsoft.com/office/drawing/2014/main" id="{8D9858D0-99FC-4FCD-AC9A-770971C1C4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zacao 8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13901" y="156567"/>
              <a:ext cx="2464199" cy="1418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0</xdr:colOff>
      <xdr:row>0</xdr:row>
      <xdr:rowOff>114300</xdr:rowOff>
    </xdr:from>
    <xdr:to>
      <xdr:col>28</xdr:col>
      <xdr:colOff>495300</xdr:colOff>
      <xdr:row>7</xdr:row>
      <xdr:rowOff>165100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8" name="Data 7">
              <a:extLst>
                <a:ext uri="{FF2B5EF4-FFF2-40B4-BE49-F238E27FC236}">
                  <a16:creationId xmlns:a16="http://schemas.microsoft.com/office/drawing/2014/main" id="{7FF3B7C8-0312-4708-B5BA-741B036150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49600" y="114300"/>
              <a:ext cx="1714500" cy="138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3</xdr:col>
      <xdr:colOff>419100</xdr:colOff>
      <xdr:row>8</xdr:row>
      <xdr:rowOff>114300</xdr:rowOff>
    </xdr:from>
    <xdr:to>
      <xdr:col>12</xdr:col>
      <xdr:colOff>520700</xdr:colOff>
      <xdr:row>27</xdr:row>
      <xdr:rowOff>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6E1B2ED6-7C7B-459E-A359-F2FF06F38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533400</xdr:colOff>
      <xdr:row>11</xdr:row>
      <xdr:rowOff>50800</xdr:rowOff>
    </xdr:from>
    <xdr:to>
      <xdr:col>28</xdr:col>
      <xdr:colOff>342900</xdr:colOff>
      <xdr:row>27</xdr:row>
      <xdr:rowOff>101600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77AF672-E2FB-48F3-A92B-7E0D4BB3E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544286</xdr:colOff>
      <xdr:row>29</xdr:row>
      <xdr:rowOff>88900</xdr:rowOff>
    </xdr:from>
    <xdr:to>
      <xdr:col>30</xdr:col>
      <xdr:colOff>533400</xdr:colOff>
      <xdr:row>50</xdr:row>
      <xdr:rowOff>95250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1" name="Gráfico 20">
              <a:extLst>
                <a:ext uri="{FF2B5EF4-FFF2-40B4-BE49-F238E27FC236}">
                  <a16:creationId xmlns:a16="http://schemas.microsoft.com/office/drawing/2014/main" id="{29A1BB8A-420E-48BD-9F44-CA1466A4D5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55486" y="5613400"/>
              <a:ext cx="4865914" cy="400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596900</xdr:colOff>
      <xdr:row>30</xdr:row>
      <xdr:rowOff>136071</xdr:rowOff>
    </xdr:from>
    <xdr:to>
      <xdr:col>12</xdr:col>
      <xdr:colOff>12700</xdr:colOff>
      <xdr:row>51</xdr:row>
      <xdr:rowOff>12700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F06637B3-979A-4159-AD92-52D48A898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139700</xdr:colOff>
      <xdr:row>30</xdr:row>
      <xdr:rowOff>190499</xdr:rowOff>
    </xdr:from>
    <xdr:to>
      <xdr:col>22</xdr:col>
      <xdr:colOff>217715</xdr:colOff>
      <xdr:row>51</xdr:row>
      <xdr:rowOff>40821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51EDDF95-DB8C-48AA-9528-D50444F04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152400</xdr:colOff>
      <xdr:row>9</xdr:row>
      <xdr:rowOff>139700</xdr:rowOff>
    </xdr:from>
    <xdr:to>
      <xdr:col>0</xdr:col>
      <xdr:colOff>542925</xdr:colOff>
      <xdr:row>11</xdr:row>
      <xdr:rowOff>154238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A86DC03C-61C2-41FA-9F90-A4BE6948A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854200"/>
          <a:ext cx="390525" cy="395538"/>
        </a:xfrm>
        <a:prstGeom prst="rect">
          <a:avLst/>
        </a:prstGeom>
      </xdr:spPr>
    </xdr:pic>
    <xdr:clientData/>
  </xdr:twoCellAnchor>
  <xdr:twoCellAnchor>
    <xdr:from>
      <xdr:col>0</xdr:col>
      <xdr:colOff>246313</xdr:colOff>
      <xdr:row>18</xdr:row>
      <xdr:rowOff>8856</xdr:rowOff>
    </xdr:from>
    <xdr:to>
      <xdr:col>0</xdr:col>
      <xdr:colOff>493963</xdr:colOff>
      <xdr:row>20</xdr:row>
      <xdr:rowOff>13870</xdr:rowOff>
    </xdr:to>
    <xdr:sp macro="" textlink="">
      <xdr:nvSpPr>
        <xdr:cNvPr id="25" name="Seta: para Baixo 24">
          <a:extLst>
            <a:ext uri="{FF2B5EF4-FFF2-40B4-BE49-F238E27FC236}">
              <a16:creationId xmlns:a16="http://schemas.microsoft.com/office/drawing/2014/main" id="{6FB89B34-34CD-4F48-91A9-2ECECE6CB051}"/>
            </a:ext>
          </a:extLst>
        </xdr:cNvPr>
        <xdr:cNvSpPr/>
      </xdr:nvSpPr>
      <xdr:spPr>
        <a:xfrm>
          <a:off x="246313" y="3437856"/>
          <a:ext cx="247650" cy="386014"/>
        </a:xfrm>
        <a:prstGeom prst="down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252168</xdr:colOff>
      <xdr:row>26</xdr:row>
      <xdr:rowOff>89163</xdr:rowOff>
    </xdr:from>
    <xdr:to>
      <xdr:col>0</xdr:col>
      <xdr:colOff>499818</xdr:colOff>
      <xdr:row>28</xdr:row>
      <xdr:rowOff>94176</xdr:rowOff>
    </xdr:to>
    <xdr:sp macro="" textlink="">
      <xdr:nvSpPr>
        <xdr:cNvPr id="28" name="Seta: para Baixo 27">
          <a:extLst>
            <a:ext uri="{FF2B5EF4-FFF2-40B4-BE49-F238E27FC236}">
              <a16:creationId xmlns:a16="http://schemas.microsoft.com/office/drawing/2014/main" id="{9390DB2B-3768-42EF-AC37-5B931C527D49}"/>
            </a:ext>
          </a:extLst>
        </xdr:cNvPr>
        <xdr:cNvSpPr/>
      </xdr:nvSpPr>
      <xdr:spPr>
        <a:xfrm rot="10800000">
          <a:off x="252168" y="5042163"/>
          <a:ext cx="247650" cy="386013"/>
        </a:xfrm>
        <a:prstGeom prst="down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160255</xdr:colOff>
      <xdr:row>34</xdr:row>
      <xdr:rowOff>159920</xdr:rowOff>
    </xdr:from>
    <xdr:to>
      <xdr:col>0</xdr:col>
      <xdr:colOff>598405</xdr:colOff>
      <xdr:row>37</xdr:row>
      <xdr:rowOff>34090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5C8B56B9-35D5-45E9-99C9-D5DC56673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255" y="6636920"/>
          <a:ext cx="438150" cy="445670"/>
        </a:xfrm>
        <a:prstGeom prst="rect">
          <a:avLst/>
        </a:prstGeom>
      </xdr:spPr>
    </xdr:pic>
    <xdr:clientData/>
  </xdr:twoCellAnchor>
  <xdr:twoCellAnchor editAs="oneCell">
    <xdr:from>
      <xdr:col>0</xdr:col>
      <xdr:colOff>223753</xdr:colOff>
      <xdr:row>43</xdr:row>
      <xdr:rowOff>50130</xdr:rowOff>
    </xdr:from>
    <xdr:to>
      <xdr:col>1</xdr:col>
      <xdr:colOff>79087</xdr:colOff>
      <xdr:row>45</xdr:row>
      <xdr:rowOff>140869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17E85C5D-968E-4600-A8A6-CD21F2735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753" y="8241630"/>
          <a:ext cx="464934" cy="471739"/>
        </a:xfrm>
        <a:prstGeom prst="rect">
          <a:avLst/>
        </a:prstGeom>
      </xdr:spPr>
    </xdr:pic>
    <xdr:clientData/>
  </xdr:twoCellAnchor>
  <xdr:twoCellAnchor editAs="oneCell">
    <xdr:from>
      <xdr:col>30</xdr:col>
      <xdr:colOff>148772</xdr:colOff>
      <xdr:row>0</xdr:row>
      <xdr:rowOff>139700</xdr:rowOff>
    </xdr:from>
    <xdr:to>
      <xdr:col>30</xdr:col>
      <xdr:colOff>509012</xdr:colOff>
      <xdr:row>2</xdr:row>
      <xdr:rowOff>137083</xdr:rowOff>
    </xdr:to>
    <xdr:pic>
      <xdr:nvPicPr>
        <xdr:cNvPr id="31" name="Imagem 3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C4FCEF1-200C-4639-80EC-483DF0F68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36772" y="139700"/>
          <a:ext cx="360240" cy="378383"/>
        </a:xfrm>
        <a:prstGeom prst="rect">
          <a:avLst/>
        </a:prstGeom>
      </xdr:spPr>
    </xdr:pic>
    <xdr:clientData/>
  </xdr:twoCellAnchor>
  <xdr:oneCellAnchor>
    <xdr:from>
      <xdr:col>30</xdr:col>
      <xdr:colOff>12700</xdr:colOff>
      <xdr:row>2</xdr:row>
      <xdr:rowOff>139700</xdr:rowOff>
    </xdr:from>
    <xdr:ext cx="866775" cy="311496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A1661C9E-3E4E-4C56-B074-43F9DECF9F5A}"/>
            </a:ext>
          </a:extLst>
        </xdr:cNvPr>
        <xdr:cNvSpPr txBox="1"/>
      </xdr:nvSpPr>
      <xdr:spPr>
        <a:xfrm>
          <a:off x="18300700" y="520700"/>
          <a:ext cx="8667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Anterior</a:t>
          </a:r>
        </a:p>
      </xdr:txBody>
    </xdr:sp>
    <xdr:clientData/>
  </xdr:oneCellAnchor>
  <xdr:twoCellAnchor editAs="oneCell">
    <xdr:from>
      <xdr:col>30</xdr:col>
      <xdr:colOff>177347</xdr:colOff>
      <xdr:row>4</xdr:row>
      <xdr:rowOff>158750</xdr:rowOff>
    </xdr:from>
    <xdr:to>
      <xdr:col>30</xdr:col>
      <xdr:colOff>537587</xdr:colOff>
      <xdr:row>6</xdr:row>
      <xdr:rowOff>156133</xdr:rowOff>
    </xdr:to>
    <xdr:pic>
      <xdr:nvPicPr>
        <xdr:cNvPr id="33" name="Imagem 3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EDE4F15-B32F-42EF-80B5-A21DD5B36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600808">
          <a:off x="18465347" y="920750"/>
          <a:ext cx="360240" cy="378383"/>
        </a:xfrm>
        <a:prstGeom prst="rect">
          <a:avLst/>
        </a:prstGeom>
      </xdr:spPr>
    </xdr:pic>
    <xdr:clientData/>
  </xdr:twoCellAnchor>
  <xdr:oneCellAnchor>
    <xdr:from>
      <xdr:col>30</xdr:col>
      <xdr:colOff>41275</xdr:colOff>
      <xdr:row>6</xdr:row>
      <xdr:rowOff>158750</xdr:rowOff>
    </xdr:from>
    <xdr:ext cx="914400" cy="311496"/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288648CA-AD86-4A97-80A5-75B202FA7433}"/>
            </a:ext>
          </a:extLst>
        </xdr:cNvPr>
        <xdr:cNvSpPr txBox="1"/>
      </xdr:nvSpPr>
      <xdr:spPr>
        <a:xfrm>
          <a:off x="18329275" y="1301750"/>
          <a:ext cx="9144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Próximo</a:t>
          </a: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0</xdr:rowOff>
    </xdr:from>
    <xdr:to>
      <xdr:col>28</xdr:col>
      <xdr:colOff>355600</xdr:colOff>
      <xdr:row>51</xdr:row>
      <xdr:rowOff>50800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2D34AFD0-515C-EF11-42E9-46DC97B28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700" y="0"/>
          <a:ext cx="17411700" cy="9766300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0</xdr:row>
      <xdr:rowOff>76201</xdr:rowOff>
    </xdr:from>
    <xdr:to>
      <xdr:col>14</xdr:col>
      <xdr:colOff>584200</xdr:colOff>
      <xdr:row>7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usto 3">
              <a:extLst>
                <a:ext uri="{FF2B5EF4-FFF2-40B4-BE49-F238E27FC236}">
                  <a16:creationId xmlns:a16="http://schemas.microsoft.com/office/drawing/2014/main" id="{CEB5E6E3-B5C5-433A-BF2F-2FACB9DA02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00" y="76201"/>
              <a:ext cx="5308600" cy="1371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152400</xdr:colOff>
      <xdr:row>0</xdr:row>
      <xdr:rowOff>82005</xdr:rowOff>
    </xdr:from>
    <xdr:to>
      <xdr:col>22</xdr:col>
      <xdr:colOff>228600</xdr:colOff>
      <xdr:row>7</xdr:row>
      <xdr:rowOff>101601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Localizacao 9">
              <a:extLst>
                <a:ext uri="{FF2B5EF4-FFF2-40B4-BE49-F238E27FC236}">
                  <a16:creationId xmlns:a16="http://schemas.microsoft.com/office/drawing/2014/main" id="{7F479AF8-A0E5-4A65-A0E1-C11989E14B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zacao 9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6400" y="82005"/>
              <a:ext cx="4343400" cy="13530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364797</xdr:colOff>
      <xdr:row>0</xdr:row>
      <xdr:rowOff>93499</xdr:rowOff>
    </xdr:from>
    <xdr:to>
      <xdr:col>25</xdr:col>
      <xdr:colOff>546100</xdr:colOff>
      <xdr:row>7</xdr:row>
      <xdr:rowOff>101600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a 9">
              <a:extLst>
                <a:ext uri="{FF2B5EF4-FFF2-40B4-BE49-F238E27FC236}">
                  <a16:creationId xmlns:a16="http://schemas.microsoft.com/office/drawing/2014/main" id="{15C35BC9-0BC2-48C7-9512-A0CE31E0E3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9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75997" y="93499"/>
              <a:ext cx="2010103" cy="1341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13</xdr:row>
      <xdr:rowOff>15876</xdr:rowOff>
    </xdr:from>
    <xdr:to>
      <xdr:col>3</xdr:col>
      <xdr:colOff>333375</xdr:colOff>
      <xdr:row>16</xdr:row>
      <xdr:rowOff>123034</xdr:rowOff>
    </xdr:to>
    <xdr:sp macro="" textlink="'Estoque-Dinamica'!$D$2">
      <xdr:nvSpPr>
        <xdr:cNvPr id="6" name="Retângulo: Cantos Diagonais Arredondados 5">
          <a:extLst>
            <a:ext uri="{FF2B5EF4-FFF2-40B4-BE49-F238E27FC236}">
              <a16:creationId xmlns:a16="http://schemas.microsoft.com/office/drawing/2014/main" id="{D3A00BD6-FC7E-49BA-B059-DD14E4748F09}"/>
            </a:ext>
          </a:extLst>
        </xdr:cNvPr>
        <xdr:cNvSpPr/>
      </xdr:nvSpPr>
      <xdr:spPr>
        <a:xfrm>
          <a:off x="0" y="2492376"/>
          <a:ext cx="2162175" cy="678658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EE6438E5-9F25-4C37-B18D-29EE131D4C1A}" type="TxLink">
            <a:rPr lang="en-US" sz="15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R$ 13.894.300,00 </a:t>
          </a:fld>
          <a:endParaRPr lang="en-US" sz="15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0</xdr:colOff>
      <xdr:row>9</xdr:row>
      <xdr:rowOff>101600</xdr:rowOff>
    </xdr:from>
    <xdr:to>
      <xdr:col>3</xdr:col>
      <xdr:colOff>328612</xdr:colOff>
      <xdr:row>12</xdr:row>
      <xdr:rowOff>184944</xdr:rowOff>
    </xdr:to>
    <xdr:sp macro="" textlink="">
      <xdr:nvSpPr>
        <xdr:cNvPr id="7" name="Retângulo: Cantos Diagonais Arredondados 6">
          <a:extLst>
            <a:ext uri="{FF2B5EF4-FFF2-40B4-BE49-F238E27FC236}">
              <a16:creationId xmlns:a16="http://schemas.microsoft.com/office/drawing/2014/main" id="{81B3E563-29E8-456E-9692-E2BABD646E99}"/>
            </a:ext>
          </a:extLst>
        </xdr:cNvPr>
        <xdr:cNvSpPr/>
      </xdr:nvSpPr>
      <xdr:spPr>
        <a:xfrm>
          <a:off x="0" y="1816100"/>
          <a:ext cx="2157412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Valor Total</a:t>
          </a:r>
          <a:endParaRPr lang="pt-BR" sz="1500" b="1" i="0" u="none" strike="noStrike" baseline="0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12701</xdr:colOff>
      <xdr:row>17</xdr:row>
      <xdr:rowOff>146052</xdr:rowOff>
    </xdr:from>
    <xdr:to>
      <xdr:col>3</xdr:col>
      <xdr:colOff>338932</xdr:colOff>
      <xdr:row>21</xdr:row>
      <xdr:rowOff>38896</xdr:rowOff>
    </xdr:to>
    <xdr:sp macro="" textlink="">
      <xdr:nvSpPr>
        <xdr:cNvPr id="8" name="Retângulo: Cantos Diagonais Arredondados 7">
          <a:extLst>
            <a:ext uri="{FF2B5EF4-FFF2-40B4-BE49-F238E27FC236}">
              <a16:creationId xmlns:a16="http://schemas.microsoft.com/office/drawing/2014/main" id="{73FA3064-6B9D-4C14-BFC0-59DC66C9D30E}"/>
            </a:ext>
          </a:extLst>
        </xdr:cNvPr>
        <xdr:cNvSpPr/>
      </xdr:nvSpPr>
      <xdr:spPr>
        <a:xfrm>
          <a:off x="12701" y="3384552"/>
          <a:ext cx="2155031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Valor</a:t>
          </a:r>
          <a:r>
            <a:rPr lang="pt-BR" sz="15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 Mínimo</a:t>
          </a:r>
        </a:p>
      </xdr:txBody>
    </xdr:sp>
    <xdr:clientData/>
  </xdr:twoCellAnchor>
  <xdr:twoCellAnchor>
    <xdr:from>
      <xdr:col>0</xdr:col>
      <xdr:colOff>0</xdr:colOff>
      <xdr:row>21</xdr:row>
      <xdr:rowOff>82552</xdr:rowOff>
    </xdr:from>
    <xdr:to>
      <xdr:col>3</xdr:col>
      <xdr:colOff>326231</xdr:colOff>
      <xdr:row>24</xdr:row>
      <xdr:rowOff>165896</xdr:rowOff>
    </xdr:to>
    <xdr:sp macro="" textlink="'[1]Custo Estoque'!$K$6">
      <xdr:nvSpPr>
        <xdr:cNvPr id="9" name="Retângulo: Cantos Diagonais Arredondados 8">
          <a:extLst>
            <a:ext uri="{FF2B5EF4-FFF2-40B4-BE49-F238E27FC236}">
              <a16:creationId xmlns:a16="http://schemas.microsoft.com/office/drawing/2014/main" id="{806DCAAC-0823-4A5C-8061-9C26F02B0A79}"/>
            </a:ext>
          </a:extLst>
        </xdr:cNvPr>
        <xdr:cNvSpPr/>
      </xdr:nvSpPr>
      <xdr:spPr>
        <a:xfrm>
          <a:off x="0" y="4083052"/>
          <a:ext cx="2155031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830F178-A130-4870-A771-D956369AE038}" type="TxLink">
            <a:rPr lang="en-US" sz="15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R$ 2.500,00 </a:t>
          </a:fld>
          <a:endParaRPr lang="en-US" sz="15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29369</xdr:colOff>
      <xdr:row>26</xdr:row>
      <xdr:rowOff>75408</xdr:rowOff>
    </xdr:from>
    <xdr:to>
      <xdr:col>3</xdr:col>
      <xdr:colOff>357981</xdr:colOff>
      <xdr:row>29</xdr:row>
      <xdr:rowOff>158752</xdr:rowOff>
    </xdr:to>
    <xdr:sp macro="" textlink="">
      <xdr:nvSpPr>
        <xdr:cNvPr id="10" name="Retângulo: Cantos Diagonais Arredondados 9">
          <a:extLst>
            <a:ext uri="{FF2B5EF4-FFF2-40B4-BE49-F238E27FC236}">
              <a16:creationId xmlns:a16="http://schemas.microsoft.com/office/drawing/2014/main" id="{981DCF4F-307F-4376-B509-09E0CD092441}"/>
            </a:ext>
          </a:extLst>
        </xdr:cNvPr>
        <xdr:cNvSpPr/>
      </xdr:nvSpPr>
      <xdr:spPr>
        <a:xfrm>
          <a:off x="29369" y="5028408"/>
          <a:ext cx="2157412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Valor</a:t>
          </a:r>
          <a:r>
            <a:rPr lang="pt-BR" sz="15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 Máximo</a:t>
          </a:r>
        </a:p>
      </xdr:txBody>
    </xdr:sp>
    <xdr:clientData/>
  </xdr:twoCellAnchor>
  <xdr:twoCellAnchor>
    <xdr:from>
      <xdr:col>0</xdr:col>
      <xdr:colOff>0</xdr:colOff>
      <xdr:row>30</xdr:row>
      <xdr:rowOff>6352</xdr:rowOff>
    </xdr:from>
    <xdr:to>
      <xdr:col>3</xdr:col>
      <xdr:colOff>328612</xdr:colOff>
      <xdr:row>33</xdr:row>
      <xdr:rowOff>89696</xdr:rowOff>
    </xdr:to>
    <xdr:sp macro="" textlink="'[1]Custo Estoque'!$K$9">
      <xdr:nvSpPr>
        <xdr:cNvPr id="11" name="Retângulo: Cantos Diagonais Arredondados 10">
          <a:extLst>
            <a:ext uri="{FF2B5EF4-FFF2-40B4-BE49-F238E27FC236}">
              <a16:creationId xmlns:a16="http://schemas.microsoft.com/office/drawing/2014/main" id="{0BE9CE0E-6EDE-4234-B408-E10AF52FB3D0}"/>
            </a:ext>
          </a:extLst>
        </xdr:cNvPr>
        <xdr:cNvSpPr/>
      </xdr:nvSpPr>
      <xdr:spPr>
        <a:xfrm>
          <a:off x="0" y="5721352"/>
          <a:ext cx="2157412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DA76FD08-2B88-4CB3-843C-C38BB63CE24D}" type="TxLink">
            <a:rPr lang="en-US" sz="15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R$ 15.000,00 </a:t>
          </a:fld>
          <a:endParaRPr lang="en-US" sz="15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50006</xdr:colOff>
      <xdr:row>34</xdr:row>
      <xdr:rowOff>144464</xdr:rowOff>
    </xdr:from>
    <xdr:to>
      <xdr:col>3</xdr:col>
      <xdr:colOff>378618</xdr:colOff>
      <xdr:row>38</xdr:row>
      <xdr:rowOff>37308</xdr:rowOff>
    </xdr:to>
    <xdr:sp macro="" textlink="">
      <xdr:nvSpPr>
        <xdr:cNvPr id="12" name="Retângulo: Cantos Diagonais Arredondados 11">
          <a:extLst>
            <a:ext uri="{FF2B5EF4-FFF2-40B4-BE49-F238E27FC236}">
              <a16:creationId xmlns:a16="http://schemas.microsoft.com/office/drawing/2014/main" id="{23105D08-F54A-43D6-BE04-36A70D41F1C7}"/>
            </a:ext>
          </a:extLst>
        </xdr:cNvPr>
        <xdr:cNvSpPr/>
      </xdr:nvSpPr>
      <xdr:spPr>
        <a:xfrm>
          <a:off x="50006" y="6621464"/>
          <a:ext cx="2157412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Valor</a:t>
          </a:r>
          <a:r>
            <a:rPr lang="pt-BR" sz="15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 Médio</a:t>
          </a:r>
        </a:p>
      </xdr:txBody>
    </xdr:sp>
    <xdr:clientData/>
  </xdr:twoCellAnchor>
  <xdr:twoCellAnchor>
    <xdr:from>
      <xdr:col>0</xdr:col>
      <xdr:colOff>38894</xdr:colOff>
      <xdr:row>38</xdr:row>
      <xdr:rowOff>95252</xdr:rowOff>
    </xdr:from>
    <xdr:to>
      <xdr:col>3</xdr:col>
      <xdr:colOff>367506</xdr:colOff>
      <xdr:row>41</xdr:row>
      <xdr:rowOff>178596</xdr:rowOff>
    </xdr:to>
    <xdr:sp macro="" textlink="'[1]Custo Estoque'!$K$12">
      <xdr:nvSpPr>
        <xdr:cNvPr id="13" name="Retângulo: Cantos Diagonais Arredondados 12">
          <a:extLst>
            <a:ext uri="{FF2B5EF4-FFF2-40B4-BE49-F238E27FC236}">
              <a16:creationId xmlns:a16="http://schemas.microsoft.com/office/drawing/2014/main" id="{EBC2E14A-ED0D-428F-A43D-2A168578EB8A}"/>
            </a:ext>
          </a:extLst>
        </xdr:cNvPr>
        <xdr:cNvSpPr/>
      </xdr:nvSpPr>
      <xdr:spPr>
        <a:xfrm>
          <a:off x="38894" y="7334252"/>
          <a:ext cx="2157412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BE296934-95CB-460D-B492-F4D282668DA1}" type="TxLink">
            <a:rPr lang="en-US" sz="15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R$ 5.628,00 </a:t>
          </a:fld>
          <a:endParaRPr lang="en-US" sz="15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49212</xdr:colOff>
      <xdr:row>43</xdr:row>
      <xdr:rowOff>8733</xdr:rowOff>
    </xdr:from>
    <xdr:to>
      <xdr:col>3</xdr:col>
      <xdr:colOff>377824</xdr:colOff>
      <xdr:row>46</xdr:row>
      <xdr:rowOff>92077</xdr:rowOff>
    </xdr:to>
    <xdr:sp macro="" textlink="">
      <xdr:nvSpPr>
        <xdr:cNvPr id="14" name="Retângulo: Cantos Diagonais Arredondados 13">
          <a:extLst>
            <a:ext uri="{FF2B5EF4-FFF2-40B4-BE49-F238E27FC236}">
              <a16:creationId xmlns:a16="http://schemas.microsoft.com/office/drawing/2014/main" id="{1FC170F7-50E8-4708-89FB-4D39BDE26F9C}"/>
            </a:ext>
          </a:extLst>
        </xdr:cNvPr>
        <xdr:cNvSpPr/>
      </xdr:nvSpPr>
      <xdr:spPr>
        <a:xfrm>
          <a:off x="49212" y="8200233"/>
          <a:ext cx="2157412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Imposto</a:t>
          </a:r>
        </a:p>
      </xdr:txBody>
    </xdr:sp>
    <xdr:clientData/>
  </xdr:twoCellAnchor>
  <xdr:twoCellAnchor>
    <xdr:from>
      <xdr:col>0</xdr:col>
      <xdr:colOff>38100</xdr:colOff>
      <xdr:row>46</xdr:row>
      <xdr:rowOff>150021</xdr:rowOff>
    </xdr:from>
    <xdr:to>
      <xdr:col>3</xdr:col>
      <xdr:colOff>366712</xdr:colOff>
      <xdr:row>50</xdr:row>
      <xdr:rowOff>42865</xdr:rowOff>
    </xdr:to>
    <xdr:sp macro="" textlink="'[1]Custo Estoque'!$I$203">
      <xdr:nvSpPr>
        <xdr:cNvPr id="15" name="Retângulo: Cantos Diagonais Arredondados 14">
          <a:extLst>
            <a:ext uri="{FF2B5EF4-FFF2-40B4-BE49-F238E27FC236}">
              <a16:creationId xmlns:a16="http://schemas.microsoft.com/office/drawing/2014/main" id="{6609872F-0390-4B35-8043-957B6B024A46}"/>
            </a:ext>
          </a:extLst>
        </xdr:cNvPr>
        <xdr:cNvSpPr/>
      </xdr:nvSpPr>
      <xdr:spPr>
        <a:xfrm>
          <a:off x="38100" y="8913021"/>
          <a:ext cx="2157412" cy="65484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50182CF9-88B6-4500-97F9-91A5705DD797}" type="TxLink">
            <a:rPr lang="en-US" sz="15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R$ 416.829,00 </a:t>
          </a:fld>
          <a:endParaRPr lang="en-US" sz="15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469900</xdr:colOff>
      <xdr:row>30</xdr:row>
      <xdr:rowOff>38100</xdr:rowOff>
    </xdr:from>
    <xdr:to>
      <xdr:col>28</xdr:col>
      <xdr:colOff>292100</xdr:colOff>
      <xdr:row>50</xdr:row>
      <xdr:rowOff>63500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5E45205-0275-4D30-9E74-586B17187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254000</xdr:colOff>
      <xdr:row>10</xdr:row>
      <xdr:rowOff>38100</xdr:rowOff>
    </xdr:from>
    <xdr:to>
      <xdr:col>14</xdr:col>
      <xdr:colOff>114300</xdr:colOff>
      <xdr:row>29</xdr:row>
      <xdr:rowOff>38100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7EBE44D-2053-4E8F-8F4F-AF0275674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555172</xdr:colOff>
      <xdr:row>1</xdr:row>
      <xdr:rowOff>25400</xdr:rowOff>
    </xdr:from>
    <xdr:to>
      <xdr:col>27</xdr:col>
      <xdr:colOff>305812</xdr:colOff>
      <xdr:row>3</xdr:row>
      <xdr:rowOff>22783</xdr:rowOff>
    </xdr:to>
    <xdr:pic>
      <xdr:nvPicPr>
        <xdr:cNvPr id="21" name="Imagem 2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F02BEEF-7CC9-49D0-B645-9360D0080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4772" y="215900"/>
          <a:ext cx="360240" cy="378383"/>
        </a:xfrm>
        <a:prstGeom prst="rect">
          <a:avLst/>
        </a:prstGeom>
      </xdr:spPr>
    </xdr:pic>
    <xdr:clientData/>
  </xdr:twoCellAnchor>
  <xdr:oneCellAnchor>
    <xdr:from>
      <xdr:col>26</xdr:col>
      <xdr:colOff>419100</xdr:colOff>
      <xdr:row>3</xdr:row>
      <xdr:rowOff>25400</xdr:rowOff>
    </xdr:from>
    <xdr:ext cx="866775" cy="311496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8A001705-2EA5-4916-A32D-9613EB86B3B9}"/>
            </a:ext>
          </a:extLst>
        </xdr:cNvPr>
        <xdr:cNvSpPr txBox="1"/>
      </xdr:nvSpPr>
      <xdr:spPr>
        <a:xfrm>
          <a:off x="16268700" y="596900"/>
          <a:ext cx="8667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Anterior</a:t>
          </a:r>
        </a:p>
      </xdr:txBody>
    </xdr:sp>
    <xdr:clientData/>
  </xdr:oneCellAnchor>
  <xdr:twoCellAnchor editAs="oneCell">
    <xdr:from>
      <xdr:col>26</xdr:col>
      <xdr:colOff>583747</xdr:colOff>
      <xdr:row>5</xdr:row>
      <xdr:rowOff>44450</xdr:rowOff>
    </xdr:from>
    <xdr:to>
      <xdr:col>27</xdr:col>
      <xdr:colOff>334387</xdr:colOff>
      <xdr:row>7</xdr:row>
      <xdr:rowOff>41833</xdr:rowOff>
    </xdr:to>
    <xdr:pic>
      <xdr:nvPicPr>
        <xdr:cNvPr id="23" name="Imagem 2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D8CBF8B-8D51-447E-AC23-7FBFA4EE8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600808">
          <a:off x="16433347" y="996950"/>
          <a:ext cx="360240" cy="378383"/>
        </a:xfrm>
        <a:prstGeom prst="rect">
          <a:avLst/>
        </a:prstGeom>
      </xdr:spPr>
    </xdr:pic>
    <xdr:clientData/>
  </xdr:twoCellAnchor>
  <xdr:oneCellAnchor>
    <xdr:from>
      <xdr:col>26</xdr:col>
      <xdr:colOff>447675</xdr:colOff>
      <xdr:row>7</xdr:row>
      <xdr:rowOff>44450</xdr:rowOff>
    </xdr:from>
    <xdr:ext cx="914400" cy="311496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315B8EA2-3DA8-4ED8-99AC-21BBB4056C21}"/>
            </a:ext>
          </a:extLst>
        </xdr:cNvPr>
        <xdr:cNvSpPr txBox="1"/>
      </xdr:nvSpPr>
      <xdr:spPr>
        <a:xfrm>
          <a:off x="16297275" y="1377950"/>
          <a:ext cx="9144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Próximo</a:t>
          </a:r>
        </a:p>
      </xdr:txBody>
    </xdr:sp>
    <xdr:clientData/>
  </xdr:oneCellAnchor>
  <xdr:twoCellAnchor editAs="oneCell">
    <xdr:from>
      <xdr:col>0</xdr:col>
      <xdr:colOff>127000</xdr:colOff>
      <xdr:row>10</xdr:row>
      <xdr:rowOff>38100</xdr:rowOff>
    </xdr:from>
    <xdr:to>
      <xdr:col>0</xdr:col>
      <xdr:colOff>517525</xdr:colOff>
      <xdr:row>12</xdr:row>
      <xdr:rowOff>52638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BC029E3A-10A4-4613-A90D-6F1AA107E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943100"/>
          <a:ext cx="390525" cy="395538"/>
        </a:xfrm>
        <a:prstGeom prst="rect">
          <a:avLst/>
        </a:prstGeom>
      </xdr:spPr>
    </xdr:pic>
    <xdr:clientData/>
  </xdr:twoCellAnchor>
  <xdr:twoCellAnchor>
    <xdr:from>
      <xdr:col>0</xdr:col>
      <xdr:colOff>220913</xdr:colOff>
      <xdr:row>18</xdr:row>
      <xdr:rowOff>97756</xdr:rowOff>
    </xdr:from>
    <xdr:to>
      <xdr:col>0</xdr:col>
      <xdr:colOff>468563</xdr:colOff>
      <xdr:row>20</xdr:row>
      <xdr:rowOff>102770</xdr:rowOff>
    </xdr:to>
    <xdr:sp macro="" textlink="">
      <xdr:nvSpPr>
        <xdr:cNvPr id="28" name="Seta: para Baixo 27">
          <a:extLst>
            <a:ext uri="{FF2B5EF4-FFF2-40B4-BE49-F238E27FC236}">
              <a16:creationId xmlns:a16="http://schemas.microsoft.com/office/drawing/2014/main" id="{593D017A-4599-4C66-8E6C-C5E0A6B205F1}"/>
            </a:ext>
          </a:extLst>
        </xdr:cNvPr>
        <xdr:cNvSpPr/>
      </xdr:nvSpPr>
      <xdr:spPr>
        <a:xfrm>
          <a:off x="220913" y="3526756"/>
          <a:ext cx="247650" cy="386014"/>
        </a:xfrm>
        <a:prstGeom prst="down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226768</xdr:colOff>
      <xdr:row>26</xdr:row>
      <xdr:rowOff>178063</xdr:rowOff>
    </xdr:from>
    <xdr:to>
      <xdr:col>0</xdr:col>
      <xdr:colOff>474418</xdr:colOff>
      <xdr:row>28</xdr:row>
      <xdr:rowOff>183076</xdr:rowOff>
    </xdr:to>
    <xdr:sp macro="" textlink="">
      <xdr:nvSpPr>
        <xdr:cNvPr id="29" name="Seta: para Baixo 28">
          <a:extLst>
            <a:ext uri="{FF2B5EF4-FFF2-40B4-BE49-F238E27FC236}">
              <a16:creationId xmlns:a16="http://schemas.microsoft.com/office/drawing/2014/main" id="{855C256B-F8C5-4E83-AC00-134761DB16FC}"/>
            </a:ext>
          </a:extLst>
        </xdr:cNvPr>
        <xdr:cNvSpPr/>
      </xdr:nvSpPr>
      <xdr:spPr>
        <a:xfrm rot="10800000">
          <a:off x="226768" y="5131063"/>
          <a:ext cx="247650" cy="386013"/>
        </a:xfrm>
        <a:prstGeom prst="down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134855</xdr:colOff>
      <xdr:row>35</xdr:row>
      <xdr:rowOff>58320</xdr:rowOff>
    </xdr:from>
    <xdr:to>
      <xdr:col>0</xdr:col>
      <xdr:colOff>573005</xdr:colOff>
      <xdr:row>37</xdr:row>
      <xdr:rowOff>122990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CCF9CB21-1DA8-445C-9625-993761C7B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55" y="6725820"/>
          <a:ext cx="438150" cy="445670"/>
        </a:xfrm>
        <a:prstGeom prst="rect">
          <a:avLst/>
        </a:prstGeom>
      </xdr:spPr>
    </xdr:pic>
    <xdr:clientData/>
  </xdr:twoCellAnchor>
  <xdr:twoCellAnchor editAs="oneCell">
    <xdr:from>
      <xdr:col>0</xdr:col>
      <xdr:colOff>198353</xdr:colOff>
      <xdr:row>43</xdr:row>
      <xdr:rowOff>139030</xdr:rowOff>
    </xdr:from>
    <xdr:to>
      <xdr:col>1</xdr:col>
      <xdr:colOff>53687</xdr:colOff>
      <xdr:row>46</xdr:row>
      <xdr:rowOff>39269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B8B4EDCE-34D3-4DA7-B615-64F4AE276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353" y="8330530"/>
          <a:ext cx="464934" cy="471739"/>
        </a:xfrm>
        <a:prstGeom prst="rect">
          <a:avLst/>
        </a:prstGeom>
      </xdr:spPr>
    </xdr:pic>
    <xdr:clientData/>
  </xdr:twoCellAnchor>
  <xdr:twoCellAnchor>
    <xdr:from>
      <xdr:col>14</xdr:col>
      <xdr:colOff>342901</xdr:colOff>
      <xdr:row>9</xdr:row>
      <xdr:rowOff>63500</xdr:rowOff>
    </xdr:from>
    <xdr:to>
      <xdr:col>27</xdr:col>
      <xdr:colOff>203200</xdr:colOff>
      <xdr:row>28</xdr:row>
      <xdr:rowOff>139700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58CFE130-6A27-4EFF-BA9C-02CB1C11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152400</xdr:colOff>
      <xdr:row>30</xdr:row>
      <xdr:rowOff>127000</xdr:rowOff>
    </xdr:from>
    <xdr:to>
      <xdr:col>14</xdr:col>
      <xdr:colOff>406400</xdr:colOff>
      <xdr:row>49</xdr:row>
      <xdr:rowOff>177800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F90FB712-2596-4933-B1F9-CF0699968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0.378</cdr:x>
      <cdr:y>0.2907</cdr:y>
    </cdr:from>
    <cdr:to>
      <cdr:x>0.61</cdr:x>
      <cdr:y>0.70155</cdr:y>
    </cdr:to>
    <cdr:sp macro="" textlink="'Estoque-Dinamica'!$D$5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BD624803-04F6-30BE-3B27-53A714D90CFF}"/>
            </a:ext>
          </a:extLst>
        </cdr:cNvPr>
        <cdr:cNvSpPr/>
      </cdr:nvSpPr>
      <cdr:spPr>
        <a:xfrm xmlns:a="http://schemas.openxmlformats.org/drawingml/2006/main">
          <a:off x="2400300" y="952500"/>
          <a:ext cx="1473209" cy="1346196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67E5879-2222-4AC1-A599-DAD932984959}" type="TxLink">
            <a:rPr lang="en-US" sz="26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2664</a:t>
          </a:fld>
          <a:endParaRPr lang="pt-BR" sz="2600" b="1">
            <a:solidFill>
              <a:schemeClr val="bg1"/>
            </a:solidFill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587375</xdr:colOff>
      <xdr:row>0</xdr:row>
      <xdr:rowOff>6349</xdr:rowOff>
    </xdr:from>
    <xdr:to>
      <xdr:col>16</xdr:col>
      <xdr:colOff>340463</xdr:colOff>
      <xdr:row>6</xdr:row>
      <xdr:rowOff>161925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E537C825-F790-5D64-EF48-51FBEF533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0875" y="6349"/>
              <a:ext cx="10373463" cy="13144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2</xdr:col>
      <xdr:colOff>1022350</xdr:colOff>
      <xdr:row>23</xdr:row>
      <xdr:rowOff>46037</xdr:rowOff>
    </xdr:from>
    <xdr:to>
      <xdr:col>9</xdr:col>
      <xdr:colOff>422275</xdr:colOff>
      <xdr:row>37</xdr:row>
      <xdr:rowOff>122237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C00E03A-A70C-DB31-26E8-89E981F54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755650</xdr:colOff>
      <xdr:row>7</xdr:row>
      <xdr:rowOff>76200</xdr:rowOff>
    </xdr:from>
    <xdr:to>
      <xdr:col>4</xdr:col>
      <xdr:colOff>538346</xdr:colOff>
      <xdr:row>20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Produto">
              <a:extLst>
                <a:ext uri="{FF2B5EF4-FFF2-40B4-BE49-F238E27FC236}">
                  <a16:creationId xmlns:a16="http://schemas.microsoft.com/office/drawing/2014/main" id="{1C256329-5402-1BA2-1507-C3934840C8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0025" y="1425575"/>
              <a:ext cx="1814696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850900</xdr:colOff>
      <xdr:row>8</xdr:row>
      <xdr:rowOff>3175</xdr:rowOff>
    </xdr:from>
    <xdr:to>
      <xdr:col>5</xdr:col>
      <xdr:colOff>692149</xdr:colOff>
      <xdr:row>21</xdr:row>
      <xdr:rowOff>50800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Localizacao">
              <a:extLst>
                <a:ext uri="{FF2B5EF4-FFF2-40B4-BE49-F238E27FC236}">
                  <a16:creationId xmlns:a16="http://schemas.microsoft.com/office/drawing/2014/main" id="{D681E465-65DC-98B1-2F7C-96F0AF72C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zaca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1543050"/>
              <a:ext cx="1825624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1362075</xdr:colOff>
      <xdr:row>7</xdr:row>
      <xdr:rowOff>187325</xdr:rowOff>
    </xdr:from>
    <xdr:to>
      <xdr:col>7</xdr:col>
      <xdr:colOff>409575</xdr:colOff>
      <xdr:row>21</xdr:row>
      <xdr:rowOff>44450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Situacao">
              <a:extLst>
                <a:ext uri="{FF2B5EF4-FFF2-40B4-BE49-F238E27FC236}">
                  <a16:creationId xmlns:a16="http://schemas.microsoft.com/office/drawing/2014/main" id="{CB3F5FF1-278D-CDCD-4903-2246360177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a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77575" y="1536700"/>
              <a:ext cx="180975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511174</xdr:colOff>
      <xdr:row>22</xdr:row>
      <xdr:rowOff>114300</xdr:rowOff>
    </xdr:from>
    <xdr:to>
      <xdr:col>20</xdr:col>
      <xdr:colOff>165099</xdr:colOff>
      <xdr:row>42</xdr:row>
      <xdr:rowOff>38100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D6C1296-AE26-5CBD-EEAD-1C6D7A371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1077137</xdr:colOff>
      <xdr:row>43</xdr:row>
      <xdr:rowOff>58516</xdr:rowOff>
    </xdr:from>
    <xdr:to>
      <xdr:col>9</xdr:col>
      <xdr:colOff>333080</xdr:colOff>
      <xdr:row>57</xdr:row>
      <xdr:rowOff>136931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4C395F2-A4CB-2893-879B-73F622132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276224</xdr:colOff>
      <xdr:row>60</xdr:row>
      <xdr:rowOff>80961</xdr:rowOff>
    </xdr:from>
    <xdr:to>
      <xdr:col>24</xdr:col>
      <xdr:colOff>393699</xdr:colOff>
      <xdr:row>77</xdr:row>
      <xdr:rowOff>28575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0458DFC-517C-336F-A10E-3A5502452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1976990</xdr:colOff>
      <xdr:row>61</xdr:row>
      <xdr:rowOff>57887</xdr:rowOff>
    </xdr:from>
    <xdr:to>
      <xdr:col>9</xdr:col>
      <xdr:colOff>258060</xdr:colOff>
      <xdr:row>75</xdr:row>
      <xdr:rowOff>165099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AD6BC0-6C74-AE4E-62DA-818C194E7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238125</xdr:colOff>
      <xdr:row>43</xdr:row>
      <xdr:rowOff>17462</xdr:rowOff>
    </xdr:from>
    <xdr:to>
      <xdr:col>17</xdr:col>
      <xdr:colOff>460375</xdr:colOff>
      <xdr:row>57</xdr:row>
      <xdr:rowOff>93662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61E5E3-0612-DC9C-1A22-6F3051F10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111125</xdr:colOff>
      <xdr:row>7</xdr:row>
      <xdr:rowOff>111125</xdr:rowOff>
    </xdr:from>
    <xdr:to>
      <xdr:col>15</xdr:col>
      <xdr:colOff>142875</xdr:colOff>
      <xdr:row>22</xdr:row>
      <xdr:rowOff>14287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8664E56-1F2E-2ACD-46C6-0C7F052C8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1476375</xdr:colOff>
      <xdr:row>82</xdr:row>
      <xdr:rowOff>1587</xdr:rowOff>
    </xdr:from>
    <xdr:to>
      <xdr:col>5</xdr:col>
      <xdr:colOff>1984375</xdr:colOff>
      <xdr:row>96</xdr:row>
      <xdr:rowOff>77787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B9C5973-C2EB-91AF-ADFF-7D5743086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571500</xdr:colOff>
      <xdr:row>59</xdr:row>
      <xdr:rowOff>4252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id="{84E4694A-8BD6-BC8E-6E83-A84B7BF30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18941143" cy="11243752"/>
        </a:xfrm>
        <a:prstGeom prst="rect">
          <a:avLst/>
        </a:prstGeom>
      </xdr:spPr>
    </xdr:pic>
    <xdr:clientData/>
  </xdr:twoCellAnchor>
  <xdr:twoCellAnchor>
    <xdr:from>
      <xdr:col>14</xdr:col>
      <xdr:colOff>448317</xdr:colOff>
      <xdr:row>0</xdr:row>
      <xdr:rowOff>168873</xdr:rowOff>
    </xdr:from>
    <xdr:to>
      <xdr:col>18</xdr:col>
      <xdr:colOff>561113</xdr:colOff>
      <xdr:row>7</xdr:row>
      <xdr:rowOff>144307</xdr:rowOff>
    </xdr:to>
    <xdr:sp macro="" textlink="comparativo!C19">
      <xdr:nvSpPr>
        <xdr:cNvPr id="3" name="Retângulo: Cantos Diagonais Arredondados 2">
          <a:extLst>
            <a:ext uri="{FF2B5EF4-FFF2-40B4-BE49-F238E27FC236}">
              <a16:creationId xmlns:a16="http://schemas.microsoft.com/office/drawing/2014/main" id="{87A93CF6-124D-4E15-9EFA-10ABDB58CE81}"/>
            </a:ext>
          </a:extLst>
        </xdr:cNvPr>
        <xdr:cNvSpPr/>
      </xdr:nvSpPr>
      <xdr:spPr>
        <a:xfrm>
          <a:off x="9020817" y="168873"/>
          <a:ext cx="2562082" cy="130893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A7BAE91-6103-42DC-AB55-889B5E3AA49D}" type="TxLink">
            <a:rPr lang="en-US" sz="16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 R$ 65.123.382.315,00 </a:t>
          </a:fld>
          <a:endParaRPr lang="en-US" sz="16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173670</xdr:colOff>
      <xdr:row>1</xdr:row>
      <xdr:rowOff>5011</xdr:rowOff>
    </xdr:from>
    <xdr:to>
      <xdr:col>14</xdr:col>
      <xdr:colOff>336596</xdr:colOff>
      <xdr:row>8</xdr:row>
      <xdr:rowOff>5012</xdr:rowOff>
    </xdr:to>
    <xdr:sp macro="" textlink="">
      <xdr:nvSpPr>
        <xdr:cNvPr id="4" name="Retângulo: Cantos Diagonais Arredondados 3">
          <a:extLst>
            <a:ext uri="{FF2B5EF4-FFF2-40B4-BE49-F238E27FC236}">
              <a16:creationId xmlns:a16="http://schemas.microsoft.com/office/drawing/2014/main" id="{FF6F2527-B7F5-44FB-905E-CD9E702BE05F}"/>
            </a:ext>
          </a:extLst>
        </xdr:cNvPr>
        <xdr:cNvSpPr/>
      </xdr:nvSpPr>
      <xdr:spPr>
        <a:xfrm>
          <a:off x="6296884" y="195511"/>
          <a:ext cx="2612212" cy="1333501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TOTAL GERA</a:t>
          </a:r>
          <a:r>
            <a:rPr lang="pt-BR" sz="15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L</a:t>
          </a:r>
          <a:endParaRPr lang="pt-BR" sz="15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435428</xdr:colOff>
      <xdr:row>10</xdr:row>
      <xdr:rowOff>93103</xdr:rowOff>
    </xdr:from>
    <xdr:to>
      <xdr:col>14</xdr:col>
      <xdr:colOff>596566</xdr:colOff>
      <xdr:row>32</xdr:row>
      <xdr:rowOff>68037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DD74C3E-9B03-473B-AC18-5BA2BB310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0</xdr:colOff>
      <xdr:row>0</xdr:row>
      <xdr:rowOff>130700</xdr:rowOff>
    </xdr:from>
    <xdr:to>
      <xdr:col>9</xdr:col>
      <xdr:colOff>476250</xdr:colOff>
      <xdr:row>7</xdr:row>
      <xdr:rowOff>136071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Ano 1">
              <a:extLst>
                <a:ext uri="{FF2B5EF4-FFF2-40B4-BE49-F238E27FC236}">
                  <a16:creationId xmlns:a16="http://schemas.microsoft.com/office/drawing/2014/main" id="{B6205A37-B64D-4DD1-B9D1-1B4BF68F07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6250" y="130700"/>
              <a:ext cx="1700893" cy="13388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16</xdr:col>
      <xdr:colOff>353785</xdr:colOff>
      <xdr:row>10</xdr:row>
      <xdr:rowOff>176893</xdr:rowOff>
    </xdr:from>
    <xdr:to>
      <xdr:col>28</xdr:col>
      <xdr:colOff>548224</xdr:colOff>
      <xdr:row>31</xdr:row>
      <xdr:rowOff>174744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2B751FC-AC34-4944-879A-9D5DED5F7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75198</xdr:colOff>
      <xdr:row>33</xdr:row>
      <xdr:rowOff>162927</xdr:rowOff>
    </xdr:from>
    <xdr:to>
      <xdr:col>9</xdr:col>
      <xdr:colOff>75198</xdr:colOff>
      <xdr:row>55</xdr:row>
      <xdr:rowOff>25733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444E660-A6EA-476F-9A54-408A9B01C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350923</xdr:colOff>
      <xdr:row>35</xdr:row>
      <xdr:rowOff>37598</xdr:rowOff>
    </xdr:from>
    <xdr:to>
      <xdr:col>18</xdr:col>
      <xdr:colOff>611607</xdr:colOff>
      <xdr:row>54</xdr:row>
      <xdr:rowOff>75196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F1243E1-F9A1-4D48-84C7-AFB2D6401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412870</xdr:colOff>
      <xdr:row>35</xdr:row>
      <xdr:rowOff>80570</xdr:rowOff>
    </xdr:from>
    <xdr:to>
      <xdr:col>30</xdr:col>
      <xdr:colOff>439440</xdr:colOff>
      <xdr:row>55</xdr:row>
      <xdr:rowOff>1195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DEB26ED-F8A2-4965-9983-34B5FAAD2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28</xdr:col>
      <xdr:colOff>339106</xdr:colOff>
      <xdr:row>0</xdr:row>
      <xdr:rowOff>149679</xdr:rowOff>
    </xdr:from>
    <xdr:to>
      <xdr:col>29</xdr:col>
      <xdr:colOff>87025</xdr:colOff>
      <xdr:row>2</xdr:row>
      <xdr:rowOff>147062</xdr:rowOff>
    </xdr:to>
    <xdr:pic>
      <xdr:nvPicPr>
        <xdr:cNvPr id="20" name="Imagem 1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3C89104-821E-443F-9F40-2129B749E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84106" y="149679"/>
          <a:ext cx="360240" cy="378383"/>
        </a:xfrm>
        <a:prstGeom prst="rect">
          <a:avLst/>
        </a:prstGeom>
      </xdr:spPr>
    </xdr:pic>
    <xdr:clientData/>
  </xdr:twoCellAnchor>
  <xdr:oneCellAnchor>
    <xdr:from>
      <xdr:col>28</xdr:col>
      <xdr:colOff>203034</xdr:colOff>
      <xdr:row>2</xdr:row>
      <xdr:rowOff>149679</xdr:rowOff>
    </xdr:from>
    <xdr:ext cx="866775" cy="311496"/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2203B824-63D6-4238-A227-2EE7949C9C67}"/>
            </a:ext>
          </a:extLst>
        </xdr:cNvPr>
        <xdr:cNvSpPr txBox="1"/>
      </xdr:nvSpPr>
      <xdr:spPr>
        <a:xfrm>
          <a:off x="17348034" y="530679"/>
          <a:ext cx="8667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Anterior</a:t>
          </a:r>
        </a:p>
      </xdr:txBody>
    </xdr:sp>
    <xdr:clientData/>
  </xdr:oneCellAnchor>
  <xdr:twoCellAnchor editAs="oneCell">
    <xdr:from>
      <xdr:col>28</xdr:col>
      <xdr:colOff>367681</xdr:colOff>
      <xdr:row>4</xdr:row>
      <xdr:rowOff>168729</xdr:rowOff>
    </xdr:from>
    <xdr:to>
      <xdr:col>29</xdr:col>
      <xdr:colOff>115600</xdr:colOff>
      <xdr:row>6</xdr:row>
      <xdr:rowOff>166112</xdr:rowOff>
    </xdr:to>
    <xdr:pic>
      <xdr:nvPicPr>
        <xdr:cNvPr id="22" name="Imagem 2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BE67BAD-8E22-45AC-BA2C-E5D046E4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600808">
          <a:off x="17512681" y="930729"/>
          <a:ext cx="360240" cy="378383"/>
        </a:xfrm>
        <a:prstGeom prst="rect">
          <a:avLst/>
        </a:prstGeom>
      </xdr:spPr>
    </xdr:pic>
    <xdr:clientData/>
  </xdr:twoCellAnchor>
  <xdr:oneCellAnchor>
    <xdr:from>
      <xdr:col>28</xdr:col>
      <xdr:colOff>231609</xdr:colOff>
      <xdr:row>6</xdr:row>
      <xdr:rowOff>168729</xdr:rowOff>
    </xdr:from>
    <xdr:ext cx="914400" cy="311496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4E107E51-F6BD-43D1-B34D-95DE24F1BACB}"/>
            </a:ext>
          </a:extLst>
        </xdr:cNvPr>
        <xdr:cNvSpPr txBox="1"/>
      </xdr:nvSpPr>
      <xdr:spPr>
        <a:xfrm>
          <a:off x="17376609" y="1311729"/>
          <a:ext cx="9144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Próximo</a:t>
          </a:r>
        </a:p>
      </xdr:txBody>
    </xdr:sp>
    <xdr:clientData/>
  </xdr:oneCellAnchor>
  <xdr:twoCellAnchor editAs="oneCell">
    <xdr:from>
      <xdr:col>10</xdr:col>
      <xdr:colOff>255313</xdr:colOff>
      <xdr:row>2</xdr:row>
      <xdr:rowOff>141081</xdr:rowOff>
    </xdr:from>
    <xdr:to>
      <xdr:col>11</xdr:col>
      <xdr:colOff>282910</xdr:colOff>
      <xdr:row>6</xdr:row>
      <xdr:rowOff>27214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ABB6E987-0AEE-42B9-A6F1-0C6204F62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8527" y="522081"/>
          <a:ext cx="639919" cy="648133"/>
        </a:xfrm>
        <a:prstGeom prst="rect">
          <a:avLst/>
        </a:prstGeom>
      </xdr:spPr>
    </xdr:pic>
    <xdr:clientData/>
  </xdr:twoCellAnchor>
  <xdr:twoCellAnchor>
    <xdr:from>
      <xdr:col>19</xdr:col>
      <xdr:colOff>68036</xdr:colOff>
      <xdr:row>0</xdr:row>
      <xdr:rowOff>149678</xdr:rowOff>
    </xdr:from>
    <xdr:to>
      <xdr:col>23</xdr:col>
      <xdr:colOff>230962</xdr:colOff>
      <xdr:row>7</xdr:row>
      <xdr:rowOff>149679</xdr:rowOff>
    </xdr:to>
    <xdr:sp macro="" textlink="">
      <xdr:nvSpPr>
        <xdr:cNvPr id="19" name="Retângulo: Cantos Diagonais Arredondados 18">
          <a:extLst>
            <a:ext uri="{FF2B5EF4-FFF2-40B4-BE49-F238E27FC236}">
              <a16:creationId xmlns:a16="http://schemas.microsoft.com/office/drawing/2014/main" id="{02EB4967-4BCA-406C-B01A-5A4ADECC5399}"/>
            </a:ext>
          </a:extLst>
        </xdr:cNvPr>
        <xdr:cNvSpPr/>
      </xdr:nvSpPr>
      <xdr:spPr>
        <a:xfrm>
          <a:off x="11702143" y="149678"/>
          <a:ext cx="2612212" cy="1333501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5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Percentual</a:t>
          </a:r>
          <a:r>
            <a:rPr lang="pt-BR" sz="15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 de redução dos custos no periodo</a:t>
          </a:r>
        </a:p>
      </xdr:txBody>
    </xdr:sp>
    <xdr:clientData/>
  </xdr:twoCellAnchor>
  <xdr:twoCellAnchor>
    <xdr:from>
      <xdr:col>23</xdr:col>
      <xdr:colOff>353786</xdr:colOff>
      <xdr:row>0</xdr:row>
      <xdr:rowOff>163286</xdr:rowOff>
    </xdr:from>
    <xdr:to>
      <xdr:col>27</xdr:col>
      <xdr:colOff>466582</xdr:colOff>
      <xdr:row>7</xdr:row>
      <xdr:rowOff>138720</xdr:rowOff>
    </xdr:to>
    <xdr:sp macro="" textlink="comparativo!E18">
      <xdr:nvSpPr>
        <xdr:cNvPr id="25" name="Retângulo: Cantos Diagonais Arredondados 24">
          <a:extLst>
            <a:ext uri="{FF2B5EF4-FFF2-40B4-BE49-F238E27FC236}">
              <a16:creationId xmlns:a16="http://schemas.microsoft.com/office/drawing/2014/main" id="{5F9765E1-33A4-4BD8-84A5-DF3A4F0FC3B3}"/>
            </a:ext>
          </a:extLst>
        </xdr:cNvPr>
        <xdr:cNvSpPr/>
      </xdr:nvSpPr>
      <xdr:spPr>
        <a:xfrm>
          <a:off x="14437179" y="163286"/>
          <a:ext cx="2562082" cy="1308934"/>
        </a:xfrm>
        <a:prstGeom prst="round2DiagRect">
          <a:avLst/>
        </a:prstGeom>
        <a:solidFill>
          <a:srgbClr val="00206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B92023E-86E6-4972-8EC0-64287AB6B9A7}" type="TxLink">
            <a:rPr lang="en-US" sz="16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ctr"/>
            <a:t>-25%</a:t>
          </a:fld>
          <a:endParaRPr lang="en-US" sz="16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390525</xdr:colOff>
      <xdr:row>37</xdr:row>
      <xdr:rowOff>190475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1321CA6-AC31-4DF8-8B0B-52FCC55C3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72925" cy="7238975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21</xdr:row>
      <xdr:rowOff>47625</xdr:rowOff>
    </xdr:from>
    <xdr:to>
      <xdr:col>13</xdr:col>
      <xdr:colOff>504824</xdr:colOff>
      <xdr:row>38</xdr:row>
      <xdr:rowOff>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E71528A1-4C35-A74C-A003-F22FF92BCA8F}"/>
            </a:ext>
          </a:extLst>
        </xdr:cNvPr>
        <xdr:cNvSpPr txBox="1"/>
      </xdr:nvSpPr>
      <xdr:spPr>
        <a:xfrm>
          <a:off x="733425" y="4048125"/>
          <a:ext cx="7696199" cy="3190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0" b="1">
              <a:ln>
                <a:solidFill>
                  <a:srgbClr val="12239E"/>
                </a:solidFill>
              </a:ln>
              <a:solidFill>
                <a:schemeClr val="bg1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Obrigada!</a:t>
          </a:r>
        </a:p>
      </xdr:txBody>
    </xdr:sp>
    <xdr:clientData/>
  </xdr:twoCellAnchor>
  <xdr:twoCellAnchor editAs="oneCell">
    <xdr:from>
      <xdr:col>18</xdr:col>
      <xdr:colOff>174172</xdr:colOff>
      <xdr:row>33</xdr:row>
      <xdr:rowOff>38100</xdr:rowOff>
    </xdr:from>
    <xdr:to>
      <xdr:col>18</xdr:col>
      <xdr:colOff>534412</xdr:colOff>
      <xdr:row>35</xdr:row>
      <xdr:rowOff>35483</xdr:rowOff>
    </xdr:to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6A03AA-00B5-482D-A61A-008EC2AC4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6972" y="6324600"/>
          <a:ext cx="360240" cy="378383"/>
        </a:xfrm>
        <a:prstGeom prst="rect">
          <a:avLst/>
        </a:prstGeom>
      </xdr:spPr>
    </xdr:pic>
    <xdr:clientData/>
  </xdr:twoCellAnchor>
  <xdr:oneCellAnchor>
    <xdr:from>
      <xdr:col>18</xdr:col>
      <xdr:colOff>38100</xdr:colOff>
      <xdr:row>35</xdr:row>
      <xdr:rowOff>38100</xdr:rowOff>
    </xdr:from>
    <xdr:ext cx="866775" cy="311496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876178ED-7550-4419-9B88-F09C5FAF5B2B}"/>
            </a:ext>
          </a:extLst>
        </xdr:cNvPr>
        <xdr:cNvSpPr txBox="1"/>
      </xdr:nvSpPr>
      <xdr:spPr>
        <a:xfrm>
          <a:off x="11010900" y="6705600"/>
          <a:ext cx="8667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Anterior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962025</xdr:colOff>
      <xdr:row>204</xdr:row>
      <xdr:rowOff>14287</xdr:rowOff>
    </xdr:from>
    <xdr:to>
      <xdr:col>10</xdr:col>
      <xdr:colOff>304800</xdr:colOff>
      <xdr:row>218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DF8205A-506D-40D2-605F-768EEE38D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774686</xdr:colOff>
      <xdr:row>1</xdr:row>
      <xdr:rowOff>81979</xdr:rowOff>
    </xdr:from>
    <xdr:to>
      <xdr:col>21</xdr:col>
      <xdr:colOff>197702</xdr:colOff>
      <xdr:row>19</xdr:row>
      <xdr:rowOff>185869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5C26DC-D50C-7446-8F1C-B72EBEC73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212915</xdr:colOff>
      <xdr:row>21</xdr:row>
      <xdr:rowOff>72884</xdr:rowOff>
    </xdr:from>
    <xdr:to>
      <xdr:col>23</xdr:col>
      <xdr:colOff>391346</xdr:colOff>
      <xdr:row>35</xdr:row>
      <xdr:rowOff>151111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8789D7-3EE4-28A0-FC0F-3AE753719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779073</xdr:colOff>
      <xdr:row>36</xdr:row>
      <xdr:rowOff>157854</xdr:rowOff>
    </xdr:from>
    <xdr:to>
      <xdr:col>15</xdr:col>
      <xdr:colOff>582676</xdr:colOff>
      <xdr:row>51</xdr:row>
      <xdr:rowOff>46441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7A6C9B-A5BF-A0E3-D51E-B62CF2D75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835025</xdr:colOff>
      <xdr:row>3</xdr:row>
      <xdr:rowOff>110548</xdr:rowOff>
    </xdr:from>
    <xdr:to>
      <xdr:col>4</xdr:col>
      <xdr:colOff>717261</xdr:colOff>
      <xdr:row>16</xdr:row>
      <xdr:rowOff>158173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teriaPrima">
              <a:extLst>
                <a:ext uri="{FF2B5EF4-FFF2-40B4-BE49-F238E27FC236}">
                  <a16:creationId xmlns:a16="http://schemas.microsoft.com/office/drawing/2014/main" id="{406AD961-8FB8-44CC-9B7C-FA80E55B19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teriaPri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6389" y="687821"/>
              <a:ext cx="1830531" cy="24866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195984</xdr:colOff>
      <xdr:row>0</xdr:row>
      <xdr:rowOff>201179</xdr:rowOff>
    </xdr:from>
    <xdr:to>
      <xdr:col>7</xdr:col>
      <xdr:colOff>531090</xdr:colOff>
      <xdr:row>14</xdr:row>
      <xdr:rowOff>46758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Localizacao 1">
              <a:extLst>
                <a:ext uri="{FF2B5EF4-FFF2-40B4-BE49-F238E27FC236}">
                  <a16:creationId xmlns:a16="http://schemas.microsoft.com/office/drawing/2014/main" id="{677C11AB-EE19-CEC2-344A-081CB7BA96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zaca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1779" y="201179"/>
              <a:ext cx="1836015" cy="24866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488950</xdr:colOff>
      <xdr:row>1</xdr:row>
      <xdr:rowOff>42718</xdr:rowOff>
    </xdr:from>
    <xdr:to>
      <xdr:col>9</xdr:col>
      <xdr:colOff>695903</xdr:colOff>
      <xdr:row>14</xdr:row>
      <xdr:rowOff>90342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ituacao 1">
              <a:extLst>
                <a:ext uri="{FF2B5EF4-FFF2-40B4-BE49-F238E27FC236}">
                  <a16:creationId xmlns:a16="http://schemas.microsoft.com/office/drawing/2014/main" id="{31DB3533-9005-8954-E600-6129D00655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a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3836" y="244763"/>
              <a:ext cx="1823316" cy="24866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795192</xdr:colOff>
      <xdr:row>36</xdr:row>
      <xdr:rowOff>71581</xdr:rowOff>
    </xdr:from>
    <xdr:to>
      <xdr:col>7</xdr:col>
      <xdr:colOff>734578</xdr:colOff>
      <xdr:row>51</xdr:row>
      <xdr:rowOff>577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0A5D048-C7FC-01CA-CBCA-E57BBE883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151244</xdr:colOff>
      <xdr:row>21</xdr:row>
      <xdr:rowOff>166832</xdr:rowOff>
    </xdr:from>
    <xdr:to>
      <xdr:col>12</xdr:col>
      <xdr:colOff>338857</xdr:colOff>
      <xdr:row>29</xdr:row>
      <xdr:rowOff>37523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Data 4">
              <a:extLst>
                <a:ext uri="{FF2B5EF4-FFF2-40B4-BE49-F238E27FC236}">
                  <a16:creationId xmlns:a16="http://schemas.microsoft.com/office/drawing/2014/main" id="{CD159E75-4D2B-6184-9226-67E2A49E5F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8858" y="41211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2</xdr:col>
      <xdr:colOff>1170419</xdr:colOff>
      <xdr:row>19</xdr:row>
      <xdr:rowOff>42718</xdr:rowOff>
    </xdr:from>
    <xdr:to>
      <xdr:col>7</xdr:col>
      <xdr:colOff>316056</xdr:colOff>
      <xdr:row>33</xdr:row>
      <xdr:rowOff>159327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5D00890-4FD0-0B7C-A361-55DF806FD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506555</xdr:colOff>
      <xdr:row>52</xdr:row>
      <xdr:rowOff>100445</xdr:rowOff>
    </xdr:from>
    <xdr:to>
      <xdr:col>22</xdr:col>
      <xdr:colOff>229465</xdr:colOff>
      <xdr:row>67</xdr:row>
      <xdr:rowOff>29441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1343168-93BA-71BD-6C2A-90BA9B427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102465</xdr:colOff>
      <xdr:row>55</xdr:row>
      <xdr:rowOff>114876</xdr:rowOff>
    </xdr:from>
    <xdr:to>
      <xdr:col>12</xdr:col>
      <xdr:colOff>301624</xdr:colOff>
      <xdr:row>70</xdr:row>
      <xdr:rowOff>43872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A697A9D-04DC-F13F-100C-86EE486B8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347807</xdr:colOff>
      <xdr:row>76</xdr:row>
      <xdr:rowOff>86014</xdr:rowOff>
    </xdr:from>
    <xdr:to>
      <xdr:col>14</xdr:col>
      <xdr:colOff>27420</xdr:colOff>
      <xdr:row>91</xdr:row>
      <xdr:rowOff>15009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BB019A4-2800-17B2-69BD-504448F17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17</xdr:row>
      <xdr:rowOff>103187</xdr:rowOff>
    </xdr:from>
    <xdr:to>
      <xdr:col>14</xdr:col>
      <xdr:colOff>336550</xdr:colOff>
      <xdr:row>31</xdr:row>
      <xdr:rowOff>179387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159CEB-84CF-0582-F72B-392DBF222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17</xdr:row>
      <xdr:rowOff>106362</xdr:rowOff>
    </xdr:from>
    <xdr:to>
      <xdr:col>22</xdr:col>
      <xdr:colOff>584200</xdr:colOff>
      <xdr:row>31</xdr:row>
      <xdr:rowOff>182562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EC61786-A709-C4F0-4348-6899F8995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352425</xdr:colOff>
      <xdr:row>34</xdr:row>
      <xdr:rowOff>20637</xdr:rowOff>
    </xdr:from>
    <xdr:to>
      <xdr:col>33</xdr:col>
      <xdr:colOff>152400</xdr:colOff>
      <xdr:row>48</xdr:row>
      <xdr:rowOff>96837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6E5E041-1EBB-21F5-879E-7E9ED8083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307975</xdr:colOff>
      <xdr:row>58</xdr:row>
      <xdr:rowOff>17462</xdr:rowOff>
    </xdr:from>
    <xdr:to>
      <xdr:col>23</xdr:col>
      <xdr:colOff>269875</xdr:colOff>
      <xdr:row>72</xdr:row>
      <xdr:rowOff>93662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29AFA9-CBBE-BFB3-1095-BC5B0DE68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339725</xdr:colOff>
      <xdr:row>1</xdr:row>
      <xdr:rowOff>127000</xdr:rowOff>
    </xdr:from>
    <xdr:to>
      <xdr:col>14</xdr:col>
      <xdr:colOff>358775</xdr:colOff>
      <xdr:row>14</xdr:row>
      <xdr:rowOff>174625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usto 1">
              <a:extLst>
                <a:ext uri="{FF2B5EF4-FFF2-40B4-BE49-F238E27FC236}">
                  <a16:creationId xmlns:a16="http://schemas.microsoft.com/office/drawing/2014/main" id="{FC0320E3-6E2B-64D7-5B35-E2A3DBE4F9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86975" y="3333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180975</xdr:colOff>
      <xdr:row>1</xdr:row>
      <xdr:rowOff>15875</xdr:rowOff>
    </xdr:from>
    <xdr:to>
      <xdr:col>7</xdr:col>
      <xdr:colOff>200025</xdr:colOff>
      <xdr:row>14</xdr:row>
      <xdr:rowOff>63500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Localizacao 3">
              <a:extLst>
                <a:ext uri="{FF2B5EF4-FFF2-40B4-BE49-F238E27FC236}">
                  <a16:creationId xmlns:a16="http://schemas.microsoft.com/office/drawing/2014/main" id="{AB294389-FD79-1EBB-F35A-9407346B44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zaca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05475" y="2222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384175</xdr:colOff>
      <xdr:row>1</xdr:row>
      <xdr:rowOff>79375</xdr:rowOff>
    </xdr:from>
    <xdr:to>
      <xdr:col>10</xdr:col>
      <xdr:colOff>400050</xdr:colOff>
      <xdr:row>14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Fornecedor 1">
              <a:extLst>
                <a:ext uri="{FF2B5EF4-FFF2-40B4-BE49-F238E27FC236}">
                  <a16:creationId xmlns:a16="http://schemas.microsoft.com/office/drawing/2014/main" id="{089ECC82-E090-19D4-057A-9DD19B3467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nec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8425" y="285750"/>
              <a:ext cx="18256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539750</xdr:colOff>
      <xdr:row>1</xdr:row>
      <xdr:rowOff>31750</xdr:rowOff>
    </xdr:from>
    <xdr:to>
      <xdr:col>19</xdr:col>
      <xdr:colOff>15875</xdr:colOff>
      <xdr:row>8</xdr:row>
      <xdr:rowOff>69850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Data 3">
              <a:extLst>
                <a:ext uri="{FF2B5EF4-FFF2-40B4-BE49-F238E27FC236}">
                  <a16:creationId xmlns:a16="http://schemas.microsoft.com/office/drawing/2014/main" id="{609394A6-AD96-09DD-97B3-9867697D99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000" y="238125"/>
              <a:ext cx="18891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5</xdr:col>
      <xdr:colOff>158750</xdr:colOff>
      <xdr:row>41</xdr:row>
      <xdr:rowOff>49212</xdr:rowOff>
    </xdr:from>
    <xdr:to>
      <xdr:col>12</xdr:col>
      <xdr:colOff>508000</xdr:colOff>
      <xdr:row>55</xdr:row>
      <xdr:rowOff>125412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0D85D0C-C5DA-63F7-F011-A23906496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476250</xdr:colOff>
      <xdr:row>37</xdr:row>
      <xdr:rowOff>80962</xdr:rowOff>
    </xdr:from>
    <xdr:to>
      <xdr:col>21</xdr:col>
      <xdr:colOff>587375</xdr:colOff>
      <xdr:row>51</xdr:row>
      <xdr:rowOff>157162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31558E1-1318-BC80-C35B-29253BAF9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31750</xdr:colOff>
      <xdr:row>76</xdr:row>
      <xdr:rowOff>144462</xdr:rowOff>
    </xdr:from>
    <xdr:to>
      <xdr:col>11</xdr:col>
      <xdr:colOff>381000</xdr:colOff>
      <xdr:row>91</xdr:row>
      <xdr:rowOff>30162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EEF1CA-4D7C-C111-87E9-6A74B81B2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285750</xdr:colOff>
      <xdr:row>14</xdr:row>
      <xdr:rowOff>176212</xdr:rowOff>
    </xdr:from>
    <xdr:to>
      <xdr:col>32</xdr:col>
      <xdr:colOff>31750</xdr:colOff>
      <xdr:row>29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52B1602-0D11-9810-014A-EE7303E1B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63500</xdr:colOff>
      <xdr:row>99</xdr:row>
      <xdr:rowOff>160337</xdr:rowOff>
    </xdr:from>
    <xdr:to>
      <xdr:col>21</xdr:col>
      <xdr:colOff>412750</xdr:colOff>
      <xdr:row>114</xdr:row>
      <xdr:rowOff>46037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33326D2-5DF6-31A4-D340-58C964722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421481</xdr:colOff>
      <xdr:row>2</xdr:row>
      <xdr:rowOff>83939</xdr:rowOff>
    </xdr:from>
    <xdr:to>
      <xdr:col>26</xdr:col>
      <xdr:colOff>116681</xdr:colOff>
      <xdr:row>16</xdr:row>
      <xdr:rowOff>163116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3BB921-03A3-039F-CBF8-18076C6F3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482798</xdr:colOff>
      <xdr:row>18</xdr:row>
      <xdr:rowOff>142875</xdr:rowOff>
    </xdr:from>
    <xdr:to>
      <xdr:col>26</xdr:col>
      <xdr:colOff>177999</xdr:colOff>
      <xdr:row>33</xdr:row>
      <xdr:rowOff>25597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B549F2-049B-70BC-054F-CB004138B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364927</xdr:colOff>
      <xdr:row>18</xdr:row>
      <xdr:rowOff>180975</xdr:rowOff>
    </xdr:from>
    <xdr:to>
      <xdr:col>9</xdr:col>
      <xdr:colOff>574477</xdr:colOff>
      <xdr:row>33</xdr:row>
      <xdr:rowOff>63698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B0DD94-1496-D885-D972-F2D7DCC98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123825</xdr:colOff>
      <xdr:row>17</xdr:row>
      <xdr:rowOff>95250</xdr:rowOff>
    </xdr:from>
    <xdr:to>
      <xdr:col>17</xdr:col>
      <xdr:colOff>428625</xdr:colOff>
      <xdr:row>31</xdr:row>
      <xdr:rowOff>171450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36255FF2-52CB-4483-ABFA-44D58BF1D6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53650" y="3352800"/>
              <a:ext cx="48101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8335</xdr:colOff>
      <xdr:row>2</xdr:row>
      <xdr:rowOff>107156</xdr:rowOff>
    </xdr:from>
    <xdr:to>
      <xdr:col>6</xdr:col>
      <xdr:colOff>111053</xdr:colOff>
      <xdr:row>15</xdr:row>
      <xdr:rowOff>154782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quipamento">
              <a:extLst>
                <a:ext uri="{FF2B5EF4-FFF2-40B4-BE49-F238E27FC236}">
                  <a16:creationId xmlns:a16="http://schemas.microsoft.com/office/drawing/2014/main" id="{7F3240F5-A036-649E-0A7E-3155A38F1A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quip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7244" y="522792"/>
              <a:ext cx="1817218" cy="25241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316706</xdr:colOff>
      <xdr:row>2</xdr:row>
      <xdr:rowOff>97035</xdr:rowOff>
    </xdr:from>
    <xdr:to>
      <xdr:col>10</xdr:col>
      <xdr:colOff>23272</xdr:colOff>
      <xdr:row>15</xdr:row>
      <xdr:rowOff>147637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ipoDeManutencao">
              <a:extLst>
                <a:ext uri="{FF2B5EF4-FFF2-40B4-BE49-F238E27FC236}">
                  <a16:creationId xmlns:a16="http://schemas.microsoft.com/office/drawing/2014/main" id="{A1291FBC-9E00-FF13-8E54-D28EAEBEF8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DeManutenca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4024" y="512671"/>
              <a:ext cx="1836702" cy="25271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67270</xdr:colOff>
      <xdr:row>2</xdr:row>
      <xdr:rowOff>95250</xdr:rowOff>
    </xdr:from>
    <xdr:to>
      <xdr:col>13</xdr:col>
      <xdr:colOff>420074</xdr:colOff>
      <xdr:row>15</xdr:row>
      <xdr:rowOff>142876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Localizacao 2">
              <a:extLst>
                <a:ext uri="{FF2B5EF4-FFF2-40B4-BE49-F238E27FC236}">
                  <a16:creationId xmlns:a16="http://schemas.microsoft.com/office/drawing/2014/main" id="{F2429EC5-19E0-A9D6-4C68-EE2C003DE0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zaca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9270" y="510886"/>
              <a:ext cx="1824849" cy="25241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364926</xdr:colOff>
      <xdr:row>2</xdr:row>
      <xdr:rowOff>14884</xdr:rowOff>
    </xdr:from>
    <xdr:to>
      <xdr:col>17</xdr:col>
      <xdr:colOff>249652</xdr:colOff>
      <xdr:row>15</xdr:row>
      <xdr:rowOff>62509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Fornecedor">
              <a:extLst>
                <a:ext uri="{FF2B5EF4-FFF2-40B4-BE49-F238E27FC236}">
                  <a16:creationId xmlns:a16="http://schemas.microsoft.com/office/drawing/2014/main" id="{61C5FB91-0807-1CB2-C170-1A47557674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nec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33971" y="430520"/>
              <a:ext cx="1824362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128587</xdr:colOff>
      <xdr:row>34</xdr:row>
      <xdr:rowOff>156568</xdr:rowOff>
    </xdr:from>
    <xdr:to>
      <xdr:col>25</xdr:col>
      <xdr:colOff>515271</xdr:colOff>
      <xdr:row>41</xdr:row>
      <xdr:rowOff>173832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Data 2">
              <a:extLst>
                <a:ext uri="{FF2B5EF4-FFF2-40B4-BE49-F238E27FC236}">
                  <a16:creationId xmlns:a16="http://schemas.microsoft.com/office/drawing/2014/main" id="{AE520AAE-42AB-F27D-B606-A4B412E4C0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34451" y="6668204"/>
              <a:ext cx="3313456" cy="13507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4</xdr:col>
      <xdr:colOff>467320</xdr:colOff>
      <xdr:row>50</xdr:row>
      <xdr:rowOff>79474</xdr:rowOff>
    </xdr:from>
    <xdr:to>
      <xdr:col>12</xdr:col>
      <xdr:colOff>157758</xdr:colOff>
      <xdr:row>64</xdr:row>
      <xdr:rowOff>114002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B2A2815-ABE2-8524-3167-8B4B740FC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103909</xdr:colOff>
      <xdr:row>49</xdr:row>
      <xdr:rowOff>48492</xdr:rowOff>
    </xdr:from>
    <xdr:to>
      <xdr:col>21</xdr:col>
      <xdr:colOff>242455</xdr:colOff>
      <xdr:row>63</xdr:row>
      <xdr:rowOff>124692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A05F91A-37F3-705A-F456-31DAB3425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403991</xdr:colOff>
      <xdr:row>0</xdr:row>
      <xdr:rowOff>94264</xdr:rowOff>
    </xdr:from>
    <xdr:to>
      <xdr:col>6</xdr:col>
      <xdr:colOff>212834</xdr:colOff>
      <xdr:row>13</xdr:row>
      <xdr:rowOff>141888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usto">
              <a:extLst>
                <a:ext uri="{FF2B5EF4-FFF2-40B4-BE49-F238E27FC236}">
                  <a16:creationId xmlns:a16="http://schemas.microsoft.com/office/drawing/2014/main" id="{F2428853-2A39-5B80-BDD0-A7A52F436E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64163" y="94264"/>
              <a:ext cx="1828800" cy="26095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770211</xdr:colOff>
      <xdr:row>2</xdr:row>
      <xdr:rowOff>65690</xdr:rowOff>
    </xdr:from>
    <xdr:to>
      <xdr:col>14</xdr:col>
      <xdr:colOff>757730</xdr:colOff>
      <xdr:row>16</xdr:row>
      <xdr:rowOff>132366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A44159-EAB2-4A38-8812-F5EC95781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806341</xdr:colOff>
      <xdr:row>18</xdr:row>
      <xdr:rowOff>100505</xdr:rowOff>
    </xdr:from>
    <xdr:to>
      <xdr:col>14</xdr:col>
      <xdr:colOff>739009</xdr:colOff>
      <xdr:row>32</xdr:row>
      <xdr:rowOff>183274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BFE3BE-5EA3-2A36-3BE3-4F5529907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206594</xdr:colOff>
      <xdr:row>17</xdr:row>
      <xdr:rowOff>16751</xdr:rowOff>
    </xdr:from>
    <xdr:to>
      <xdr:col>8</xdr:col>
      <xdr:colOff>835244</xdr:colOff>
      <xdr:row>31</xdr:row>
      <xdr:rowOff>99519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451E36-235F-D049-15DC-684BBCBD6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630621</xdr:colOff>
      <xdr:row>0</xdr:row>
      <xdr:rowOff>125468</xdr:rowOff>
    </xdr:from>
    <xdr:to>
      <xdr:col>8</xdr:col>
      <xdr:colOff>497928</xdr:colOff>
      <xdr:row>13</xdr:row>
      <xdr:rowOff>173092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Localizacao 4">
              <a:extLst>
                <a:ext uri="{FF2B5EF4-FFF2-40B4-BE49-F238E27FC236}">
                  <a16:creationId xmlns:a16="http://schemas.microsoft.com/office/drawing/2014/main" id="{EB8A401D-D474-A7AE-7002-88ECFA4ABC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zaca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4328" y="125468"/>
              <a:ext cx="1821574" cy="26095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403334</xdr:colOff>
      <xdr:row>36</xdr:row>
      <xdr:rowOff>50910</xdr:rowOff>
    </xdr:from>
    <xdr:to>
      <xdr:col>8</xdr:col>
      <xdr:colOff>698938</xdr:colOff>
      <xdr:row>43</xdr:row>
      <xdr:rowOff>43027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Data 8">
              <a:extLst>
                <a:ext uri="{FF2B5EF4-FFF2-40B4-BE49-F238E27FC236}">
                  <a16:creationId xmlns:a16="http://schemas.microsoft.com/office/drawing/2014/main" id="{C8AEB5BF-80B8-E3FC-CA77-E0A15A0E07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8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03679" y="7145393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9</xdr:col>
      <xdr:colOff>883526</xdr:colOff>
      <xdr:row>34</xdr:row>
      <xdr:rowOff>137948</xdr:rowOff>
    </xdr:from>
    <xdr:to>
      <xdr:col>14</xdr:col>
      <xdr:colOff>709448</xdr:colOff>
      <xdr:row>48</xdr:row>
      <xdr:rowOff>131708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60416F4-09D4-671B-B234-0FE8A57D6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850681</xdr:colOff>
      <xdr:row>50</xdr:row>
      <xdr:rowOff>131049</xdr:rowOff>
    </xdr:from>
    <xdr:to>
      <xdr:col>14</xdr:col>
      <xdr:colOff>722586</xdr:colOff>
      <xdr:row>63</xdr:row>
      <xdr:rowOff>98533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52AD479-23B1-0DC0-946A-26F12A2D1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19049</xdr:colOff>
      <xdr:row>9</xdr:row>
      <xdr:rowOff>57150</xdr:rowOff>
    </xdr:from>
    <xdr:to>
      <xdr:col>6</xdr:col>
      <xdr:colOff>631824</xdr:colOff>
      <xdr:row>16</xdr:row>
      <xdr:rowOff>95250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Ano">
              <a:extLst>
                <a:ext uri="{FF2B5EF4-FFF2-40B4-BE49-F238E27FC236}">
                  <a16:creationId xmlns:a16="http://schemas.microsoft.com/office/drawing/2014/main" id="{639CFF6F-23AB-AFB6-9156-7E20EFA7E8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9882" y="1771650"/>
              <a:ext cx="1798108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18</xdr:col>
      <xdr:colOff>172003</xdr:colOff>
      <xdr:row>35</xdr:row>
      <xdr:rowOff>128815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3A428DF-B87A-42B3-9BC7-5A577ECC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11135278" cy="6796315"/>
        </a:xfrm>
        <a:prstGeom prst="rect">
          <a:avLst/>
        </a:prstGeom>
      </xdr:spPr>
    </xdr:pic>
    <xdr:clientData/>
  </xdr:twoCellAnchor>
  <xdr:twoCellAnchor>
    <xdr:from>
      <xdr:col>1</xdr:col>
      <xdr:colOff>104775</xdr:colOff>
      <xdr:row>9</xdr:row>
      <xdr:rowOff>95250</xdr:rowOff>
    </xdr:from>
    <xdr:to>
      <xdr:col>8</xdr:col>
      <xdr:colOff>260350</xdr:colOff>
      <xdr:row>16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901C59-D5CA-4EA1-A58E-EDD84BEA4F9A}"/>
            </a:ext>
          </a:extLst>
        </xdr:cNvPr>
        <xdr:cNvSpPr/>
      </xdr:nvSpPr>
      <xdr:spPr>
        <a:xfrm>
          <a:off x="714375" y="1809750"/>
          <a:ext cx="4422775" cy="1352550"/>
        </a:xfrm>
        <a:prstGeom prst="roundRect">
          <a:avLst/>
        </a:prstGeom>
        <a:gradFill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  <a:alpha val="21000"/>
              </a:schemeClr>
            </a:gs>
            <a:gs pos="100000">
              <a:schemeClr val="accent1">
                <a:shade val="100000"/>
                <a:satMod val="115000"/>
                <a:alpha val="0"/>
              </a:scheme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</xdr:txBody>
    </xdr:sp>
    <xdr:clientData/>
  </xdr:twoCellAnchor>
  <xdr:oneCellAnchor>
    <xdr:from>
      <xdr:col>4</xdr:col>
      <xdr:colOff>479425</xdr:colOff>
      <xdr:row>10</xdr:row>
      <xdr:rowOff>123825</xdr:rowOff>
    </xdr:from>
    <xdr:ext cx="2003425" cy="843693"/>
    <xdr:sp macro="" textlink="">
      <xdr:nvSpPr>
        <xdr:cNvPr id="5" name="CaixaDeText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0B9DCF-21DD-4AE9-BD6E-4BBE683DD57A}"/>
            </a:ext>
          </a:extLst>
        </xdr:cNvPr>
        <xdr:cNvSpPr txBox="1"/>
      </xdr:nvSpPr>
      <xdr:spPr>
        <a:xfrm>
          <a:off x="2917825" y="2028825"/>
          <a:ext cx="2003425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Custo Produto Acabado</a:t>
          </a:r>
        </a:p>
      </xdr:txBody>
    </xdr:sp>
    <xdr:clientData/>
  </xdr:oneCellAnchor>
  <xdr:twoCellAnchor>
    <xdr:from>
      <xdr:col>1</xdr:col>
      <xdr:colOff>117475</xdr:colOff>
      <xdr:row>17</xdr:row>
      <xdr:rowOff>168275</xdr:rowOff>
    </xdr:from>
    <xdr:to>
      <xdr:col>8</xdr:col>
      <xdr:colOff>273050</xdr:colOff>
      <xdr:row>25</xdr:row>
      <xdr:rowOff>9525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B43F83C-6A1D-475D-A2A9-C491D4F5BA63}"/>
            </a:ext>
          </a:extLst>
        </xdr:cNvPr>
        <xdr:cNvSpPr/>
      </xdr:nvSpPr>
      <xdr:spPr>
        <a:xfrm>
          <a:off x="727075" y="3406775"/>
          <a:ext cx="4422775" cy="1365250"/>
        </a:xfrm>
        <a:prstGeom prst="roundRect">
          <a:avLst/>
        </a:prstGeom>
        <a:gradFill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  <a:alpha val="21000"/>
              </a:schemeClr>
            </a:gs>
            <a:gs pos="100000">
              <a:schemeClr val="accent1">
                <a:shade val="100000"/>
                <a:satMod val="115000"/>
                <a:alpha val="0"/>
              </a:scheme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</xdr:txBody>
    </xdr:sp>
    <xdr:clientData/>
  </xdr:twoCellAnchor>
  <xdr:oneCellAnchor>
    <xdr:from>
      <xdr:col>4</xdr:col>
      <xdr:colOff>476250</xdr:colOff>
      <xdr:row>19</xdr:row>
      <xdr:rowOff>19050</xdr:rowOff>
    </xdr:from>
    <xdr:ext cx="2003425" cy="843693"/>
    <xdr:sp macro="" textlink="">
      <xdr:nvSpPr>
        <xdr:cNvPr id="7" name="CaixaDeText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E10230-5F5C-42FF-83E8-5F97143E6555}"/>
            </a:ext>
          </a:extLst>
        </xdr:cNvPr>
        <xdr:cNvSpPr txBox="1"/>
      </xdr:nvSpPr>
      <xdr:spPr>
        <a:xfrm>
          <a:off x="2914650" y="3638550"/>
          <a:ext cx="2003425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Custo Matéria</a:t>
          </a:r>
          <a:r>
            <a:rPr lang="pt-BR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Prima</a:t>
          </a:r>
          <a:endParaRPr lang="pt-BR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>
    <xdr:from>
      <xdr:col>1</xdr:col>
      <xdr:colOff>104775</xdr:colOff>
      <xdr:row>26</xdr:row>
      <xdr:rowOff>44450</xdr:rowOff>
    </xdr:from>
    <xdr:to>
      <xdr:col>8</xdr:col>
      <xdr:colOff>260350</xdr:colOff>
      <xdr:row>33</xdr:row>
      <xdr:rowOff>66675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72612CCF-B9D7-437F-83B5-9113746EA832}"/>
            </a:ext>
          </a:extLst>
        </xdr:cNvPr>
        <xdr:cNvSpPr/>
      </xdr:nvSpPr>
      <xdr:spPr>
        <a:xfrm>
          <a:off x="714375" y="4997450"/>
          <a:ext cx="4422775" cy="1355725"/>
        </a:xfrm>
        <a:prstGeom prst="roundRect">
          <a:avLst/>
        </a:prstGeom>
        <a:gradFill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  <a:alpha val="21000"/>
              </a:schemeClr>
            </a:gs>
            <a:gs pos="100000">
              <a:schemeClr val="accent1">
                <a:shade val="100000"/>
                <a:satMod val="115000"/>
                <a:alpha val="0"/>
              </a:scheme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</xdr:txBody>
    </xdr:sp>
    <xdr:clientData/>
  </xdr:twoCellAnchor>
  <xdr:oneCellAnchor>
    <xdr:from>
      <xdr:col>4</xdr:col>
      <xdr:colOff>249116</xdr:colOff>
      <xdr:row>28</xdr:row>
      <xdr:rowOff>87924</xdr:rowOff>
    </xdr:from>
    <xdr:ext cx="2251564" cy="468013"/>
    <xdr:sp macro="" textlink="">
      <xdr:nvSpPr>
        <xdr:cNvPr id="9" name="CaixaDeText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0011C61-2F13-4C39-BF6A-5D3A19255BB1}"/>
            </a:ext>
          </a:extLst>
        </xdr:cNvPr>
        <xdr:cNvSpPr txBox="1"/>
      </xdr:nvSpPr>
      <xdr:spPr>
        <a:xfrm>
          <a:off x="2710962" y="5421924"/>
          <a:ext cx="225156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Custo Predial</a:t>
          </a:r>
        </a:p>
      </xdr:txBody>
    </xdr:sp>
    <xdr:clientData/>
  </xdr:oneCellAnchor>
  <xdr:twoCellAnchor>
    <xdr:from>
      <xdr:col>9</xdr:col>
      <xdr:colOff>349250</xdr:colOff>
      <xdr:row>9</xdr:row>
      <xdr:rowOff>92075</xdr:rowOff>
    </xdr:from>
    <xdr:to>
      <xdr:col>16</xdr:col>
      <xdr:colOff>508000</xdr:colOff>
      <xdr:row>16</xdr:row>
      <xdr:rowOff>111125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6446DBA0-324A-431C-B7B3-B60E00D6CD2A}"/>
            </a:ext>
          </a:extLst>
        </xdr:cNvPr>
        <xdr:cNvSpPr/>
      </xdr:nvSpPr>
      <xdr:spPr>
        <a:xfrm>
          <a:off x="5835650" y="1806575"/>
          <a:ext cx="4425950" cy="1352550"/>
        </a:xfrm>
        <a:prstGeom prst="roundRect">
          <a:avLst/>
        </a:prstGeom>
        <a:gradFill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  <a:alpha val="21000"/>
              </a:schemeClr>
            </a:gs>
            <a:gs pos="100000">
              <a:schemeClr val="accent1">
                <a:shade val="100000"/>
                <a:satMod val="115000"/>
                <a:alpha val="0"/>
              </a:scheme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</xdr:txBody>
    </xdr:sp>
    <xdr:clientData/>
  </xdr:twoCellAnchor>
  <xdr:oneCellAnchor>
    <xdr:from>
      <xdr:col>13</xdr:col>
      <xdr:colOff>133350</xdr:colOff>
      <xdr:row>10</xdr:row>
      <xdr:rowOff>123825</xdr:rowOff>
    </xdr:from>
    <xdr:ext cx="2162175" cy="843693"/>
    <xdr:sp macro="" textlink="">
      <xdr:nvSpPr>
        <xdr:cNvPr id="11" name="CaixaDeText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0DE575F-81CF-4A1F-B0BF-316E1F4742E1}"/>
            </a:ext>
          </a:extLst>
        </xdr:cNvPr>
        <xdr:cNvSpPr txBox="1"/>
      </xdr:nvSpPr>
      <xdr:spPr>
        <a:xfrm>
          <a:off x="8058150" y="2028825"/>
          <a:ext cx="2162175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Custo</a:t>
          </a:r>
          <a:r>
            <a:rPr lang="pt-BR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de</a:t>
          </a:r>
          <a:r>
            <a:rPr lang="pt-BR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Equipamentos</a:t>
          </a:r>
        </a:p>
      </xdr:txBody>
    </xdr:sp>
    <xdr:clientData/>
  </xdr:oneCellAnchor>
  <xdr:twoCellAnchor>
    <xdr:from>
      <xdr:col>9</xdr:col>
      <xdr:colOff>365125</xdr:colOff>
      <xdr:row>17</xdr:row>
      <xdr:rowOff>171450</xdr:rowOff>
    </xdr:from>
    <xdr:to>
      <xdr:col>16</xdr:col>
      <xdr:colOff>520700</xdr:colOff>
      <xdr:row>25</xdr:row>
      <xdr:rowOff>9525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EE4844FD-A513-4B36-A801-104B6E01073D}"/>
            </a:ext>
          </a:extLst>
        </xdr:cNvPr>
        <xdr:cNvSpPr/>
      </xdr:nvSpPr>
      <xdr:spPr>
        <a:xfrm>
          <a:off x="5851525" y="3409950"/>
          <a:ext cx="4422775" cy="1362075"/>
        </a:xfrm>
        <a:prstGeom prst="roundRect">
          <a:avLst/>
        </a:prstGeom>
        <a:gradFill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  <a:alpha val="21000"/>
              </a:schemeClr>
            </a:gs>
            <a:gs pos="100000">
              <a:schemeClr val="accent1">
                <a:shade val="100000"/>
                <a:satMod val="115000"/>
                <a:alpha val="0"/>
              </a:scheme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</xdr:txBody>
    </xdr:sp>
    <xdr:clientData/>
  </xdr:twoCellAnchor>
  <xdr:oneCellAnchor>
    <xdr:from>
      <xdr:col>13</xdr:col>
      <xdr:colOff>142875</xdr:colOff>
      <xdr:row>19</xdr:row>
      <xdr:rowOff>19050</xdr:rowOff>
    </xdr:from>
    <xdr:ext cx="2003425" cy="843693"/>
    <xdr:sp macro="" textlink="">
      <xdr:nvSpPr>
        <xdr:cNvPr id="13" name="CaixaDeTexto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3206A96-D4FF-4BD2-8070-4FD1797895D5}"/>
            </a:ext>
          </a:extLst>
        </xdr:cNvPr>
        <xdr:cNvSpPr txBox="1"/>
      </xdr:nvSpPr>
      <xdr:spPr>
        <a:xfrm>
          <a:off x="8067675" y="3638550"/>
          <a:ext cx="2003425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Custo</a:t>
          </a:r>
        </a:p>
        <a:p>
          <a:r>
            <a:rPr lang="pt-BR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Estoque</a:t>
          </a:r>
          <a:r>
            <a:rPr lang="pt-BR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Geral</a:t>
          </a:r>
          <a:endParaRPr lang="pt-BR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>
    <xdr:from>
      <xdr:col>9</xdr:col>
      <xdr:colOff>349250</xdr:colOff>
      <xdr:row>26</xdr:row>
      <xdr:rowOff>47625</xdr:rowOff>
    </xdr:from>
    <xdr:to>
      <xdr:col>16</xdr:col>
      <xdr:colOff>508000</xdr:colOff>
      <xdr:row>33</xdr:row>
      <xdr:rowOff>63500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A4988A3E-B550-4D2B-B975-347733AC69F0}"/>
            </a:ext>
          </a:extLst>
        </xdr:cNvPr>
        <xdr:cNvSpPr/>
      </xdr:nvSpPr>
      <xdr:spPr>
        <a:xfrm>
          <a:off x="5835650" y="5000625"/>
          <a:ext cx="4425950" cy="1349375"/>
        </a:xfrm>
        <a:prstGeom prst="roundRect">
          <a:avLst/>
        </a:prstGeom>
        <a:gradFill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  <a:alpha val="21000"/>
              </a:schemeClr>
            </a:gs>
            <a:gs pos="100000">
              <a:schemeClr val="accent1">
                <a:shade val="100000"/>
                <a:satMod val="115000"/>
                <a:alpha val="0"/>
              </a:scheme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</xdr:txBody>
    </xdr:sp>
    <xdr:clientData/>
  </xdr:twoCellAnchor>
  <xdr:oneCellAnchor>
    <xdr:from>
      <xdr:col>12</xdr:col>
      <xdr:colOff>381000</xdr:colOff>
      <xdr:row>25</xdr:row>
      <xdr:rowOff>175846</xdr:rowOff>
    </xdr:from>
    <xdr:ext cx="3339124" cy="1496158"/>
    <xdr:sp macro="" textlink="">
      <xdr:nvSpPr>
        <xdr:cNvPr id="15" name="CaixaDeTexto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3BA7524-BCC2-4AD8-B1DC-E5B309763BD9}"/>
            </a:ext>
          </a:extLst>
        </xdr:cNvPr>
        <xdr:cNvSpPr txBox="1"/>
      </xdr:nvSpPr>
      <xdr:spPr>
        <a:xfrm>
          <a:off x="7766538" y="4938346"/>
          <a:ext cx="3339124" cy="14961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Custo</a:t>
          </a:r>
        </a:p>
        <a:p>
          <a:r>
            <a:rPr lang="pt-BR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Estoque</a:t>
          </a:r>
          <a:r>
            <a:rPr lang="pt-BR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Geral</a:t>
          </a:r>
        </a:p>
        <a:p>
          <a:r>
            <a:rPr lang="pt-BR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Comparativo</a:t>
          </a:r>
          <a:endParaRPr lang="pt-BR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10</xdr:col>
      <xdr:colOff>240393</xdr:colOff>
      <xdr:row>27</xdr:row>
      <xdr:rowOff>55939</xdr:rowOff>
    </xdr:from>
    <xdr:to>
      <xdr:col>11</xdr:col>
      <xdr:colOff>521299</xdr:colOff>
      <xdr:row>32</xdr:row>
      <xdr:rowOff>106129</xdr:rowOff>
    </xdr:to>
    <xdr:pic>
      <xdr:nvPicPr>
        <xdr:cNvPr id="16" name="Imagem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3A886F7-7DB3-4C9C-B870-9DFD3C629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rightnessContrast bright="100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6393" y="5199439"/>
          <a:ext cx="890506" cy="1002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63501</xdr:colOff>
      <xdr:row>17</xdr:row>
      <xdr:rowOff>74661</xdr:rowOff>
    </xdr:from>
    <xdr:to>
      <xdr:col>11</xdr:col>
      <xdr:colOff>569381</xdr:colOff>
      <xdr:row>24</xdr:row>
      <xdr:rowOff>163287</xdr:rowOff>
    </xdr:to>
    <xdr:pic>
      <xdr:nvPicPr>
        <xdr:cNvPr id="17" name="Imagem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81320FB-CEBF-4C61-B3E6-5E0723454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rightnessContrast bright="100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9501" y="3313161"/>
          <a:ext cx="1115480" cy="142212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482601</xdr:colOff>
      <xdr:row>10</xdr:row>
      <xdr:rowOff>7691</xdr:rowOff>
    </xdr:from>
    <xdr:to>
      <xdr:col>3</xdr:col>
      <xdr:colOff>205014</xdr:colOff>
      <xdr:row>15</xdr:row>
      <xdr:rowOff>136070</xdr:rowOff>
    </xdr:to>
    <xdr:pic>
      <xdr:nvPicPr>
        <xdr:cNvPr id="18" name="Imagem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68F72AA-97A3-42C0-895C-7B3D3F879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rightnessContrast bright="100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201" y="1912691"/>
          <a:ext cx="941613" cy="1080879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</xdr:col>
      <xdr:colOff>558197</xdr:colOff>
      <xdr:row>19</xdr:row>
      <xdr:rowOff>10582</xdr:rowOff>
    </xdr:from>
    <xdr:to>
      <xdr:col>3</xdr:col>
      <xdr:colOff>147562</xdr:colOff>
      <xdr:row>24</xdr:row>
      <xdr:rowOff>31750</xdr:rowOff>
    </xdr:to>
    <xdr:pic>
      <xdr:nvPicPr>
        <xdr:cNvPr id="19" name="Imagem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87D8029-1394-47A6-AC9E-BA33A685F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brightnessContrast bright="100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797" y="3630082"/>
          <a:ext cx="808565" cy="973668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</xdr:col>
      <xdr:colOff>558801</xdr:colOff>
      <xdr:row>27</xdr:row>
      <xdr:rowOff>148166</xdr:rowOff>
    </xdr:from>
    <xdr:to>
      <xdr:col>3</xdr:col>
      <xdr:colOff>214086</xdr:colOff>
      <xdr:row>32</xdr:row>
      <xdr:rowOff>158750</xdr:rowOff>
    </xdr:to>
    <xdr:pic>
      <xdr:nvPicPr>
        <xdr:cNvPr id="20" name="Imagem 1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54488F-0FF0-409B-8EA5-48FB2D1BC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sharpenSoften amount="50000"/>
                  </a14:imgEffect>
                  <a14:imgEffect>
                    <a14:brightnessContrast bright="100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401" y="5291666"/>
          <a:ext cx="874485" cy="96308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509815</xdr:colOff>
      <xdr:row>8</xdr:row>
      <xdr:rowOff>136070</xdr:rowOff>
    </xdr:from>
    <xdr:to>
      <xdr:col>12</xdr:col>
      <xdr:colOff>48986</xdr:colOff>
      <xdr:row>16</xdr:row>
      <xdr:rowOff>99785</xdr:rowOff>
    </xdr:to>
    <xdr:pic>
      <xdr:nvPicPr>
        <xdr:cNvPr id="21" name="Imagem 2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E27EA15-3D35-43BD-9795-3829F34B4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rightnessContrast bright="100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6215" y="1660070"/>
          <a:ext cx="1367971" cy="14877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to%20Integrador/Projeto_Grupo_7_Custo_Manuten&#231;&#227;o_de_Estoque%20-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DeCapitalPA"/>
      <sheetName val="CustoCapitalMP"/>
      <sheetName val="CustodoEspaço"/>
      <sheetName val="Custo Manutenção de equipamento"/>
      <sheetName val="Custo Estoque"/>
    </sheetNames>
    <sheetDataSet>
      <sheetData sheetId="0"/>
      <sheetData sheetId="1"/>
      <sheetData sheetId="2"/>
      <sheetData sheetId="3">
        <row r="1">
          <cell r="I1" t="str">
            <v>LocalFornecedor</v>
          </cell>
        </row>
        <row r="2">
          <cell r="I2" t="str">
            <v>Campinas</v>
          </cell>
        </row>
        <row r="3">
          <cell r="I3" t="str">
            <v>São José dos Campos</v>
          </cell>
        </row>
        <row r="4">
          <cell r="I4" t="str">
            <v>Taubate</v>
          </cell>
        </row>
        <row r="5">
          <cell r="I5" t="str">
            <v>São Paulo</v>
          </cell>
        </row>
        <row r="6">
          <cell r="I6" t="str">
            <v>Florianopolis</v>
          </cell>
        </row>
        <row r="7">
          <cell r="I7" t="str">
            <v>Belo Horizonte</v>
          </cell>
        </row>
        <row r="8">
          <cell r="I8" t="str">
            <v>Gavião Peixoto</v>
          </cell>
        </row>
        <row r="9">
          <cell r="I9" t="str">
            <v>Salvador</v>
          </cell>
        </row>
        <row r="10">
          <cell r="I10" t="str">
            <v>Rio De Janeiro</v>
          </cell>
        </row>
        <row r="11">
          <cell r="I11" t="str">
            <v>Florianopolis</v>
          </cell>
        </row>
        <row r="12">
          <cell r="I12" t="str">
            <v>Rio De Janeiro</v>
          </cell>
        </row>
        <row r="13">
          <cell r="I13" t="str">
            <v>Campinas</v>
          </cell>
        </row>
        <row r="14">
          <cell r="I14" t="str">
            <v>Taubate</v>
          </cell>
        </row>
        <row r="15">
          <cell r="I15" t="str">
            <v>São Paulo</v>
          </cell>
        </row>
        <row r="16">
          <cell r="I16" t="str">
            <v>São Paulo</v>
          </cell>
        </row>
        <row r="17">
          <cell r="I17" t="str">
            <v>Botucatu</v>
          </cell>
        </row>
        <row r="18">
          <cell r="I18" t="str">
            <v>Taubate</v>
          </cell>
        </row>
        <row r="19">
          <cell r="I19" t="str">
            <v>Florianopolis</v>
          </cell>
        </row>
        <row r="20">
          <cell r="I20" t="str">
            <v>Salvador</v>
          </cell>
        </row>
        <row r="21">
          <cell r="I21" t="str">
            <v>Campinas</v>
          </cell>
        </row>
        <row r="22">
          <cell r="I22" t="str">
            <v>Taubate</v>
          </cell>
        </row>
        <row r="23">
          <cell r="I23" t="str">
            <v>Florianopolis</v>
          </cell>
        </row>
        <row r="24">
          <cell r="I24" t="str">
            <v>Taubate</v>
          </cell>
        </row>
        <row r="25">
          <cell r="I25" t="str">
            <v>São José dos Campos</v>
          </cell>
        </row>
        <row r="26">
          <cell r="I26" t="str">
            <v>Rio De Janeiro</v>
          </cell>
        </row>
        <row r="27">
          <cell r="I27" t="str">
            <v>São Paulo</v>
          </cell>
        </row>
        <row r="28">
          <cell r="I28" t="str">
            <v>Rio De Janeiro</v>
          </cell>
        </row>
        <row r="29">
          <cell r="I29" t="str">
            <v>São José dos Campos</v>
          </cell>
        </row>
        <row r="30">
          <cell r="I30" t="str">
            <v>Campinas</v>
          </cell>
        </row>
        <row r="31">
          <cell r="I31" t="str">
            <v>São José dos Campos</v>
          </cell>
        </row>
        <row r="32">
          <cell r="I32" t="str">
            <v>Belo Horizonte</v>
          </cell>
        </row>
        <row r="33">
          <cell r="I33" t="str">
            <v>São Paulo</v>
          </cell>
        </row>
        <row r="34">
          <cell r="I34" t="str">
            <v>São José dos Campos</v>
          </cell>
        </row>
        <row r="35">
          <cell r="I35" t="str">
            <v>Belo Horizonte</v>
          </cell>
        </row>
        <row r="36">
          <cell r="I36" t="str">
            <v>Gavião Peixoto</v>
          </cell>
        </row>
        <row r="37">
          <cell r="I37" t="str">
            <v>Gavião Peixoto</v>
          </cell>
        </row>
        <row r="38">
          <cell r="I38" t="str">
            <v>Gavião Peixoto</v>
          </cell>
        </row>
        <row r="39">
          <cell r="I39" t="str">
            <v>Belo Horizonte</v>
          </cell>
        </row>
        <row r="40">
          <cell r="I40" t="str">
            <v>Rio De Janeiro</v>
          </cell>
        </row>
        <row r="41">
          <cell r="I41" t="str">
            <v>Belo Horizonte</v>
          </cell>
        </row>
        <row r="42">
          <cell r="I42" t="str">
            <v>São José dos Campos</v>
          </cell>
        </row>
        <row r="43">
          <cell r="I43" t="str">
            <v>Rio De Janeiro</v>
          </cell>
        </row>
        <row r="44">
          <cell r="I44" t="str">
            <v>Taubate</v>
          </cell>
        </row>
        <row r="45">
          <cell r="I45" t="str">
            <v>São José dos Campos</v>
          </cell>
        </row>
        <row r="46">
          <cell r="I46" t="str">
            <v>Campinas</v>
          </cell>
        </row>
        <row r="47">
          <cell r="I47" t="str">
            <v>Belo Horizonte</v>
          </cell>
        </row>
        <row r="48">
          <cell r="I48" t="str">
            <v>Salvador</v>
          </cell>
        </row>
        <row r="49">
          <cell r="I49" t="str">
            <v>Florianopolis</v>
          </cell>
        </row>
        <row r="50">
          <cell r="I50" t="str">
            <v>Taubate</v>
          </cell>
        </row>
        <row r="51">
          <cell r="I51" t="str">
            <v>Gavião Peixoto</v>
          </cell>
        </row>
        <row r="52">
          <cell r="I52" t="str">
            <v>Gavião Peixoto</v>
          </cell>
        </row>
        <row r="53">
          <cell r="I53" t="str">
            <v>São Paulo</v>
          </cell>
        </row>
        <row r="54">
          <cell r="I54" t="str">
            <v>Belo Horizonte</v>
          </cell>
        </row>
        <row r="55">
          <cell r="I55" t="str">
            <v>Campinas</v>
          </cell>
        </row>
        <row r="56">
          <cell r="I56" t="str">
            <v>Taubate</v>
          </cell>
        </row>
        <row r="57">
          <cell r="I57" t="str">
            <v>Belo Horizonte</v>
          </cell>
        </row>
        <row r="58">
          <cell r="I58" t="str">
            <v>Campinas</v>
          </cell>
        </row>
        <row r="59">
          <cell r="I59" t="str">
            <v>Salvador</v>
          </cell>
        </row>
        <row r="60">
          <cell r="I60" t="str">
            <v>São José dos Campos</v>
          </cell>
        </row>
        <row r="61">
          <cell r="I61" t="str">
            <v>Gavião Peixoto</v>
          </cell>
        </row>
        <row r="62">
          <cell r="I62" t="str">
            <v>Gavião Peixoto</v>
          </cell>
        </row>
        <row r="63">
          <cell r="I63" t="str">
            <v>Campinas</v>
          </cell>
        </row>
        <row r="64">
          <cell r="I64" t="str">
            <v>Gavião Peixoto</v>
          </cell>
        </row>
        <row r="65">
          <cell r="I65" t="str">
            <v>São José dos Campos</v>
          </cell>
        </row>
        <row r="66">
          <cell r="I66" t="str">
            <v>Rio De Janeiro</v>
          </cell>
        </row>
        <row r="67">
          <cell r="I67" t="str">
            <v>Florianopolis</v>
          </cell>
        </row>
        <row r="68">
          <cell r="I68" t="str">
            <v>Campinas</v>
          </cell>
        </row>
        <row r="69">
          <cell r="I69" t="str">
            <v>São Paulo</v>
          </cell>
        </row>
        <row r="70">
          <cell r="I70" t="str">
            <v>Campinas</v>
          </cell>
        </row>
        <row r="71">
          <cell r="I71" t="str">
            <v>Rio De Janeiro</v>
          </cell>
        </row>
        <row r="72">
          <cell r="I72" t="str">
            <v>Florianopolis</v>
          </cell>
        </row>
        <row r="73">
          <cell r="I73" t="str">
            <v>Taubate</v>
          </cell>
        </row>
        <row r="74">
          <cell r="I74" t="str">
            <v>Campinas</v>
          </cell>
        </row>
        <row r="75">
          <cell r="I75" t="str">
            <v>Belo Horizonte</v>
          </cell>
        </row>
        <row r="76">
          <cell r="I76" t="str">
            <v>Campinas</v>
          </cell>
        </row>
        <row r="77">
          <cell r="I77" t="str">
            <v>São Paulo</v>
          </cell>
        </row>
        <row r="78">
          <cell r="I78" t="str">
            <v>Belo Horizonte</v>
          </cell>
        </row>
        <row r="79">
          <cell r="I79" t="str">
            <v>Taubate</v>
          </cell>
        </row>
        <row r="80">
          <cell r="I80" t="str">
            <v>Campinas</v>
          </cell>
        </row>
        <row r="81">
          <cell r="I81" t="str">
            <v>São José dos Campos</v>
          </cell>
        </row>
        <row r="82">
          <cell r="I82" t="str">
            <v>Botucatu</v>
          </cell>
        </row>
        <row r="83">
          <cell r="I83" t="str">
            <v>São José dos Campos</v>
          </cell>
        </row>
        <row r="84">
          <cell r="I84" t="str">
            <v>São Paulo</v>
          </cell>
        </row>
        <row r="85">
          <cell r="I85" t="str">
            <v>Rio De Janeiro</v>
          </cell>
        </row>
        <row r="86">
          <cell r="I86" t="str">
            <v>Campinas</v>
          </cell>
        </row>
        <row r="87">
          <cell r="I87" t="str">
            <v>Botucatu</v>
          </cell>
        </row>
        <row r="88">
          <cell r="I88" t="str">
            <v>Taubate</v>
          </cell>
        </row>
        <row r="89">
          <cell r="I89" t="str">
            <v>Gavião Peixoto</v>
          </cell>
        </row>
        <row r="90">
          <cell r="I90" t="str">
            <v>Rio De Janeiro</v>
          </cell>
        </row>
        <row r="91">
          <cell r="I91" t="str">
            <v>Gavião Peixoto</v>
          </cell>
        </row>
        <row r="92">
          <cell r="I92" t="str">
            <v>Gavião Peixoto</v>
          </cell>
        </row>
        <row r="93">
          <cell r="I93" t="str">
            <v>Botucatu</v>
          </cell>
        </row>
        <row r="94">
          <cell r="I94" t="str">
            <v>Belo Horizonte</v>
          </cell>
        </row>
        <row r="95">
          <cell r="I95" t="str">
            <v>Campinas</v>
          </cell>
        </row>
        <row r="96">
          <cell r="I96" t="str">
            <v>Gavião Peixoto</v>
          </cell>
        </row>
        <row r="97">
          <cell r="I97" t="str">
            <v>São Paulo</v>
          </cell>
        </row>
        <row r="98">
          <cell r="I98" t="str">
            <v>Florianopolis</v>
          </cell>
        </row>
        <row r="99">
          <cell r="I99" t="str">
            <v>Gavião Peixoto</v>
          </cell>
        </row>
        <row r="100">
          <cell r="I100" t="str">
            <v>São José dos Campos</v>
          </cell>
        </row>
        <row r="101">
          <cell r="I101" t="str">
            <v>Salvador</v>
          </cell>
        </row>
        <row r="102">
          <cell r="I102" t="str">
            <v>São Paulo</v>
          </cell>
        </row>
        <row r="103">
          <cell r="I103" t="str">
            <v>Belo Horizonte</v>
          </cell>
        </row>
        <row r="104">
          <cell r="I104" t="str">
            <v>Salvador</v>
          </cell>
        </row>
        <row r="105">
          <cell r="I105" t="str">
            <v>São José dos Campos</v>
          </cell>
        </row>
        <row r="106">
          <cell r="I106" t="str">
            <v>Gavião Peixoto</v>
          </cell>
        </row>
        <row r="107">
          <cell r="I107" t="str">
            <v>Belo Horizonte</v>
          </cell>
        </row>
        <row r="108">
          <cell r="I108" t="str">
            <v>Salvador</v>
          </cell>
        </row>
        <row r="109">
          <cell r="I109" t="str">
            <v>Campinas</v>
          </cell>
        </row>
        <row r="110">
          <cell r="I110" t="str">
            <v>Gavião Peixoto</v>
          </cell>
        </row>
        <row r="111">
          <cell r="I111" t="str">
            <v>Taubate</v>
          </cell>
        </row>
        <row r="112">
          <cell r="I112" t="str">
            <v>Taubate</v>
          </cell>
        </row>
        <row r="113">
          <cell r="I113" t="str">
            <v>Salvador</v>
          </cell>
        </row>
        <row r="114">
          <cell r="I114" t="str">
            <v>Salvador</v>
          </cell>
        </row>
        <row r="115">
          <cell r="I115" t="str">
            <v>Florianopolis</v>
          </cell>
        </row>
        <row r="116">
          <cell r="I116" t="str">
            <v>Campinas</v>
          </cell>
        </row>
        <row r="117">
          <cell r="I117" t="str">
            <v>Belo Horizonte</v>
          </cell>
        </row>
        <row r="118">
          <cell r="I118" t="str">
            <v>São Paulo</v>
          </cell>
        </row>
        <row r="119">
          <cell r="I119" t="str">
            <v>São José dos Campos</v>
          </cell>
        </row>
        <row r="120">
          <cell r="I120" t="str">
            <v>Salvador</v>
          </cell>
        </row>
        <row r="121">
          <cell r="I121" t="str">
            <v>São Paulo</v>
          </cell>
        </row>
        <row r="122">
          <cell r="I122" t="str">
            <v>Belo Horizonte</v>
          </cell>
        </row>
        <row r="123">
          <cell r="I123" t="str">
            <v>Campinas</v>
          </cell>
        </row>
        <row r="124">
          <cell r="I124" t="str">
            <v>São José dos Campos</v>
          </cell>
        </row>
        <row r="125">
          <cell r="I125" t="str">
            <v>Belo Horizonte</v>
          </cell>
        </row>
        <row r="126">
          <cell r="I126" t="str">
            <v>Salvador</v>
          </cell>
        </row>
        <row r="127">
          <cell r="I127" t="str">
            <v>Rio De Janeiro</v>
          </cell>
        </row>
        <row r="128">
          <cell r="I128" t="str">
            <v>Salvador</v>
          </cell>
        </row>
        <row r="129">
          <cell r="I129" t="str">
            <v>Botucatu</v>
          </cell>
        </row>
        <row r="130">
          <cell r="I130" t="str">
            <v>Gavião Peixoto</v>
          </cell>
        </row>
        <row r="131">
          <cell r="I131" t="str">
            <v>Gavião Peixoto</v>
          </cell>
        </row>
        <row r="132">
          <cell r="I132" t="str">
            <v>Florianopolis</v>
          </cell>
        </row>
        <row r="133">
          <cell r="I133" t="str">
            <v>São Paulo</v>
          </cell>
        </row>
        <row r="134">
          <cell r="I134" t="str">
            <v>Salvador</v>
          </cell>
        </row>
        <row r="135">
          <cell r="I135" t="str">
            <v>Campinas</v>
          </cell>
        </row>
        <row r="136">
          <cell r="I136" t="str">
            <v>Gavião Peixoto</v>
          </cell>
        </row>
        <row r="137">
          <cell r="I137" t="str">
            <v>Botucatu</v>
          </cell>
        </row>
        <row r="138">
          <cell r="I138" t="str">
            <v>Gavião Peixoto</v>
          </cell>
        </row>
        <row r="139">
          <cell r="I139" t="str">
            <v>Florianopolis</v>
          </cell>
        </row>
        <row r="140">
          <cell r="I140" t="str">
            <v>Belo Horizonte</v>
          </cell>
        </row>
        <row r="141">
          <cell r="I141" t="str">
            <v>São José dos Campos</v>
          </cell>
        </row>
        <row r="142">
          <cell r="I142" t="str">
            <v>Campinas</v>
          </cell>
        </row>
        <row r="143">
          <cell r="I143" t="str">
            <v>São Paulo</v>
          </cell>
        </row>
        <row r="144">
          <cell r="I144" t="str">
            <v>Gavião Peixoto</v>
          </cell>
        </row>
        <row r="145">
          <cell r="I145" t="str">
            <v>Rio De Janeiro</v>
          </cell>
        </row>
        <row r="146">
          <cell r="I146" t="str">
            <v>Florianopolis</v>
          </cell>
        </row>
        <row r="147">
          <cell r="I147" t="str">
            <v>Campinas</v>
          </cell>
        </row>
        <row r="148">
          <cell r="I148" t="str">
            <v>Rio De Janeiro</v>
          </cell>
        </row>
        <row r="149">
          <cell r="I149" t="str">
            <v>São Paulo</v>
          </cell>
        </row>
        <row r="150">
          <cell r="I150" t="str">
            <v>Rio De Janeiro</v>
          </cell>
        </row>
        <row r="151">
          <cell r="I151" t="str">
            <v>Rio De Janeiro</v>
          </cell>
        </row>
        <row r="152">
          <cell r="I152" t="str">
            <v>Taubate</v>
          </cell>
        </row>
        <row r="153">
          <cell r="I153" t="str">
            <v>Rio De Janeiro</v>
          </cell>
        </row>
        <row r="154">
          <cell r="I154" t="str">
            <v>Florianopolis</v>
          </cell>
        </row>
        <row r="155">
          <cell r="I155" t="str">
            <v>Gavião Peixoto</v>
          </cell>
        </row>
        <row r="156">
          <cell r="I156" t="str">
            <v>Campinas</v>
          </cell>
        </row>
        <row r="157">
          <cell r="I157" t="str">
            <v>Campinas</v>
          </cell>
        </row>
        <row r="158">
          <cell r="I158" t="str">
            <v>Taubate</v>
          </cell>
        </row>
        <row r="159">
          <cell r="I159" t="str">
            <v>Campinas</v>
          </cell>
        </row>
        <row r="160">
          <cell r="I160" t="str">
            <v>Belo Horizonte</v>
          </cell>
        </row>
        <row r="161">
          <cell r="I161" t="str">
            <v>Taubate</v>
          </cell>
        </row>
        <row r="162">
          <cell r="I162" t="str">
            <v>São Paulo</v>
          </cell>
        </row>
        <row r="163">
          <cell r="I163" t="str">
            <v>Campinas</v>
          </cell>
        </row>
        <row r="164">
          <cell r="I164" t="str">
            <v>Florianopolis</v>
          </cell>
        </row>
        <row r="165">
          <cell r="I165" t="str">
            <v>São Paulo</v>
          </cell>
        </row>
        <row r="166">
          <cell r="I166" t="str">
            <v>Taubate</v>
          </cell>
        </row>
        <row r="167">
          <cell r="I167" t="str">
            <v>Salvador</v>
          </cell>
        </row>
        <row r="168">
          <cell r="I168" t="str">
            <v>São José dos Campos</v>
          </cell>
        </row>
        <row r="169">
          <cell r="I169" t="str">
            <v>São José dos Campos</v>
          </cell>
        </row>
        <row r="170">
          <cell r="I170" t="str">
            <v>Florianopolis</v>
          </cell>
        </row>
        <row r="171">
          <cell r="I171" t="str">
            <v>Salvador</v>
          </cell>
        </row>
        <row r="172">
          <cell r="I172" t="str">
            <v>Campinas</v>
          </cell>
        </row>
        <row r="173">
          <cell r="I173" t="str">
            <v>Gavião Peixoto</v>
          </cell>
        </row>
        <row r="174">
          <cell r="I174" t="str">
            <v>Rio De Janeiro</v>
          </cell>
        </row>
        <row r="175">
          <cell r="I175" t="str">
            <v>Gavião Peixoto</v>
          </cell>
        </row>
        <row r="176">
          <cell r="I176" t="str">
            <v>Florianopolis</v>
          </cell>
        </row>
        <row r="177">
          <cell r="I177" t="str">
            <v>Florianopolis</v>
          </cell>
        </row>
        <row r="178">
          <cell r="I178" t="str">
            <v>Belo Horizonte</v>
          </cell>
        </row>
        <row r="179">
          <cell r="I179" t="str">
            <v>Belo Horizonte</v>
          </cell>
        </row>
        <row r="180">
          <cell r="I180" t="str">
            <v>Florianopolis</v>
          </cell>
        </row>
        <row r="181">
          <cell r="I181" t="str">
            <v>Taubate</v>
          </cell>
        </row>
        <row r="182">
          <cell r="I182" t="str">
            <v>Taubate</v>
          </cell>
        </row>
        <row r="183">
          <cell r="I183" t="str">
            <v>Botucatu</v>
          </cell>
        </row>
        <row r="184">
          <cell r="I184" t="str">
            <v>São José dos Campos</v>
          </cell>
        </row>
        <row r="185">
          <cell r="I185" t="str">
            <v>Botucatu</v>
          </cell>
        </row>
        <row r="186">
          <cell r="I186" t="str">
            <v>Rio De Janeiro</v>
          </cell>
        </row>
        <row r="187">
          <cell r="I187" t="str">
            <v>Rio De Janeiro</v>
          </cell>
        </row>
        <row r="188">
          <cell r="I188" t="str">
            <v>Campinas</v>
          </cell>
        </row>
        <row r="189">
          <cell r="I189" t="str">
            <v>São José dos Campos</v>
          </cell>
        </row>
        <row r="190">
          <cell r="I190" t="str">
            <v>Florianopolis</v>
          </cell>
        </row>
        <row r="191">
          <cell r="I191" t="str">
            <v>Rio De Janeiro</v>
          </cell>
        </row>
        <row r="192">
          <cell r="I192" t="str">
            <v>Florianopolis</v>
          </cell>
        </row>
        <row r="193">
          <cell r="I193" t="str">
            <v>Taubate</v>
          </cell>
        </row>
        <row r="194">
          <cell r="I194" t="str">
            <v>Rio De Janeiro</v>
          </cell>
        </row>
        <row r="195">
          <cell r="I195" t="str">
            <v>Florianopolis</v>
          </cell>
        </row>
        <row r="196">
          <cell r="I196" t="str">
            <v>Florianopolis</v>
          </cell>
        </row>
        <row r="197">
          <cell r="I197" t="str">
            <v>Belo Horizonte</v>
          </cell>
        </row>
        <row r="198">
          <cell r="I198" t="str">
            <v>Florianopolis</v>
          </cell>
        </row>
        <row r="199">
          <cell r="I199" t="str">
            <v>Taubate</v>
          </cell>
        </row>
        <row r="200">
          <cell r="I200" t="str">
            <v>São Paulo</v>
          </cell>
        </row>
        <row r="201">
          <cell r="I201" t="str">
            <v>Taubate</v>
          </cell>
        </row>
      </sheetData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dia Carvalho Guimaraes" refreshedDate="45294.845261226852" createdVersion="8" refreshedVersion="8" minRefreshableVersion="3" recordCount="200" xr:uid="{124BBF96-36BD-4414-A8A7-A13580F16614}">
  <cacheSource type="worksheet">
    <worksheetSource name="Tabela1"/>
  </cacheSource>
  <cacheFields count="11">
    <cacheField name="Id" numFmtId="0">
      <sharedItems containsSemiMixedTypes="0" containsString="0" containsNumber="1" containsInteger="1" minValue="1" maxValue="200"/>
    </cacheField>
    <cacheField name="Custo" numFmtId="0">
      <sharedItems count="8">
        <s v="Limpeza"/>
        <s v="Seguro Carga"/>
        <s v="IPTU"/>
        <s v="Energia Eletrica"/>
        <s v="Ar Condicionado"/>
        <s v="Aluguel"/>
        <s v="Agua"/>
        <s v="Seguro Local"/>
      </sharedItems>
    </cacheField>
    <cacheField name="Codigo" numFmtId="0">
      <sharedItems containsSemiMixedTypes="0" containsString="0" containsNumber="1" containsInteger="1" minValue="102" maxValue="875"/>
    </cacheField>
    <cacheField name="Quantidade" numFmtId="0">
      <sharedItems containsSemiMixedTypes="0" containsString="0" containsNumber="1" containsInteger="1" minValue="1" maxValue="30" count="5">
        <n v="2"/>
        <n v="20"/>
        <n v="30"/>
        <n v="1"/>
        <n v="10"/>
      </sharedItems>
    </cacheField>
    <cacheField name="Localizacao" numFmtId="0">
      <sharedItems count="4">
        <s v="Armazém C"/>
        <s v="Armazém B"/>
        <s v="Armazém D"/>
        <s v="Armazém A"/>
      </sharedItems>
    </cacheField>
    <cacheField name="Fornecedor" numFmtId="0">
      <sharedItems count="8">
        <s v="MilClean"/>
        <s v="Porto Seguro"/>
        <s v="Prefeitura Municipal"/>
        <s v="EDP Brasil"/>
        <s v="Frigelar"/>
        <s v="Locadora SA"/>
        <s v="SABESP"/>
        <s v="Mapfre Seguros"/>
      </sharedItems>
    </cacheField>
    <cacheField name="Data" numFmtId="14">
      <sharedItems containsSemiMixedTypes="0" containsNonDate="0" containsDate="1" containsString="0" minDate="2022-01-30T00:00:00" maxDate="2023-12-17T00:00:00" count="20">
        <d v="2022-05-25T00:00:00"/>
        <d v="2023-03-29T00:00:00"/>
        <d v="2022-08-14T00:00:00"/>
        <d v="2023-12-16T00:00:00"/>
        <d v="2023-07-09T00:00:00"/>
        <d v="2023-03-21T00:00:00"/>
        <d v="2022-06-08T00:00:00"/>
        <d v="2022-01-30T00:00:00"/>
        <d v="2022-08-23T00:00:00"/>
        <d v="2022-03-03T00:00:00"/>
        <d v="2022-09-14T00:00:00"/>
        <d v="2023-07-10T00:00:00"/>
        <d v="2023-02-01T00:00:00"/>
        <d v="2022-05-29T00:00:00"/>
        <d v="2022-11-27T00:00:00"/>
        <d v="2022-11-02T00:00:00"/>
        <d v="2022-04-22T00:00:00"/>
        <d v="2022-08-08T00:00:00"/>
        <d v="2022-10-28T00:00:00"/>
        <d v="2022-08-15T00:00:00"/>
      </sharedItems>
      <fieldGroup par="10" base="6">
        <rangePr groupBy="months" startDate="2022-01-30T00:00:00" endDate="2023-12-17T00:00:00"/>
        <groupItems count="14">
          <s v="&lt;30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3"/>
        </groupItems>
      </fieldGroup>
    </cacheField>
    <cacheField name="Valor" numFmtId="44">
      <sharedItems containsSemiMixedTypes="0" containsString="0" containsNumber="1" containsInteger="1" minValue="1970" maxValue="300500"/>
    </cacheField>
    <cacheField name="Valor Unitário" numFmtId="44">
      <sharedItems containsSemiMixedTypes="0" containsString="0" containsNumber="1" minValue="65.666666666666671" maxValue="300500"/>
    </cacheField>
    <cacheField name="Trimestres" numFmtId="0" databaseField="0">
      <fieldGroup base="6">
        <rangePr groupBy="quarters" startDate="2022-01-30T00:00:00" endDate="2023-12-17T00:00:00"/>
        <groupItems count="6">
          <s v="&lt;30/01/2022"/>
          <s v="Trim1"/>
          <s v="Trim2"/>
          <s v="Trim3"/>
          <s v="Trim4"/>
          <s v="&gt;17/12/2023"/>
        </groupItems>
      </fieldGroup>
    </cacheField>
    <cacheField name="Anos" numFmtId="0" databaseField="0">
      <fieldGroup base="6">
        <rangePr groupBy="years" startDate="2022-01-30T00:00:00" endDate="2023-12-17T00:00:00"/>
        <groupItems count="4">
          <s v="&lt;30/01/2022"/>
          <s v="2022"/>
          <s v="2023"/>
          <s v="&gt;17/12/2023"/>
        </groupItems>
      </fieldGroup>
    </cacheField>
  </cacheFields>
  <extLst>
    <ext xmlns:x14="http://schemas.microsoft.com/office/spreadsheetml/2009/9/main" uri="{725AE2AE-9491-48be-B2B4-4EB974FC3084}">
      <x14:pivotCacheDefinition pivotCacheId="129332742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dia Carvalho Guimaraes" refreshedDate="45294.848443518516" createdVersion="8" refreshedVersion="8" minRefreshableVersion="3" recordCount="200" xr:uid="{84B2AF50-BD13-4CC7-9C23-3BE4707D4332}">
  <cacheSource type="worksheet">
    <worksheetSource name="Tabela2"/>
  </cacheSource>
  <cacheFields count="12">
    <cacheField name="Id" numFmtId="0">
      <sharedItems containsSemiMixedTypes="0" containsString="0" containsNumber="1" containsInteger="1" minValue="1" maxValue="200"/>
    </cacheField>
    <cacheField name="Produto" numFmtId="0">
      <sharedItems count="9">
        <s v="E190"/>
        <s v="EMB 314 Super Tucano"/>
        <s v="Preator 600"/>
        <s v="E195"/>
        <s v="KC390"/>
        <s v="Legacy 600"/>
        <s v="Phenom 100"/>
        <s v="ERJ 145XR"/>
        <s v="EMB 145 AEW&amp;C"/>
      </sharedItems>
    </cacheField>
    <cacheField name="Codigo" numFmtId="0">
      <sharedItems/>
    </cacheField>
    <cacheField name="Quantidade" numFmtId="0">
      <sharedItems containsSemiMixedTypes="0" containsString="0" containsNumber="1" containsInteger="1" minValue="1" maxValue="30"/>
    </cacheField>
    <cacheField name="Localizacao" numFmtId="0">
      <sharedItems count="4">
        <s v="Armazém D"/>
        <s v="Armazém C"/>
        <s v="Armazém B"/>
        <s v="Armazém A"/>
      </sharedItems>
    </cacheField>
    <cacheField name="Situacao" numFmtId="0">
      <sharedItems count="4">
        <s v="Obsoleto"/>
        <s v="Disponível"/>
        <s v="Avariado"/>
        <s v="Em Produção"/>
      </sharedItems>
    </cacheField>
    <cacheField name="Data" numFmtId="14">
      <sharedItems containsSemiMixedTypes="0" containsNonDate="0" containsDate="1" containsString="0" minDate="2022-01-30T00:00:00" maxDate="2023-12-17T00:00:00" count="20">
        <d v="2022-05-25T00:00:00"/>
        <d v="2023-07-10T00:00:00"/>
        <d v="2023-07-09T00:00:00"/>
        <d v="2023-02-01T00:00:00"/>
        <d v="2023-12-16T00:00:00"/>
        <d v="2023-03-21T00:00:00"/>
        <d v="2022-10-28T00:00:00"/>
        <d v="2022-08-15T00:00:00"/>
        <d v="2023-03-29T00:00:00"/>
        <d v="2022-05-29T00:00:00"/>
        <d v="2022-08-14T00:00:00"/>
        <d v="2022-09-14T00:00:00"/>
        <d v="2022-11-27T00:00:00"/>
        <d v="2022-04-22T00:00:00"/>
        <d v="2022-06-08T00:00:00"/>
        <d v="2022-11-02T00:00:00"/>
        <d v="2022-01-30T00:00:00"/>
        <d v="2022-03-03T00:00:00"/>
        <d v="2022-08-08T00:00:00"/>
        <d v="2022-08-23T00:00:00"/>
      </sharedItems>
      <fieldGroup par="11" base="6">
        <rangePr groupBy="months" startDate="2022-01-30T00:00:00" endDate="2023-12-17T00:00:00"/>
        <groupItems count="14">
          <s v="&lt;30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3"/>
        </groupItems>
      </fieldGroup>
    </cacheField>
    <cacheField name="Valor" numFmtId="44">
      <sharedItems containsSemiMixedTypes="0" containsString="0" containsNumber="1" containsInteger="1" minValue="28500000" maxValue="58500000" count="9">
        <n v="55300000"/>
        <n v="28500000"/>
        <n v="49900000"/>
        <n v="58500000"/>
        <n v="46300000"/>
        <n v="47700000"/>
        <n v="37850000"/>
        <n v="38500000"/>
        <n v="33300000"/>
      </sharedItems>
    </cacheField>
    <cacheField name="Total" numFmtId="44">
      <sharedItems containsSemiMixedTypes="0" containsString="0" containsNumber="1" containsInteger="1" minValue="28500000" maxValue="1755000000"/>
    </cacheField>
    <cacheField name="Imposto" numFmtId="44">
      <sharedItems containsSemiMixedTypes="0" containsString="0" containsNumber="1" containsInteger="1" minValue="8550000" maxValue="526500000" count="43">
        <n v="16590000"/>
        <n v="8550000"/>
        <n v="14970000"/>
        <n v="17550000"/>
        <n v="13890000"/>
        <n v="14310000"/>
        <n v="11355000"/>
        <n v="165900000"/>
        <n v="11550000"/>
        <n v="138900000"/>
        <n v="346500000"/>
        <n v="199800000"/>
        <n v="231000000"/>
        <n v="171000000"/>
        <n v="28620000"/>
        <n v="227100000"/>
        <n v="286200000"/>
        <n v="17100000"/>
        <n v="526500000"/>
        <n v="331800000"/>
        <n v="33180000"/>
        <n v="9990000"/>
        <n v="113550000"/>
        <n v="175500000"/>
        <n v="115500000"/>
        <n v="299400000"/>
        <n v="429300000"/>
        <n v="340650000"/>
        <n v="99900000"/>
        <n v="416700000"/>
        <n v="149700000"/>
        <n v="256500000"/>
        <n v="277800000"/>
        <n v="449100000"/>
        <n v="29940000"/>
        <n v="143100000"/>
        <n v="35100000"/>
        <n v="27780000"/>
        <n v="22710000"/>
        <n v="19980000"/>
        <n v="351000000"/>
        <n v="23100000"/>
        <n v="299700000"/>
      </sharedItems>
    </cacheField>
    <cacheField name="Trimestres" numFmtId="0" databaseField="0">
      <fieldGroup base="6">
        <rangePr groupBy="quarters" startDate="2022-01-30T00:00:00" endDate="2023-12-17T00:00:00"/>
        <groupItems count="6">
          <s v="&lt;30/01/2022"/>
          <s v="Trim1"/>
          <s v="Trim2"/>
          <s v="Trim3"/>
          <s v="Trim4"/>
          <s v="&gt;17/12/2023"/>
        </groupItems>
      </fieldGroup>
    </cacheField>
    <cacheField name="Anos" numFmtId="0" databaseField="0">
      <fieldGroup base="6">
        <rangePr groupBy="years" startDate="2022-01-30T00:00:00" endDate="2023-12-17T00:00:00"/>
        <groupItems count="4">
          <s v="&lt;30/01/2022"/>
          <s v="2022"/>
          <s v="2023"/>
          <s v="&gt;17/12/2023"/>
        </groupItems>
      </fieldGroup>
    </cacheField>
  </cacheFields>
  <extLst>
    <ext xmlns:x14="http://schemas.microsoft.com/office/spreadsheetml/2009/9/main" uri="{725AE2AE-9491-48be-B2B4-4EB974FC3084}">
      <x14:pivotCacheDefinition pivotCacheId="89903088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dia Carvalho Guimaraes" refreshedDate="45294.857095370367" createdVersion="8" refreshedVersion="8" minRefreshableVersion="3" recordCount="200" xr:uid="{1A531379-721A-4543-AB82-ED1177732281}">
  <cacheSource type="worksheet">
    <worksheetSource name="Tabela14"/>
  </cacheSource>
  <cacheFields count="11">
    <cacheField name="Id" numFmtId="0">
      <sharedItems containsSemiMixedTypes="0" containsString="0" containsNumber="1" containsInteger="1" minValue="1" maxValue="200"/>
    </cacheField>
    <cacheField name="Codigo" numFmtId="0">
      <sharedItems containsSemiMixedTypes="0" containsString="0" containsNumber="1" containsInteger="1" minValue="113" maxValue="972"/>
    </cacheField>
    <cacheField name="Equipamento" numFmtId="0">
      <sharedItems count="9">
        <s v="Paleteira"/>
        <s v="Plataforma"/>
        <s v="AGVs"/>
        <s v="Macaco"/>
        <s v="Esteira"/>
        <s v="Leitores"/>
        <s v="Ponte rolante"/>
        <s v="Escada"/>
        <s v="Empilhadeira"/>
      </sharedItems>
    </cacheField>
    <cacheField name="Localizacao" numFmtId="0">
      <sharedItems count="4">
        <s v="Armazém D"/>
        <s v="Armazém B"/>
        <s v="Armazém A"/>
        <s v="Armazém C"/>
      </sharedItems>
    </cacheField>
    <cacheField name="TipoDeManutencao" numFmtId="0">
      <sharedItems count="3">
        <s v="Preventiva"/>
        <s v="Preditiva"/>
        <s v="Corretiva"/>
      </sharedItems>
    </cacheField>
    <cacheField name="Data" numFmtId="14">
      <sharedItems containsSemiMixedTypes="0" containsNonDate="0" containsDate="1" containsString="0" minDate="2022-01-03T00:00:00" maxDate="2023-11-26T00:00:00" count="122">
        <d v="2023-08-08T00:00:00"/>
        <d v="2023-02-01T00:00:00"/>
        <d v="2023-06-02T00:00:00"/>
        <d v="2023-07-16T00:00:00"/>
        <d v="2022-02-02T00:00:00"/>
        <d v="2022-05-24T00:00:00"/>
        <d v="2023-06-08T00:00:00"/>
        <d v="2022-10-31T00:00:00"/>
        <d v="2022-07-30T00:00:00"/>
        <d v="2023-05-30T00:00:00"/>
        <d v="2023-07-30T00:00:00"/>
        <d v="2023-06-28T00:00:00"/>
        <d v="2022-01-03T00:00:00"/>
        <d v="2023-01-25T00:00:00"/>
        <d v="2022-03-10T00:00:00"/>
        <d v="2023-04-22T00:00:00"/>
        <d v="2022-09-28T00:00:00"/>
        <d v="2022-03-21T00:00:00"/>
        <d v="2023-06-11T00:00:00"/>
        <d v="2023-05-27T00:00:00"/>
        <d v="2022-10-03T00:00:00"/>
        <d v="2022-10-06T00:00:00"/>
        <d v="2023-04-26T00:00:00"/>
        <d v="2023-11-25T00:00:00"/>
        <d v="2023-06-04T00:00:00"/>
        <d v="2022-08-23T00:00:00"/>
        <d v="2022-08-19T00:00:00"/>
        <d v="2022-08-16T00:00:00"/>
        <d v="2022-05-03T00:00:00"/>
        <d v="2023-04-06T00:00:00"/>
        <d v="2023-03-15T00:00:00"/>
        <d v="2022-12-04T00:00:00"/>
        <d v="2023-09-01T00:00:00"/>
        <d v="2023-01-14T00:00:00"/>
        <d v="2022-07-16T00:00:00"/>
        <d v="2023-08-15T00:00:00"/>
        <d v="2023-09-03T00:00:00"/>
        <d v="2023-02-19T00:00:00"/>
        <d v="2022-10-28T00:00:00"/>
        <d v="2023-11-21T00:00:00"/>
        <d v="2023-03-18T00:00:00"/>
        <d v="2023-10-12T00:00:00"/>
        <d v="2023-05-01T00:00:00"/>
        <d v="2022-10-09T00:00:00"/>
        <d v="2023-05-24T00:00:00"/>
        <d v="2023-10-11T00:00:00"/>
        <d v="2023-05-02T00:00:00"/>
        <d v="2023-09-04T00:00:00"/>
        <d v="2022-04-26T00:00:00"/>
        <d v="2023-11-06T00:00:00"/>
        <d v="2023-04-13T00:00:00"/>
        <d v="2022-06-29T00:00:00"/>
        <d v="2022-08-24T00:00:00"/>
        <d v="2023-08-14T00:00:00"/>
        <d v="2023-11-19T00:00:00"/>
        <d v="2023-06-27T00:00:00"/>
        <d v="2023-06-30T00:00:00"/>
        <d v="2022-07-31T00:00:00"/>
        <d v="2022-05-09T00:00:00"/>
        <d v="2023-09-15T00:00:00"/>
        <d v="2022-04-15T00:00:00"/>
        <d v="2023-01-26T00:00:00"/>
        <d v="2022-03-28T00:00:00"/>
        <d v="2023-06-19T00:00:00"/>
        <d v="2022-07-13T00:00:00"/>
        <d v="2023-10-27T00:00:00"/>
        <d v="2022-11-05T00:00:00"/>
        <d v="2023-01-30T00:00:00"/>
        <d v="2023-05-21T00:00:00"/>
        <d v="2022-05-25T00:00:00"/>
        <d v="2023-08-01T00:00:00"/>
        <d v="2022-03-04T00:00:00"/>
        <d v="2023-07-03T00:00:00"/>
        <d v="2023-05-09T00:00:00"/>
        <d v="2023-08-23T00:00:00"/>
        <d v="2022-03-06T00:00:00"/>
        <d v="2022-01-22T00:00:00"/>
        <d v="2022-03-05T00:00:00"/>
        <d v="2022-03-13T00:00:00"/>
        <d v="2023-09-21T00:00:00"/>
        <d v="2023-06-03T00:00:00"/>
        <d v="2022-08-29T00:00:00"/>
        <d v="2022-06-03T00:00:00"/>
        <d v="2023-06-25T00:00:00"/>
        <d v="2023-03-04T00:00:00"/>
        <d v="2022-04-14T00:00:00"/>
        <d v="2023-08-27T00:00:00"/>
        <d v="2023-02-25T00:00:00"/>
        <d v="2022-04-07T00:00:00"/>
        <d v="2022-07-29T00:00:00"/>
        <d v="2022-03-29T00:00:00"/>
        <d v="2022-12-12T00:00:00"/>
        <d v="2023-05-04T00:00:00"/>
        <d v="2023-09-22T00:00:00"/>
        <d v="2022-05-26T00:00:00"/>
        <d v="2023-05-25T00:00:00"/>
        <d v="2023-11-02T00:00:00"/>
        <d v="2022-12-16T00:00:00"/>
        <d v="2023-07-02T00:00:00"/>
        <d v="2023-02-16T00:00:00"/>
        <d v="2022-05-12T00:00:00"/>
        <d v="2023-02-09T00:00:00"/>
        <d v="2023-02-20T00:00:00"/>
        <d v="2022-08-12T00:00:00"/>
        <d v="2023-02-22T00:00:00"/>
        <d v="2022-08-11T00:00:00"/>
        <d v="2022-01-31T00:00:00"/>
        <d v="2023-01-31T00:00:00"/>
        <d v="2023-01-04T00:00:00"/>
        <d v="2022-04-19T00:00:00"/>
        <d v="2023-04-20T00:00:00"/>
        <d v="2023-09-19T00:00:00"/>
        <d v="2023-11-08T00:00:00"/>
        <d v="2022-08-10T00:00:00"/>
        <d v="2022-07-09T00:00:00"/>
        <d v="2023-03-03T00:00:00"/>
        <d v="2022-11-07T00:00:00"/>
        <d v="2022-12-06T00:00:00"/>
        <d v="2022-12-25T00:00:00"/>
        <d v="2022-07-10T00:00:00"/>
        <d v="2022-02-01T00:00:00"/>
        <d v="2023-02-17T00:00:00"/>
      </sharedItems>
      <fieldGroup par="10" base="5">
        <rangePr groupBy="months" startDate="2022-01-03T00:00:00" endDate="2023-11-26T00:00:00"/>
        <groupItems count="14">
          <s v="&lt;03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6/11/2023"/>
        </groupItems>
      </fieldGroup>
    </cacheField>
    <cacheField name="Valor" numFmtId="44">
      <sharedItems containsSemiMixedTypes="0" containsString="0" containsNumber="1" containsInteger="1" minValue="110" maxValue="350000"/>
    </cacheField>
    <cacheField name="Fornecedor" numFmtId="0">
      <sharedItems count="8">
        <s v="EquipaMais"/>
        <s v="EmbySeven"/>
        <s v="Doutor Equipamentos"/>
        <s v="EquipaCenter"/>
        <s v="Tools SA"/>
        <s v="Tech Center"/>
        <s v="Conal"/>
        <s v="Manutenção SA"/>
      </sharedItems>
    </cacheField>
    <cacheField name="LocalFornecedor" numFmtId="0">
      <sharedItems count="10">
        <s v="Campinas"/>
        <s v="São José dos Campos"/>
        <s v="Taubate"/>
        <s v="São Paulo"/>
        <s v="Florianopolis"/>
        <s v="Belo Horizonte"/>
        <s v="Gavião Peixoto"/>
        <s v="Salvador"/>
        <s v="Rio De Janeiro"/>
        <s v="Botucatu"/>
      </sharedItems>
    </cacheField>
    <cacheField name="Trimestres" numFmtId="0" databaseField="0">
      <fieldGroup base="5">
        <rangePr groupBy="quarters" startDate="2022-01-03T00:00:00" endDate="2023-11-26T00:00:00"/>
        <groupItems count="6">
          <s v="&lt;03/01/2022"/>
          <s v="Trim1"/>
          <s v="Trim2"/>
          <s v="Trim3"/>
          <s v="Trim4"/>
          <s v="&gt;26/11/2023"/>
        </groupItems>
      </fieldGroup>
    </cacheField>
    <cacheField name="Anos" numFmtId="0" databaseField="0">
      <fieldGroup base="5">
        <rangePr groupBy="years" startDate="2022-01-03T00:00:00" endDate="2023-11-26T00:00:00"/>
        <groupItems count="4">
          <s v="&lt;03/01/2022"/>
          <s v="2022"/>
          <s v="2023"/>
          <s v="&gt;26/11/2023"/>
        </groupItems>
      </fieldGroup>
    </cacheField>
  </cacheFields>
  <extLst>
    <ext xmlns:x14="http://schemas.microsoft.com/office/spreadsheetml/2009/9/main" uri="{725AE2AE-9491-48be-B2B4-4EB974FC3084}">
      <x14:pivotCacheDefinition pivotCacheId="147575130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y Oliveira" refreshedDate="45295.807724189814" createdVersion="8" refreshedVersion="8" minRefreshableVersion="3" recordCount="200" xr:uid="{09B05609-3287-43F2-866E-42BC68257849}">
  <cacheSource type="worksheet">
    <worksheetSource name="Tabela19"/>
  </cacheSource>
  <cacheFields count="11">
    <cacheField name="Id" numFmtId="0">
      <sharedItems containsSemiMixedTypes="0" containsString="0" containsNumber="1" containsInteger="1" minValue="1" maxValue="200"/>
    </cacheField>
    <cacheField name="Custo" numFmtId="0">
      <sharedItems count="6">
        <s v="Mao de Obra"/>
        <s v="Recebimento"/>
        <s v="Preparacao"/>
        <s v="Deslocamento Medio"/>
        <s v="Expedicao"/>
        <s v="Estocagem"/>
      </sharedItems>
    </cacheField>
    <cacheField name="Codigo" numFmtId="0">
      <sharedItems containsSemiMixedTypes="0" containsString="0" containsNumber="1" containsInteger="1" minValue="160" maxValue="889"/>
    </cacheField>
    <cacheField name="Quantidade" numFmtId="0">
      <sharedItems containsSemiMixedTypes="0" containsString="0" containsNumber="1" containsInteger="1" minValue="1" maxValue="30"/>
    </cacheField>
    <cacheField name="Localizacao" numFmtId="0">
      <sharedItems count="4">
        <s v="Armazém D"/>
        <s v="Armazém C"/>
        <s v="Armazém B"/>
        <s v="Armazém A"/>
      </sharedItems>
    </cacheField>
    <cacheField name="Data" numFmtId="14">
      <sharedItems containsSemiMixedTypes="0" containsNonDate="0" containsDate="1" containsString="0" minDate="2022-01-30T00:00:00" maxDate="2023-12-17T00:00:00" count="20">
        <d v="2023-07-09T00:00:00"/>
        <d v="2022-08-23T00:00:00"/>
        <d v="2022-03-03T00:00:00"/>
        <d v="2022-11-27T00:00:00"/>
        <d v="2023-03-29T00:00:00"/>
        <d v="2022-06-08T00:00:00"/>
        <d v="2022-08-14T00:00:00"/>
        <d v="2022-09-14T00:00:00"/>
        <d v="2022-08-15T00:00:00"/>
        <d v="2022-01-30T00:00:00"/>
        <d v="2023-07-10T00:00:00"/>
        <d v="2022-11-02T00:00:00"/>
        <d v="2023-03-21T00:00:00"/>
        <d v="2022-04-22T00:00:00"/>
        <d v="2022-05-25T00:00:00"/>
        <d v="2022-05-29T00:00:00"/>
        <d v="2023-12-16T00:00:00"/>
        <d v="2023-02-01T00:00:00"/>
        <d v="2022-08-08T00:00:00"/>
        <d v="2022-10-28T00:00:00"/>
      </sharedItems>
      <fieldGroup par="10"/>
    </cacheField>
    <cacheField name="ValorUnitario" numFmtId="44">
      <sharedItems containsSemiMixedTypes="0" containsString="0" containsNumber="1" containsInteger="1" minValue="2500" maxValue="15000"/>
    </cacheField>
    <cacheField name="Total" numFmtId="44">
      <sharedItems containsSemiMixedTypes="0" containsString="0" containsNumber="1" containsInteger="1" minValue="2500" maxValue="450000"/>
    </cacheField>
    <cacheField name="Meses (Data)" numFmtId="0" databaseField="0">
      <fieldGroup base="5">
        <rangePr groupBy="months" startDate="2022-01-30T00:00:00" endDate="2023-12-17T00:00:00"/>
        <groupItems count="14">
          <s v="&lt;30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3"/>
        </groupItems>
      </fieldGroup>
    </cacheField>
    <cacheField name="Trimestres (Data)" numFmtId="0" databaseField="0">
      <fieldGroup base="5">
        <rangePr groupBy="quarters" startDate="2022-01-30T00:00:00" endDate="2023-12-17T00:00:00"/>
        <groupItems count="6">
          <s v="&lt;30/01/2022"/>
          <s v="Trim1"/>
          <s v="Trim2"/>
          <s v="Trim3"/>
          <s v="Trim4"/>
          <s v="&gt;17/12/2023"/>
        </groupItems>
      </fieldGroup>
    </cacheField>
    <cacheField name="Anos (Data)" numFmtId="0" databaseField="0">
      <fieldGroup base="5">
        <rangePr groupBy="years" startDate="2022-01-30T00:00:00" endDate="2023-12-17T00:00:00"/>
        <groupItems count="4">
          <s v="&lt;30/01/2022"/>
          <s v="2022"/>
          <s v="2023"/>
          <s v="&gt;17/12/2023"/>
        </groupItems>
      </fieldGroup>
    </cacheField>
  </cacheFields>
  <extLst>
    <ext xmlns:x14="http://schemas.microsoft.com/office/spreadsheetml/2009/9/main" uri="{725AE2AE-9491-48be-B2B4-4EB974FC3084}">
      <x14:pivotCacheDefinition pivotCacheId="1007624338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y Oliveira" refreshedDate="45295.819311458334" createdVersion="8" refreshedVersion="8" minRefreshableVersion="3" recordCount="200" xr:uid="{29FB9EB4-C377-4B2A-BE71-6C65649F3E9F}">
  <cacheSource type="worksheet">
    <worksheetSource name="Tabela18"/>
  </cacheSource>
  <cacheFields count="12">
    <cacheField name="Id" numFmtId="0">
      <sharedItems containsSemiMixedTypes="0" containsString="0" containsNumber="1" containsInteger="1" minValue="1" maxValue="200"/>
    </cacheField>
    <cacheField name="MateriaPrima" numFmtId="0">
      <sharedItems count="9">
        <s v="Fibra de Carbono"/>
        <s v="Liga de Aço"/>
        <s v="Liga de Titânio"/>
        <s v="HoneyKomb"/>
        <s v="Liga de Aluminio 7075"/>
        <s v="Espuma"/>
        <s v="Fibra de vidro "/>
        <s v="Tecido Kevlar"/>
        <s v="Resina Epoxi"/>
      </sharedItems>
    </cacheField>
    <cacheField name="Quantidade" numFmtId="0">
      <sharedItems containsSemiMixedTypes="0" containsString="0" containsNumber="1" containsInteger="1" minValue="50" maxValue="500"/>
    </cacheField>
    <cacheField name="Codigo" numFmtId="0">
      <sharedItems/>
    </cacheField>
    <cacheField name="Localizacao" numFmtId="0">
      <sharedItems count="4">
        <s v="Armazem D"/>
        <s v="Armazem B"/>
        <s v="Armazem A"/>
        <s v="Armazem C"/>
      </sharedItems>
    </cacheField>
    <cacheField name="Situacao" numFmtId="0">
      <sharedItems count="4">
        <s v="Disponível"/>
        <s v="Obsoleto"/>
        <s v="Depreciado"/>
        <s v="Em processo"/>
      </sharedItems>
    </cacheField>
    <cacheField name="Data" numFmtId="14">
      <sharedItems containsSemiMixedTypes="0" containsNonDate="0" containsDate="1" containsString="0" minDate="2022-01-03T00:00:00" maxDate="2023-12-10T00:00:00" count="123">
        <d v="2023-11-08T00:00:00"/>
        <d v="2022-01-31T00:00:00"/>
        <d v="2023-02-09T00:00:00"/>
        <d v="2022-01-07T00:00:00"/>
        <d v="2023-02-16T00:00:00"/>
        <d v="2023-01-26T00:00:00"/>
        <d v="2023-05-29T00:00:00"/>
        <d v="2023-06-28T00:00:00"/>
        <d v="2023-06-25T00:00:00"/>
        <d v="2022-07-30T00:00:00"/>
        <d v="2023-01-04T00:00:00"/>
        <d v="2023-11-21T00:00:00"/>
        <d v="2023-02-22T00:00:00"/>
        <d v="2022-08-23T00:00:00"/>
        <d v="2023-07-30T00:00:00"/>
        <d v="2023-08-19T00:00:00"/>
        <d v="2022-05-09T00:00:00"/>
        <d v="2023-04-21T00:00:00"/>
        <d v="2023-11-27T00:00:00"/>
        <d v="2023-05-30T00:00:00"/>
        <d v="2022-01-03T00:00:00"/>
        <d v="2023-11-14T00:00:00"/>
        <d v="2022-01-22T00:00:00"/>
        <d v="2023-11-09T00:00:00"/>
        <d v="2023-02-01T00:00:00"/>
        <d v="2022-08-10T00:00:00"/>
        <d v="2023-01-25T00:00:00"/>
        <d v="2022-03-05T00:00:00"/>
        <d v="2022-12-05T00:00:00"/>
        <d v="2022-12-09T00:00:00"/>
        <d v="2023-04-26T00:00:00"/>
        <d v="2023-12-08T00:00:00"/>
        <d v="2022-04-19T00:00:00"/>
        <d v="2023-04-20T00:00:00"/>
        <d v="2022-03-21T00:00:00"/>
        <d v="2022-08-12T00:00:00"/>
        <d v="2023-09-04T00:00:00"/>
        <d v="2023-02-17T00:00:00"/>
        <d v="2023-02-19T00:00:00"/>
        <d v="2023-08-01T00:00:00"/>
        <d v="2023-03-15T00:00:00"/>
        <d v="2022-03-13T00:00:00"/>
        <d v="2023-01-31T00:00:00"/>
        <d v="2022-08-04T00:00:00"/>
        <d v="2023-02-20T00:00:00"/>
        <d v="2022-12-16T00:00:00"/>
        <d v="2023-06-11T00:00:00"/>
        <d v="2022-08-24T00:00:00"/>
        <d v="2023-03-09T00:00:00"/>
        <d v="2023-08-06T00:00:00"/>
        <d v="2023-09-01T00:00:00"/>
        <d v="2023-04-06T00:00:00"/>
        <d v="2022-03-10T00:00:00"/>
        <d v="2023-03-28T00:00:00"/>
        <d v="2022-12-12T00:00:00"/>
        <d v="2023-03-18T00:00:00"/>
        <d v="2023-11-30T00:00:00"/>
        <d v="2023-11-23T00:00:00"/>
        <d v="2022-12-25T00:00:00"/>
        <d v="2022-10-06T00:00:00"/>
        <d v="2022-12-06T00:00:00"/>
        <d v="2023-05-25T00:00:00"/>
        <d v="2023-04-22T00:00:00"/>
        <d v="2022-06-29T00:00:00"/>
        <d v="2022-01-23T00:00:00"/>
        <d v="2023-07-12T00:00:00"/>
        <d v="2022-09-07T00:00:00"/>
        <d v="2022-08-29T00:00:00"/>
        <d v="2022-07-19T00:00:00"/>
        <d v="2023-01-30T00:00:00"/>
        <d v="2022-04-07T00:00:00"/>
        <d v="2022-03-28T00:00:00"/>
        <d v="2023-05-02T00:00:00"/>
        <d v="2022-09-05T00:00:00"/>
        <d v="2022-12-24T00:00:00"/>
        <d v="2023-06-04T00:00:00"/>
        <d v="2023-04-13T00:00:00"/>
        <d v="2022-04-26T00:00:00"/>
        <d v="2022-01-16T00:00:00"/>
        <d v="2022-07-16T00:00:00"/>
        <d v="2023-07-04T00:00:00"/>
        <d v="2022-08-19T00:00:00"/>
        <d v="2023-09-13T00:00:00"/>
        <d v="2022-04-15T00:00:00"/>
        <d v="2023-05-27T00:00:00"/>
        <d v="2022-06-16T00:00:00"/>
        <d v="2022-07-31T00:00:00"/>
        <d v="2022-02-01T00:00:00"/>
        <d v="2022-10-23T00:00:00"/>
        <d v="2022-07-10T00:00:00"/>
        <d v="2022-07-09T00:00:00"/>
        <d v="2022-05-26T00:00:00"/>
        <d v="2023-08-23T00:00:00"/>
        <d v="2023-11-25T00:00:00"/>
        <d v="2022-04-16T00:00:00"/>
        <d v="2023-12-02T00:00:00"/>
        <d v="2022-12-20T00:00:00"/>
        <d v="2023-12-09T00:00:00"/>
        <d v="2022-01-05T00:00:00"/>
        <d v="2023-09-15T00:00:00"/>
        <d v="2022-05-12T00:00:00"/>
        <d v="2022-08-11T00:00:00"/>
        <d v="2022-02-02T00:00:00"/>
        <d v="2022-06-03T00:00:00"/>
        <d v="2023-07-02T00:00:00"/>
        <d v="2023-08-14T00:00:00"/>
        <d v="2022-03-29T00:00:00"/>
        <d v="2023-08-16T00:00:00"/>
        <d v="2022-08-06T00:00:00"/>
        <d v="2022-11-05T00:00:00"/>
        <d v="2023-11-19T00:00:00"/>
        <d v="2022-05-25T00:00:00"/>
        <d v="2023-03-03T00:00:00"/>
        <d v="2023-06-03T00:00:00"/>
        <d v="2023-02-07T00:00:00"/>
        <d v="2023-09-21T00:00:00"/>
        <d v="2022-10-15T00:00:00"/>
        <d v="2022-10-28T00:00:00"/>
        <d v="2022-02-20T00:00:00"/>
        <d v="2023-05-24T00:00:00"/>
        <d v="2022-05-24T00:00:00"/>
        <d v="2022-11-03T00:00:00"/>
        <d v="2023-11-02T00:00:00"/>
      </sharedItems>
      <fieldGroup par="11" base="6">
        <rangePr groupBy="months" startDate="2022-01-03T00:00:00" endDate="2023-12-10T00:00:00"/>
        <groupItems count="14">
          <s v="&lt;03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0/12/2023"/>
        </groupItems>
      </fieldGroup>
    </cacheField>
    <cacheField name="ValorUnit" numFmtId="164">
      <sharedItems containsSemiMixedTypes="0" containsString="0" containsNumber="1" containsInteger="1" minValue="300" maxValue="3500"/>
    </cacheField>
    <cacheField name="Medida" numFmtId="0">
      <sharedItems count="4">
        <s v="Bloco"/>
        <s v="Kilos"/>
        <s v="Metro"/>
        <s v="Unidade"/>
      </sharedItems>
    </cacheField>
    <cacheField name="Total" numFmtId="164">
      <sharedItems containsSemiMixedTypes="0" containsString="0" containsNumber="1" containsInteger="1" minValue="15000" maxValue="1750000"/>
    </cacheField>
    <cacheField name="Trimestres" numFmtId="0" databaseField="0">
      <fieldGroup base="6">
        <rangePr groupBy="quarters" startDate="2022-01-03T00:00:00" endDate="2023-12-10T00:00:00"/>
        <groupItems count="6">
          <s v="&lt;03/01/2022"/>
          <s v="Trim1"/>
          <s v="Trim2"/>
          <s v="Trim3"/>
          <s v="Trim4"/>
          <s v="&gt;10/12/2023"/>
        </groupItems>
      </fieldGroup>
    </cacheField>
    <cacheField name="Anos" numFmtId="0" databaseField="0">
      <fieldGroup base="6">
        <rangePr groupBy="years" startDate="2022-01-03T00:00:00" endDate="2023-12-10T00:00:00"/>
        <groupItems count="4">
          <s v="&lt;03/01/2022"/>
          <s v="2022"/>
          <s v="2023"/>
          <s v="&gt;10/12/2023"/>
        </groupItems>
      </fieldGroup>
    </cacheField>
  </cacheFields>
  <extLst>
    <ext xmlns:x14="http://schemas.microsoft.com/office/spreadsheetml/2009/9/main" uri="{725AE2AE-9491-48be-B2B4-4EB974FC3084}">
      <x14:pivotCacheDefinition pivotCacheId="743611944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dia Carvalho Guimaraes" refreshedDate="45299.833731018516" createdVersion="8" refreshedVersion="8" minRefreshableVersion="3" recordCount="2" xr:uid="{50C53321-2FA3-4DF6-8656-C213F329EA45}">
  <cacheSource type="worksheet">
    <worksheetSource name="Tabela20"/>
  </cacheSource>
  <cacheFields count="4">
    <cacheField name="Ano" numFmtId="14">
      <sharedItems containsSemiMixedTypes="0" containsNonDate="0" containsDate="1" containsString="0" minDate="2022-12-01T00:00:00" maxDate="2023-12-02T00:00:00" count="2">
        <d v="2022-12-01T00:00:00"/>
        <d v="2023-12-01T00:00:00"/>
      </sharedItems>
      <fieldGroup par="3" base="0">
        <rangePr groupBy="months" startDate="2022-12-01T00:00:00" endDate="2023-12-02T00:00:00"/>
        <groupItems count="14">
          <s v="&lt;01/12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3"/>
        </groupItems>
      </fieldGroup>
    </cacheField>
    <cacheField name="Total do Custo" numFmtId="44">
      <sharedItems containsSemiMixedTypes="0" containsString="0" containsNumber="1" containsInteger="1" minValue="27952704750" maxValue="37170677565"/>
    </cacheField>
    <cacheField name="Trimestres" numFmtId="0" databaseField="0">
      <fieldGroup base="0">
        <rangePr groupBy="quarters" startDate="2022-12-01T00:00:00" endDate="2023-12-02T00:00:00"/>
        <groupItems count="6">
          <s v="&lt;01/12/2022"/>
          <s v="Trim1"/>
          <s v="Trim2"/>
          <s v="Trim3"/>
          <s v="Trim4"/>
          <s v="&gt;02/12/2023"/>
        </groupItems>
      </fieldGroup>
    </cacheField>
    <cacheField name="Anos" numFmtId="0" databaseField="0">
      <fieldGroup base="0">
        <rangePr groupBy="years" startDate="2022-12-01T00:00:00" endDate="2023-12-02T00:00:00"/>
        <groupItems count="4">
          <s v="&lt;01/12/2022"/>
          <s v="2022"/>
          <s v="2023"/>
          <s v="&gt;02/12/2023"/>
        </groupItems>
      </fieldGroup>
    </cacheField>
  </cacheFields>
  <extLst>
    <ext xmlns:x14="http://schemas.microsoft.com/office/spreadsheetml/2009/9/main" uri="{725AE2AE-9491-48be-B2B4-4EB974FC3084}">
      <x14:pivotCacheDefinition pivotCacheId="1830375646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dia Carvalho Guimaraes" refreshedDate="45299.851664004629" createdVersion="8" refreshedVersion="8" minRefreshableVersion="3" recordCount="2" xr:uid="{E5F5C5B5-B166-44D5-BF86-457E2BDAA994}">
  <cacheSource type="worksheet">
    <worksheetSource ref="A21:C23" sheet="comparativo"/>
  </cacheSource>
  <cacheFields count="5">
    <cacheField name="ANO" numFmtId="14">
      <sharedItems containsSemiMixedTypes="0" containsNonDate="0" containsDate="1" containsString="0" minDate="2022-01-01T00:00:00" maxDate="2023-01-02T00:00:00" count="2">
        <d v="2022-01-01T00:00:00"/>
        <d v="2023-01-01T00:00:00"/>
      </sharedItems>
      <fieldGroup par="4" base="0">
        <rangePr groupBy="months" startDate="2022-01-01T00:00:00" endDate="2023-01-02T00:00:00"/>
        <groupItems count="14">
          <s v="&lt;0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1/2023"/>
        </groupItems>
      </fieldGroup>
    </cacheField>
    <cacheField name="% PARTICIPAÇÃO" numFmtId="9">
      <sharedItems containsSemiMixedTypes="0" containsString="0" containsNumber="1" minValue="0.42910540186682955" maxValue="0.57089459813317045" count="2">
        <n v="0.57089459813317045"/>
        <n v="0.42910540186682955"/>
      </sharedItems>
    </cacheField>
    <cacheField name="% PARTICIPAÇÃO2" numFmtId="9">
      <sharedItems containsSemiMixedTypes="0" containsString="0" containsNumber="1" minValue="0.42450914014895058" maxValue="0.57549085985104942" count="2">
        <n v="0.57549085985104942"/>
        <n v="0.42450914014895058"/>
      </sharedItems>
    </cacheField>
    <cacheField name="Trimestres" numFmtId="0" databaseField="0">
      <fieldGroup base="0">
        <rangePr groupBy="quarters" startDate="2022-01-01T00:00:00" endDate="2023-01-02T00:00:00"/>
        <groupItems count="6">
          <s v="&lt;01/01/2022"/>
          <s v="Trim1"/>
          <s v="Trim2"/>
          <s v="Trim3"/>
          <s v="Trim4"/>
          <s v="&gt;02/01/2023"/>
        </groupItems>
      </fieldGroup>
    </cacheField>
    <cacheField name="Anos" numFmtId="0" databaseField="0">
      <fieldGroup base="0">
        <rangePr groupBy="years" startDate="2022-01-01T00:00:00" endDate="2023-01-02T00:00:00"/>
        <groupItems count="4">
          <s v="&lt;01/01/2022"/>
          <s v="2022"/>
          <s v="2023"/>
          <s v="&gt;02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dia Carvalho Guimaraes" refreshedDate="45302.602814930557" createdVersion="8" refreshedVersion="8" minRefreshableVersion="3" recordCount="3" xr:uid="{8EDD059C-5E94-402A-B21E-670A229348D7}">
  <cacheSource type="worksheet">
    <worksheetSource ref="A35:E38" sheet="comparativo"/>
  </cacheSource>
  <cacheFields count="5">
    <cacheField name="ANO" numFmtId="0">
      <sharedItems containsDate="1" containsMixedTypes="1" minDate="2022-01-01T00:00:00" maxDate="2023-01-02T00:00:00" count="3">
        <d v="2022-01-01T00:00:00"/>
        <d v="2023-01-01T00:00:00"/>
        <s v="TOTAL"/>
      </sharedItems>
    </cacheField>
    <cacheField name="TOTAL" numFmtId="44">
      <sharedItems containsSemiMixedTypes="0" containsString="0" containsNumber="1" containsInteger="1" minValue="27890950000" maxValue="64997900000"/>
    </cacheField>
    <cacheField name="% PARTICIPAÇÃO" numFmtId="9">
      <sharedItems containsSemiMixedTypes="0" containsString="0" containsNumber="1" minValue="0.42910540186682955" maxValue="1" count="3">
        <n v="0.57089459813317045"/>
        <n v="0.42910540186682955"/>
        <n v="1"/>
      </sharedItems>
    </cacheField>
    <cacheField name="QUANTIDADE" numFmtId="0">
      <sharedItems containsSemiMixedTypes="0" containsString="0" containsNumber="1" containsInteger="1" minValue="627" maxValue="1477"/>
    </cacheField>
    <cacheField name="% PARTICIPAÇÃO2" numFmtId="9">
      <sharedItems containsSemiMixedTypes="0" containsString="0" containsNumber="1" minValue="0.42450914014895058" maxValue="1" count="3">
        <n v="0.57549085985104942"/>
        <n v="0.42450914014895058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dia Carvalho Guimaraes" refreshedDate="45294.824504282406" createdVersion="8" refreshedVersion="8" minRefreshableVersion="3" recordCount="201" xr:uid="{00000000-000A-0000-FFFF-FFFF06000000}">
  <cacheSource type="worksheet">
    <worksheetSource ref="A1:I1048576" sheet="CustoDeCapitalPA"/>
  </cacheSource>
  <cacheFields count="9">
    <cacheField name="Id" numFmtId="0">
      <sharedItems containsString="0" containsBlank="1" containsNumber="1" containsInteger="1" minValue="1" maxValue="200"/>
    </cacheField>
    <cacheField name="Produto" numFmtId="0">
      <sharedItems containsBlank="1" count="10">
        <s v="E190"/>
        <s v="EMB 314 Super Tucano"/>
        <s v="Preator 600"/>
        <s v="E195"/>
        <s v="KC390"/>
        <s v="Legacy 600"/>
        <s v="Phenom 100"/>
        <s v="ERJ 145XR"/>
        <s v="EMB 145 AEW&amp;C"/>
        <m/>
      </sharedItems>
    </cacheField>
    <cacheField name="Codigo" numFmtId="0">
      <sharedItems containsBlank="1"/>
    </cacheField>
    <cacheField name="Quantidade" numFmtId="0">
      <sharedItems containsString="0" containsBlank="1" containsNumber="1" containsInteger="1" minValue="1" maxValue="30"/>
    </cacheField>
    <cacheField name="Localizacao" numFmtId="0">
      <sharedItems containsBlank="1" count="5">
        <s v="Armazém D"/>
        <s v="Armazém C"/>
        <s v="Armazém B"/>
        <s v="Armazém A"/>
        <m/>
      </sharedItems>
    </cacheField>
    <cacheField name="Situacao" numFmtId="0">
      <sharedItems containsBlank="1" count="5">
        <s v="Obsoleto"/>
        <s v="Disponível"/>
        <s v="Avariado"/>
        <s v="Em Produção"/>
        <m/>
      </sharedItems>
    </cacheField>
    <cacheField name="Data" numFmtId="0">
      <sharedItems containsNonDate="0" containsDate="1" containsString="0" containsBlank="1" minDate="2022-01-30T00:00:00" maxDate="2023-12-17T00:00:00" count="21">
        <d v="2022-05-25T00:00:00"/>
        <d v="2023-07-10T00:00:00"/>
        <d v="2023-07-09T00:00:00"/>
        <d v="2023-02-01T00:00:00"/>
        <d v="2023-12-16T00:00:00"/>
        <d v="2023-03-21T00:00:00"/>
        <d v="2022-10-28T00:00:00"/>
        <d v="2022-08-15T00:00:00"/>
        <d v="2023-03-29T00:00:00"/>
        <d v="2022-05-29T00:00:00"/>
        <d v="2022-08-14T00:00:00"/>
        <d v="2022-09-14T00:00:00"/>
        <d v="2022-11-27T00:00:00"/>
        <d v="2022-04-22T00:00:00"/>
        <d v="2022-06-08T00:00:00"/>
        <d v="2022-11-02T00:00:00"/>
        <d v="2022-01-30T00:00:00"/>
        <d v="2022-03-03T00:00:00"/>
        <d v="2022-08-08T00:00:00"/>
        <d v="2022-08-23T00:00:00"/>
        <m/>
      </sharedItems>
    </cacheField>
    <cacheField name="Valor" numFmtId="44">
      <sharedItems containsString="0" containsBlank="1" containsNumber="1" containsInteger="1" minValue="28500000" maxValue="58500000"/>
    </cacheField>
    <cacheField name="Total" numFmtId="0">
      <sharedItems containsString="0" containsBlank="1" containsNumber="1" containsInteger="1" minValue="28500000" maxValue="1755000000"/>
    </cacheField>
  </cacheFields>
  <extLst>
    <ext xmlns:x14="http://schemas.microsoft.com/office/spreadsheetml/2009/9/main" uri="{725AE2AE-9491-48be-B2B4-4EB974FC3084}">
      <x14:pivotCacheDefinition pivotCacheId="7758496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n v="134"/>
    <x v="0"/>
    <x v="0"/>
    <x v="0"/>
    <x v="0"/>
    <n v="10200"/>
    <n v="5100"/>
  </r>
  <r>
    <n v="2"/>
    <x v="1"/>
    <n v="875"/>
    <x v="1"/>
    <x v="1"/>
    <x v="1"/>
    <x v="1"/>
    <n v="1970"/>
    <n v="98.5"/>
  </r>
  <r>
    <n v="3"/>
    <x v="2"/>
    <n v="102"/>
    <x v="2"/>
    <x v="0"/>
    <x v="2"/>
    <x v="2"/>
    <n v="24000"/>
    <n v="800"/>
  </r>
  <r>
    <n v="4"/>
    <x v="3"/>
    <n v="456"/>
    <x v="3"/>
    <x v="2"/>
    <x v="3"/>
    <x v="3"/>
    <n v="300500"/>
    <n v="300500"/>
  </r>
  <r>
    <n v="5"/>
    <x v="4"/>
    <n v="217"/>
    <x v="2"/>
    <x v="1"/>
    <x v="4"/>
    <x v="4"/>
    <n v="2170"/>
    <n v="72.333333333333329"/>
  </r>
  <r>
    <n v="6"/>
    <x v="1"/>
    <n v="875"/>
    <x v="2"/>
    <x v="0"/>
    <x v="1"/>
    <x v="0"/>
    <n v="1970"/>
    <n v="65.666666666666671"/>
  </r>
  <r>
    <n v="7"/>
    <x v="1"/>
    <n v="875"/>
    <x v="4"/>
    <x v="0"/>
    <x v="1"/>
    <x v="5"/>
    <n v="1970"/>
    <n v="197"/>
  </r>
  <r>
    <n v="8"/>
    <x v="0"/>
    <n v="134"/>
    <x v="3"/>
    <x v="3"/>
    <x v="0"/>
    <x v="6"/>
    <n v="10200"/>
    <n v="10200"/>
  </r>
  <r>
    <n v="9"/>
    <x v="3"/>
    <n v="456"/>
    <x v="4"/>
    <x v="3"/>
    <x v="3"/>
    <x v="7"/>
    <n v="300500"/>
    <n v="30050"/>
  </r>
  <r>
    <n v="10"/>
    <x v="3"/>
    <n v="456"/>
    <x v="4"/>
    <x v="3"/>
    <x v="3"/>
    <x v="6"/>
    <n v="300500"/>
    <n v="30050"/>
  </r>
  <r>
    <n v="11"/>
    <x v="2"/>
    <n v="102"/>
    <x v="2"/>
    <x v="3"/>
    <x v="2"/>
    <x v="8"/>
    <n v="24000"/>
    <n v="800"/>
  </r>
  <r>
    <n v="12"/>
    <x v="0"/>
    <n v="134"/>
    <x v="3"/>
    <x v="3"/>
    <x v="0"/>
    <x v="6"/>
    <n v="10200"/>
    <n v="10200"/>
  </r>
  <r>
    <n v="13"/>
    <x v="5"/>
    <n v="476"/>
    <x v="2"/>
    <x v="0"/>
    <x v="5"/>
    <x v="9"/>
    <n v="20550"/>
    <n v="685"/>
  </r>
  <r>
    <n v="14"/>
    <x v="6"/>
    <n v="579"/>
    <x v="1"/>
    <x v="0"/>
    <x v="6"/>
    <x v="10"/>
    <n v="80050"/>
    <n v="4002.5"/>
  </r>
  <r>
    <n v="15"/>
    <x v="0"/>
    <n v="134"/>
    <x v="1"/>
    <x v="1"/>
    <x v="0"/>
    <x v="3"/>
    <n v="10200"/>
    <n v="510"/>
  </r>
  <r>
    <n v="16"/>
    <x v="6"/>
    <n v="579"/>
    <x v="3"/>
    <x v="3"/>
    <x v="6"/>
    <x v="11"/>
    <n v="80050"/>
    <n v="80050"/>
  </r>
  <r>
    <n v="17"/>
    <x v="6"/>
    <n v="579"/>
    <x v="1"/>
    <x v="3"/>
    <x v="6"/>
    <x v="0"/>
    <n v="80050"/>
    <n v="4002.5"/>
  </r>
  <r>
    <n v="18"/>
    <x v="2"/>
    <n v="102"/>
    <x v="4"/>
    <x v="1"/>
    <x v="2"/>
    <x v="12"/>
    <n v="24000"/>
    <n v="2400"/>
  </r>
  <r>
    <n v="19"/>
    <x v="7"/>
    <n v="147"/>
    <x v="1"/>
    <x v="0"/>
    <x v="7"/>
    <x v="4"/>
    <n v="2100"/>
    <n v="105"/>
  </r>
  <r>
    <n v="20"/>
    <x v="2"/>
    <n v="102"/>
    <x v="1"/>
    <x v="2"/>
    <x v="2"/>
    <x v="3"/>
    <n v="24000"/>
    <n v="1200"/>
  </r>
  <r>
    <n v="21"/>
    <x v="1"/>
    <n v="875"/>
    <x v="2"/>
    <x v="0"/>
    <x v="1"/>
    <x v="4"/>
    <n v="1970"/>
    <n v="65.666666666666671"/>
  </r>
  <r>
    <n v="22"/>
    <x v="5"/>
    <n v="476"/>
    <x v="0"/>
    <x v="1"/>
    <x v="5"/>
    <x v="13"/>
    <n v="20550"/>
    <n v="10275"/>
  </r>
  <r>
    <n v="23"/>
    <x v="6"/>
    <n v="579"/>
    <x v="4"/>
    <x v="0"/>
    <x v="6"/>
    <x v="1"/>
    <n v="80050"/>
    <n v="8005"/>
  </r>
  <r>
    <n v="24"/>
    <x v="6"/>
    <n v="579"/>
    <x v="1"/>
    <x v="3"/>
    <x v="6"/>
    <x v="2"/>
    <n v="80050"/>
    <n v="4002.5"/>
  </r>
  <r>
    <n v="25"/>
    <x v="5"/>
    <n v="476"/>
    <x v="3"/>
    <x v="3"/>
    <x v="5"/>
    <x v="1"/>
    <n v="20550"/>
    <n v="20550"/>
  </r>
  <r>
    <n v="26"/>
    <x v="4"/>
    <n v="217"/>
    <x v="2"/>
    <x v="1"/>
    <x v="4"/>
    <x v="6"/>
    <n v="2170"/>
    <n v="72.333333333333329"/>
  </r>
  <r>
    <n v="27"/>
    <x v="3"/>
    <n v="456"/>
    <x v="1"/>
    <x v="2"/>
    <x v="3"/>
    <x v="13"/>
    <n v="300500"/>
    <n v="15025"/>
  </r>
  <r>
    <n v="28"/>
    <x v="5"/>
    <n v="476"/>
    <x v="0"/>
    <x v="3"/>
    <x v="5"/>
    <x v="14"/>
    <n v="20550"/>
    <n v="10275"/>
  </r>
  <r>
    <n v="29"/>
    <x v="1"/>
    <n v="875"/>
    <x v="3"/>
    <x v="3"/>
    <x v="1"/>
    <x v="14"/>
    <n v="1970"/>
    <n v="1970"/>
  </r>
  <r>
    <n v="30"/>
    <x v="3"/>
    <n v="456"/>
    <x v="3"/>
    <x v="0"/>
    <x v="3"/>
    <x v="7"/>
    <n v="300500"/>
    <n v="300500"/>
  </r>
  <r>
    <n v="31"/>
    <x v="0"/>
    <n v="134"/>
    <x v="3"/>
    <x v="2"/>
    <x v="0"/>
    <x v="13"/>
    <n v="10200"/>
    <n v="10200"/>
  </r>
  <r>
    <n v="32"/>
    <x v="0"/>
    <n v="134"/>
    <x v="3"/>
    <x v="1"/>
    <x v="0"/>
    <x v="15"/>
    <n v="10200"/>
    <n v="10200"/>
  </r>
  <r>
    <n v="33"/>
    <x v="3"/>
    <n v="456"/>
    <x v="0"/>
    <x v="0"/>
    <x v="3"/>
    <x v="11"/>
    <n v="300500"/>
    <n v="150250"/>
  </r>
  <r>
    <n v="34"/>
    <x v="1"/>
    <n v="875"/>
    <x v="3"/>
    <x v="3"/>
    <x v="1"/>
    <x v="8"/>
    <n v="1970"/>
    <n v="1970"/>
  </r>
  <r>
    <n v="35"/>
    <x v="6"/>
    <n v="579"/>
    <x v="3"/>
    <x v="1"/>
    <x v="6"/>
    <x v="16"/>
    <n v="80050"/>
    <n v="80050"/>
  </r>
  <r>
    <n v="36"/>
    <x v="3"/>
    <n v="456"/>
    <x v="4"/>
    <x v="3"/>
    <x v="3"/>
    <x v="16"/>
    <n v="300500"/>
    <n v="30050"/>
  </r>
  <r>
    <n v="37"/>
    <x v="7"/>
    <n v="147"/>
    <x v="3"/>
    <x v="2"/>
    <x v="7"/>
    <x v="6"/>
    <n v="2100"/>
    <n v="2100"/>
  </r>
  <r>
    <n v="38"/>
    <x v="4"/>
    <n v="217"/>
    <x v="1"/>
    <x v="2"/>
    <x v="4"/>
    <x v="17"/>
    <n v="2170"/>
    <n v="108.5"/>
  </r>
  <r>
    <n v="39"/>
    <x v="7"/>
    <n v="147"/>
    <x v="0"/>
    <x v="2"/>
    <x v="7"/>
    <x v="9"/>
    <n v="2100"/>
    <n v="1050"/>
  </r>
  <r>
    <n v="40"/>
    <x v="5"/>
    <n v="476"/>
    <x v="1"/>
    <x v="1"/>
    <x v="5"/>
    <x v="16"/>
    <n v="20550"/>
    <n v="1027.5"/>
  </r>
  <r>
    <n v="41"/>
    <x v="5"/>
    <n v="476"/>
    <x v="0"/>
    <x v="3"/>
    <x v="5"/>
    <x v="14"/>
    <n v="20550"/>
    <n v="10275"/>
  </r>
  <r>
    <n v="42"/>
    <x v="7"/>
    <n v="147"/>
    <x v="0"/>
    <x v="1"/>
    <x v="7"/>
    <x v="6"/>
    <n v="2100"/>
    <n v="1050"/>
  </r>
  <r>
    <n v="43"/>
    <x v="1"/>
    <n v="875"/>
    <x v="3"/>
    <x v="1"/>
    <x v="1"/>
    <x v="18"/>
    <n v="1970"/>
    <n v="1970"/>
  </r>
  <r>
    <n v="44"/>
    <x v="2"/>
    <n v="102"/>
    <x v="3"/>
    <x v="0"/>
    <x v="2"/>
    <x v="18"/>
    <n v="24000"/>
    <n v="24000"/>
  </r>
  <r>
    <n v="45"/>
    <x v="3"/>
    <n v="456"/>
    <x v="4"/>
    <x v="1"/>
    <x v="3"/>
    <x v="15"/>
    <n v="300500"/>
    <n v="30050"/>
  </r>
  <r>
    <n v="46"/>
    <x v="2"/>
    <n v="102"/>
    <x v="0"/>
    <x v="1"/>
    <x v="2"/>
    <x v="1"/>
    <n v="24000"/>
    <n v="12000"/>
  </r>
  <r>
    <n v="47"/>
    <x v="0"/>
    <n v="134"/>
    <x v="3"/>
    <x v="1"/>
    <x v="0"/>
    <x v="16"/>
    <n v="10200"/>
    <n v="10200"/>
  </r>
  <r>
    <n v="48"/>
    <x v="0"/>
    <n v="134"/>
    <x v="0"/>
    <x v="3"/>
    <x v="0"/>
    <x v="3"/>
    <n v="10200"/>
    <n v="5100"/>
  </r>
  <r>
    <n v="49"/>
    <x v="7"/>
    <n v="147"/>
    <x v="2"/>
    <x v="0"/>
    <x v="7"/>
    <x v="16"/>
    <n v="2100"/>
    <n v="70"/>
  </r>
  <r>
    <n v="50"/>
    <x v="0"/>
    <n v="134"/>
    <x v="2"/>
    <x v="3"/>
    <x v="0"/>
    <x v="2"/>
    <n v="10200"/>
    <n v="340"/>
  </r>
  <r>
    <n v="51"/>
    <x v="2"/>
    <n v="102"/>
    <x v="2"/>
    <x v="3"/>
    <x v="2"/>
    <x v="19"/>
    <n v="24000"/>
    <n v="800"/>
  </r>
  <r>
    <n v="52"/>
    <x v="1"/>
    <n v="875"/>
    <x v="4"/>
    <x v="1"/>
    <x v="1"/>
    <x v="3"/>
    <n v="1970"/>
    <n v="197"/>
  </r>
  <r>
    <n v="53"/>
    <x v="1"/>
    <n v="875"/>
    <x v="1"/>
    <x v="1"/>
    <x v="1"/>
    <x v="5"/>
    <n v="1970"/>
    <n v="98.5"/>
  </r>
  <r>
    <n v="54"/>
    <x v="3"/>
    <n v="456"/>
    <x v="1"/>
    <x v="0"/>
    <x v="3"/>
    <x v="6"/>
    <n v="300500"/>
    <n v="15025"/>
  </r>
  <r>
    <n v="55"/>
    <x v="3"/>
    <n v="456"/>
    <x v="1"/>
    <x v="3"/>
    <x v="3"/>
    <x v="1"/>
    <n v="300500"/>
    <n v="15025"/>
  </r>
  <r>
    <n v="56"/>
    <x v="6"/>
    <n v="579"/>
    <x v="4"/>
    <x v="0"/>
    <x v="6"/>
    <x v="6"/>
    <n v="80050"/>
    <n v="8005"/>
  </r>
  <r>
    <n v="57"/>
    <x v="0"/>
    <n v="134"/>
    <x v="0"/>
    <x v="2"/>
    <x v="0"/>
    <x v="1"/>
    <n v="10200"/>
    <n v="5100"/>
  </r>
  <r>
    <n v="58"/>
    <x v="3"/>
    <n v="456"/>
    <x v="4"/>
    <x v="0"/>
    <x v="3"/>
    <x v="10"/>
    <n v="300500"/>
    <n v="30050"/>
  </r>
  <r>
    <n v="59"/>
    <x v="3"/>
    <n v="456"/>
    <x v="1"/>
    <x v="3"/>
    <x v="3"/>
    <x v="14"/>
    <n v="300500"/>
    <n v="15025"/>
  </r>
  <r>
    <n v="60"/>
    <x v="5"/>
    <n v="476"/>
    <x v="1"/>
    <x v="0"/>
    <x v="5"/>
    <x v="10"/>
    <n v="20550"/>
    <n v="1027.5"/>
  </r>
  <r>
    <n v="61"/>
    <x v="2"/>
    <n v="102"/>
    <x v="3"/>
    <x v="2"/>
    <x v="2"/>
    <x v="16"/>
    <n v="24000"/>
    <n v="24000"/>
  </r>
  <r>
    <n v="62"/>
    <x v="5"/>
    <n v="476"/>
    <x v="3"/>
    <x v="0"/>
    <x v="5"/>
    <x v="19"/>
    <n v="20550"/>
    <n v="20550"/>
  </r>
  <r>
    <n v="63"/>
    <x v="4"/>
    <n v="217"/>
    <x v="3"/>
    <x v="0"/>
    <x v="4"/>
    <x v="6"/>
    <n v="2170"/>
    <n v="2170"/>
  </r>
  <r>
    <n v="64"/>
    <x v="1"/>
    <n v="875"/>
    <x v="1"/>
    <x v="2"/>
    <x v="1"/>
    <x v="19"/>
    <n v="1970"/>
    <n v="98.5"/>
  </r>
  <r>
    <n v="65"/>
    <x v="0"/>
    <n v="134"/>
    <x v="0"/>
    <x v="3"/>
    <x v="0"/>
    <x v="14"/>
    <n v="10200"/>
    <n v="5100"/>
  </r>
  <r>
    <n v="66"/>
    <x v="4"/>
    <n v="217"/>
    <x v="3"/>
    <x v="1"/>
    <x v="4"/>
    <x v="15"/>
    <n v="2170"/>
    <n v="2170"/>
  </r>
  <r>
    <n v="67"/>
    <x v="4"/>
    <n v="217"/>
    <x v="0"/>
    <x v="2"/>
    <x v="4"/>
    <x v="13"/>
    <n v="2170"/>
    <n v="1085"/>
  </r>
  <r>
    <n v="68"/>
    <x v="1"/>
    <n v="875"/>
    <x v="3"/>
    <x v="3"/>
    <x v="1"/>
    <x v="8"/>
    <n v="1970"/>
    <n v="1970"/>
  </r>
  <r>
    <n v="69"/>
    <x v="6"/>
    <n v="579"/>
    <x v="3"/>
    <x v="2"/>
    <x v="6"/>
    <x v="1"/>
    <n v="80050"/>
    <n v="80050"/>
  </r>
  <r>
    <n v="70"/>
    <x v="5"/>
    <n v="476"/>
    <x v="1"/>
    <x v="3"/>
    <x v="5"/>
    <x v="3"/>
    <n v="20550"/>
    <n v="1027.5"/>
  </r>
  <r>
    <n v="71"/>
    <x v="2"/>
    <n v="102"/>
    <x v="3"/>
    <x v="1"/>
    <x v="2"/>
    <x v="13"/>
    <n v="24000"/>
    <n v="24000"/>
  </r>
  <r>
    <n v="72"/>
    <x v="1"/>
    <n v="875"/>
    <x v="4"/>
    <x v="2"/>
    <x v="1"/>
    <x v="13"/>
    <n v="1970"/>
    <n v="197"/>
  </r>
  <r>
    <n v="73"/>
    <x v="6"/>
    <n v="579"/>
    <x v="1"/>
    <x v="3"/>
    <x v="6"/>
    <x v="7"/>
    <n v="80050"/>
    <n v="4002.5"/>
  </r>
  <r>
    <n v="74"/>
    <x v="0"/>
    <n v="134"/>
    <x v="1"/>
    <x v="2"/>
    <x v="0"/>
    <x v="3"/>
    <n v="10200"/>
    <n v="510"/>
  </r>
  <r>
    <n v="75"/>
    <x v="0"/>
    <n v="134"/>
    <x v="4"/>
    <x v="0"/>
    <x v="0"/>
    <x v="0"/>
    <n v="10200"/>
    <n v="1020"/>
  </r>
  <r>
    <n v="76"/>
    <x v="7"/>
    <n v="147"/>
    <x v="3"/>
    <x v="2"/>
    <x v="7"/>
    <x v="13"/>
    <n v="2100"/>
    <n v="2100"/>
  </r>
  <r>
    <n v="77"/>
    <x v="3"/>
    <n v="456"/>
    <x v="3"/>
    <x v="3"/>
    <x v="3"/>
    <x v="4"/>
    <n v="300500"/>
    <n v="300500"/>
  </r>
  <r>
    <n v="78"/>
    <x v="5"/>
    <n v="476"/>
    <x v="3"/>
    <x v="1"/>
    <x v="5"/>
    <x v="8"/>
    <n v="20550"/>
    <n v="20550"/>
  </r>
  <r>
    <n v="79"/>
    <x v="7"/>
    <n v="147"/>
    <x v="4"/>
    <x v="1"/>
    <x v="7"/>
    <x v="8"/>
    <n v="2100"/>
    <n v="210"/>
  </r>
  <r>
    <n v="80"/>
    <x v="0"/>
    <n v="134"/>
    <x v="0"/>
    <x v="2"/>
    <x v="0"/>
    <x v="13"/>
    <n v="10200"/>
    <n v="5100"/>
  </r>
  <r>
    <n v="81"/>
    <x v="4"/>
    <n v="217"/>
    <x v="3"/>
    <x v="0"/>
    <x v="4"/>
    <x v="18"/>
    <n v="2170"/>
    <n v="2170"/>
  </r>
  <r>
    <n v="82"/>
    <x v="5"/>
    <n v="476"/>
    <x v="4"/>
    <x v="3"/>
    <x v="5"/>
    <x v="17"/>
    <n v="20550"/>
    <n v="2055"/>
  </r>
  <r>
    <n v="83"/>
    <x v="3"/>
    <n v="456"/>
    <x v="1"/>
    <x v="3"/>
    <x v="3"/>
    <x v="13"/>
    <n v="300500"/>
    <n v="15025"/>
  </r>
  <r>
    <n v="84"/>
    <x v="3"/>
    <n v="456"/>
    <x v="2"/>
    <x v="2"/>
    <x v="3"/>
    <x v="14"/>
    <n v="300500"/>
    <n v="10016.666666666666"/>
  </r>
  <r>
    <n v="85"/>
    <x v="4"/>
    <n v="217"/>
    <x v="0"/>
    <x v="2"/>
    <x v="4"/>
    <x v="12"/>
    <n v="2170"/>
    <n v="1085"/>
  </r>
  <r>
    <n v="86"/>
    <x v="1"/>
    <n v="875"/>
    <x v="2"/>
    <x v="0"/>
    <x v="1"/>
    <x v="8"/>
    <n v="1970"/>
    <n v="65.666666666666671"/>
  </r>
  <r>
    <n v="87"/>
    <x v="7"/>
    <n v="147"/>
    <x v="1"/>
    <x v="0"/>
    <x v="7"/>
    <x v="17"/>
    <n v="2100"/>
    <n v="105"/>
  </r>
  <r>
    <n v="88"/>
    <x v="1"/>
    <n v="875"/>
    <x v="1"/>
    <x v="1"/>
    <x v="1"/>
    <x v="18"/>
    <n v="1970"/>
    <n v="98.5"/>
  </r>
  <r>
    <n v="89"/>
    <x v="5"/>
    <n v="476"/>
    <x v="0"/>
    <x v="2"/>
    <x v="5"/>
    <x v="9"/>
    <n v="20550"/>
    <n v="10275"/>
  </r>
  <r>
    <n v="90"/>
    <x v="4"/>
    <n v="217"/>
    <x v="3"/>
    <x v="3"/>
    <x v="4"/>
    <x v="6"/>
    <n v="2170"/>
    <n v="2170"/>
  </r>
  <r>
    <n v="91"/>
    <x v="1"/>
    <n v="875"/>
    <x v="1"/>
    <x v="3"/>
    <x v="1"/>
    <x v="6"/>
    <n v="1970"/>
    <n v="98.5"/>
  </r>
  <r>
    <n v="92"/>
    <x v="3"/>
    <n v="456"/>
    <x v="4"/>
    <x v="2"/>
    <x v="3"/>
    <x v="11"/>
    <n v="300500"/>
    <n v="30050"/>
  </r>
  <r>
    <n v="93"/>
    <x v="2"/>
    <n v="102"/>
    <x v="0"/>
    <x v="2"/>
    <x v="2"/>
    <x v="1"/>
    <n v="24000"/>
    <n v="12000"/>
  </r>
  <r>
    <n v="94"/>
    <x v="7"/>
    <n v="147"/>
    <x v="0"/>
    <x v="3"/>
    <x v="7"/>
    <x v="16"/>
    <n v="2100"/>
    <n v="1050"/>
  </r>
  <r>
    <n v="95"/>
    <x v="3"/>
    <n v="456"/>
    <x v="4"/>
    <x v="2"/>
    <x v="3"/>
    <x v="18"/>
    <n v="300500"/>
    <n v="30050"/>
  </r>
  <r>
    <n v="96"/>
    <x v="3"/>
    <n v="456"/>
    <x v="1"/>
    <x v="2"/>
    <x v="3"/>
    <x v="11"/>
    <n v="300500"/>
    <n v="15025"/>
  </r>
  <r>
    <n v="97"/>
    <x v="6"/>
    <n v="579"/>
    <x v="3"/>
    <x v="0"/>
    <x v="6"/>
    <x v="9"/>
    <n v="80050"/>
    <n v="80050"/>
  </r>
  <r>
    <n v="98"/>
    <x v="1"/>
    <n v="875"/>
    <x v="4"/>
    <x v="1"/>
    <x v="1"/>
    <x v="15"/>
    <n v="1970"/>
    <n v="197"/>
  </r>
  <r>
    <n v="99"/>
    <x v="1"/>
    <n v="875"/>
    <x v="1"/>
    <x v="1"/>
    <x v="1"/>
    <x v="13"/>
    <n v="1970"/>
    <n v="98.5"/>
  </r>
  <r>
    <n v="100"/>
    <x v="0"/>
    <n v="134"/>
    <x v="4"/>
    <x v="2"/>
    <x v="0"/>
    <x v="6"/>
    <n v="10200"/>
    <n v="1020"/>
  </r>
  <r>
    <n v="101"/>
    <x v="0"/>
    <n v="134"/>
    <x v="1"/>
    <x v="1"/>
    <x v="0"/>
    <x v="12"/>
    <n v="10200"/>
    <n v="510"/>
  </r>
  <r>
    <n v="102"/>
    <x v="2"/>
    <n v="102"/>
    <x v="0"/>
    <x v="2"/>
    <x v="2"/>
    <x v="2"/>
    <n v="24000"/>
    <n v="12000"/>
  </r>
  <r>
    <n v="103"/>
    <x v="2"/>
    <n v="102"/>
    <x v="4"/>
    <x v="1"/>
    <x v="2"/>
    <x v="14"/>
    <n v="24000"/>
    <n v="2400"/>
  </r>
  <r>
    <n v="104"/>
    <x v="6"/>
    <n v="579"/>
    <x v="4"/>
    <x v="2"/>
    <x v="6"/>
    <x v="11"/>
    <n v="80050"/>
    <n v="8005"/>
  </r>
  <r>
    <n v="105"/>
    <x v="1"/>
    <n v="875"/>
    <x v="2"/>
    <x v="3"/>
    <x v="1"/>
    <x v="0"/>
    <n v="1970"/>
    <n v="65.666666666666671"/>
  </r>
  <r>
    <n v="106"/>
    <x v="7"/>
    <n v="147"/>
    <x v="1"/>
    <x v="1"/>
    <x v="7"/>
    <x v="10"/>
    <n v="2100"/>
    <n v="105"/>
  </r>
  <r>
    <n v="107"/>
    <x v="1"/>
    <n v="875"/>
    <x v="3"/>
    <x v="1"/>
    <x v="1"/>
    <x v="6"/>
    <n v="1970"/>
    <n v="1970"/>
  </r>
  <r>
    <n v="108"/>
    <x v="7"/>
    <n v="147"/>
    <x v="4"/>
    <x v="1"/>
    <x v="7"/>
    <x v="7"/>
    <n v="2100"/>
    <n v="210"/>
  </r>
  <r>
    <n v="109"/>
    <x v="5"/>
    <n v="476"/>
    <x v="3"/>
    <x v="0"/>
    <x v="5"/>
    <x v="1"/>
    <n v="20550"/>
    <n v="20550"/>
  </r>
  <r>
    <n v="110"/>
    <x v="3"/>
    <n v="456"/>
    <x v="4"/>
    <x v="1"/>
    <x v="3"/>
    <x v="19"/>
    <n v="300500"/>
    <n v="30050"/>
  </r>
  <r>
    <n v="111"/>
    <x v="6"/>
    <n v="579"/>
    <x v="0"/>
    <x v="0"/>
    <x v="6"/>
    <x v="0"/>
    <n v="80050"/>
    <n v="40025"/>
  </r>
  <r>
    <n v="112"/>
    <x v="3"/>
    <n v="456"/>
    <x v="1"/>
    <x v="2"/>
    <x v="3"/>
    <x v="3"/>
    <n v="300500"/>
    <n v="15025"/>
  </r>
  <r>
    <n v="113"/>
    <x v="0"/>
    <n v="134"/>
    <x v="1"/>
    <x v="1"/>
    <x v="0"/>
    <x v="6"/>
    <n v="10200"/>
    <n v="510"/>
  </r>
  <r>
    <n v="114"/>
    <x v="0"/>
    <n v="134"/>
    <x v="2"/>
    <x v="2"/>
    <x v="0"/>
    <x v="9"/>
    <n v="10200"/>
    <n v="340"/>
  </r>
  <r>
    <n v="115"/>
    <x v="5"/>
    <n v="476"/>
    <x v="2"/>
    <x v="2"/>
    <x v="5"/>
    <x v="0"/>
    <n v="20550"/>
    <n v="685"/>
  </r>
  <r>
    <n v="116"/>
    <x v="5"/>
    <n v="476"/>
    <x v="3"/>
    <x v="0"/>
    <x v="5"/>
    <x v="4"/>
    <n v="20550"/>
    <n v="20550"/>
  </r>
  <r>
    <n v="117"/>
    <x v="2"/>
    <n v="102"/>
    <x v="0"/>
    <x v="3"/>
    <x v="2"/>
    <x v="11"/>
    <n v="24000"/>
    <n v="12000"/>
  </r>
  <r>
    <n v="118"/>
    <x v="3"/>
    <n v="456"/>
    <x v="1"/>
    <x v="0"/>
    <x v="3"/>
    <x v="0"/>
    <n v="300500"/>
    <n v="15025"/>
  </r>
  <r>
    <n v="119"/>
    <x v="3"/>
    <n v="456"/>
    <x v="1"/>
    <x v="3"/>
    <x v="3"/>
    <x v="8"/>
    <n v="300500"/>
    <n v="15025"/>
  </r>
  <r>
    <n v="120"/>
    <x v="6"/>
    <n v="579"/>
    <x v="3"/>
    <x v="1"/>
    <x v="6"/>
    <x v="1"/>
    <n v="80050"/>
    <n v="80050"/>
  </r>
  <r>
    <n v="121"/>
    <x v="1"/>
    <n v="875"/>
    <x v="1"/>
    <x v="3"/>
    <x v="1"/>
    <x v="16"/>
    <n v="1970"/>
    <n v="98.5"/>
  </r>
  <r>
    <n v="122"/>
    <x v="5"/>
    <n v="476"/>
    <x v="0"/>
    <x v="2"/>
    <x v="5"/>
    <x v="3"/>
    <n v="20550"/>
    <n v="10275"/>
  </r>
  <r>
    <n v="123"/>
    <x v="5"/>
    <n v="476"/>
    <x v="1"/>
    <x v="0"/>
    <x v="5"/>
    <x v="6"/>
    <n v="20550"/>
    <n v="1027.5"/>
  </r>
  <r>
    <n v="124"/>
    <x v="2"/>
    <n v="102"/>
    <x v="2"/>
    <x v="1"/>
    <x v="2"/>
    <x v="7"/>
    <n v="24000"/>
    <n v="800"/>
  </r>
  <r>
    <n v="125"/>
    <x v="0"/>
    <n v="134"/>
    <x v="1"/>
    <x v="3"/>
    <x v="0"/>
    <x v="5"/>
    <n v="10200"/>
    <n v="510"/>
  </r>
  <r>
    <n v="126"/>
    <x v="5"/>
    <n v="476"/>
    <x v="4"/>
    <x v="0"/>
    <x v="5"/>
    <x v="18"/>
    <n v="20550"/>
    <n v="2055"/>
  </r>
  <r>
    <n v="127"/>
    <x v="5"/>
    <n v="476"/>
    <x v="4"/>
    <x v="1"/>
    <x v="5"/>
    <x v="3"/>
    <n v="20550"/>
    <n v="2055"/>
  </r>
  <r>
    <n v="128"/>
    <x v="0"/>
    <n v="134"/>
    <x v="3"/>
    <x v="0"/>
    <x v="0"/>
    <x v="6"/>
    <n v="10200"/>
    <n v="10200"/>
  </r>
  <r>
    <n v="129"/>
    <x v="7"/>
    <n v="147"/>
    <x v="0"/>
    <x v="3"/>
    <x v="7"/>
    <x v="12"/>
    <n v="2100"/>
    <n v="1050"/>
  </r>
  <r>
    <n v="130"/>
    <x v="2"/>
    <n v="102"/>
    <x v="2"/>
    <x v="2"/>
    <x v="2"/>
    <x v="18"/>
    <n v="24000"/>
    <n v="800"/>
  </r>
  <r>
    <n v="131"/>
    <x v="0"/>
    <n v="134"/>
    <x v="4"/>
    <x v="1"/>
    <x v="0"/>
    <x v="6"/>
    <n v="10200"/>
    <n v="1020"/>
  </r>
  <r>
    <n v="132"/>
    <x v="7"/>
    <n v="147"/>
    <x v="1"/>
    <x v="2"/>
    <x v="7"/>
    <x v="3"/>
    <n v="2100"/>
    <n v="105"/>
  </r>
  <r>
    <n v="133"/>
    <x v="5"/>
    <n v="476"/>
    <x v="2"/>
    <x v="3"/>
    <x v="5"/>
    <x v="18"/>
    <n v="20550"/>
    <n v="685"/>
  </r>
  <r>
    <n v="134"/>
    <x v="5"/>
    <n v="476"/>
    <x v="2"/>
    <x v="3"/>
    <x v="5"/>
    <x v="19"/>
    <n v="20550"/>
    <n v="685"/>
  </r>
  <r>
    <n v="135"/>
    <x v="7"/>
    <n v="147"/>
    <x v="4"/>
    <x v="2"/>
    <x v="7"/>
    <x v="17"/>
    <n v="2100"/>
    <n v="210"/>
  </r>
  <r>
    <n v="136"/>
    <x v="7"/>
    <n v="147"/>
    <x v="2"/>
    <x v="0"/>
    <x v="7"/>
    <x v="12"/>
    <n v="2100"/>
    <n v="70"/>
  </r>
  <r>
    <n v="137"/>
    <x v="6"/>
    <n v="579"/>
    <x v="0"/>
    <x v="3"/>
    <x v="6"/>
    <x v="5"/>
    <n v="80050"/>
    <n v="40025"/>
  </r>
  <r>
    <n v="138"/>
    <x v="5"/>
    <n v="476"/>
    <x v="3"/>
    <x v="0"/>
    <x v="5"/>
    <x v="6"/>
    <n v="20550"/>
    <n v="20550"/>
  </r>
  <r>
    <n v="139"/>
    <x v="7"/>
    <n v="147"/>
    <x v="0"/>
    <x v="1"/>
    <x v="7"/>
    <x v="14"/>
    <n v="2100"/>
    <n v="1050"/>
  </r>
  <r>
    <n v="140"/>
    <x v="7"/>
    <n v="147"/>
    <x v="4"/>
    <x v="1"/>
    <x v="7"/>
    <x v="2"/>
    <n v="2100"/>
    <n v="210"/>
  </r>
  <r>
    <n v="141"/>
    <x v="7"/>
    <n v="147"/>
    <x v="3"/>
    <x v="1"/>
    <x v="7"/>
    <x v="3"/>
    <n v="2100"/>
    <n v="2100"/>
  </r>
  <r>
    <n v="142"/>
    <x v="4"/>
    <n v="217"/>
    <x v="2"/>
    <x v="3"/>
    <x v="4"/>
    <x v="5"/>
    <n v="2170"/>
    <n v="72.333333333333329"/>
  </r>
  <r>
    <n v="143"/>
    <x v="6"/>
    <n v="579"/>
    <x v="0"/>
    <x v="2"/>
    <x v="6"/>
    <x v="19"/>
    <n v="80050"/>
    <n v="40025"/>
  </r>
  <r>
    <n v="144"/>
    <x v="6"/>
    <n v="579"/>
    <x v="0"/>
    <x v="3"/>
    <x v="6"/>
    <x v="9"/>
    <n v="80050"/>
    <n v="40025"/>
  </r>
  <r>
    <n v="145"/>
    <x v="1"/>
    <n v="875"/>
    <x v="1"/>
    <x v="1"/>
    <x v="1"/>
    <x v="6"/>
    <n v="1970"/>
    <n v="98.5"/>
  </r>
  <r>
    <n v="146"/>
    <x v="1"/>
    <n v="875"/>
    <x v="4"/>
    <x v="1"/>
    <x v="1"/>
    <x v="6"/>
    <n v="1970"/>
    <n v="197"/>
  </r>
  <r>
    <n v="147"/>
    <x v="5"/>
    <n v="476"/>
    <x v="2"/>
    <x v="3"/>
    <x v="5"/>
    <x v="6"/>
    <n v="20550"/>
    <n v="685"/>
  </r>
  <r>
    <n v="148"/>
    <x v="7"/>
    <n v="147"/>
    <x v="2"/>
    <x v="2"/>
    <x v="7"/>
    <x v="7"/>
    <n v="2100"/>
    <n v="70"/>
  </r>
  <r>
    <n v="149"/>
    <x v="5"/>
    <n v="476"/>
    <x v="4"/>
    <x v="1"/>
    <x v="5"/>
    <x v="8"/>
    <n v="20550"/>
    <n v="2055"/>
  </r>
  <r>
    <n v="150"/>
    <x v="2"/>
    <n v="102"/>
    <x v="4"/>
    <x v="1"/>
    <x v="2"/>
    <x v="14"/>
    <n v="24000"/>
    <n v="2400"/>
  </r>
  <r>
    <n v="151"/>
    <x v="2"/>
    <n v="102"/>
    <x v="0"/>
    <x v="3"/>
    <x v="2"/>
    <x v="3"/>
    <n v="24000"/>
    <n v="12000"/>
  </r>
  <r>
    <n v="152"/>
    <x v="0"/>
    <n v="134"/>
    <x v="2"/>
    <x v="3"/>
    <x v="0"/>
    <x v="6"/>
    <n v="10200"/>
    <n v="340"/>
  </r>
  <r>
    <n v="153"/>
    <x v="2"/>
    <n v="102"/>
    <x v="4"/>
    <x v="2"/>
    <x v="2"/>
    <x v="6"/>
    <n v="24000"/>
    <n v="2400"/>
  </r>
  <r>
    <n v="154"/>
    <x v="5"/>
    <n v="476"/>
    <x v="0"/>
    <x v="3"/>
    <x v="5"/>
    <x v="3"/>
    <n v="20550"/>
    <n v="10275"/>
  </r>
  <r>
    <n v="155"/>
    <x v="5"/>
    <n v="476"/>
    <x v="3"/>
    <x v="0"/>
    <x v="5"/>
    <x v="2"/>
    <n v="20550"/>
    <n v="20550"/>
  </r>
  <r>
    <n v="156"/>
    <x v="4"/>
    <n v="217"/>
    <x v="2"/>
    <x v="2"/>
    <x v="4"/>
    <x v="12"/>
    <n v="2170"/>
    <n v="72.333333333333329"/>
  </r>
  <r>
    <n v="157"/>
    <x v="7"/>
    <n v="147"/>
    <x v="0"/>
    <x v="0"/>
    <x v="7"/>
    <x v="15"/>
    <n v="2100"/>
    <n v="1050"/>
  </r>
  <r>
    <n v="158"/>
    <x v="2"/>
    <n v="102"/>
    <x v="1"/>
    <x v="2"/>
    <x v="2"/>
    <x v="9"/>
    <n v="24000"/>
    <n v="1200"/>
  </r>
  <r>
    <n v="159"/>
    <x v="0"/>
    <n v="134"/>
    <x v="1"/>
    <x v="2"/>
    <x v="0"/>
    <x v="10"/>
    <n v="10200"/>
    <n v="510"/>
  </r>
  <r>
    <n v="160"/>
    <x v="6"/>
    <n v="579"/>
    <x v="3"/>
    <x v="0"/>
    <x v="6"/>
    <x v="5"/>
    <n v="80050"/>
    <n v="80050"/>
  </r>
  <r>
    <n v="161"/>
    <x v="6"/>
    <n v="579"/>
    <x v="1"/>
    <x v="3"/>
    <x v="6"/>
    <x v="2"/>
    <n v="80050"/>
    <n v="4002.5"/>
  </r>
  <r>
    <n v="162"/>
    <x v="3"/>
    <n v="456"/>
    <x v="2"/>
    <x v="0"/>
    <x v="3"/>
    <x v="7"/>
    <n v="300500"/>
    <n v="10016.666666666666"/>
  </r>
  <r>
    <n v="163"/>
    <x v="6"/>
    <n v="579"/>
    <x v="3"/>
    <x v="3"/>
    <x v="6"/>
    <x v="18"/>
    <n v="80050"/>
    <n v="80050"/>
  </r>
  <r>
    <n v="164"/>
    <x v="1"/>
    <n v="875"/>
    <x v="2"/>
    <x v="2"/>
    <x v="1"/>
    <x v="8"/>
    <n v="1970"/>
    <n v="65.666666666666671"/>
  </r>
  <r>
    <n v="165"/>
    <x v="0"/>
    <n v="134"/>
    <x v="3"/>
    <x v="0"/>
    <x v="0"/>
    <x v="19"/>
    <n v="10200"/>
    <n v="10200"/>
  </r>
  <r>
    <n v="166"/>
    <x v="2"/>
    <n v="102"/>
    <x v="1"/>
    <x v="2"/>
    <x v="2"/>
    <x v="6"/>
    <n v="24000"/>
    <n v="1200"/>
  </r>
  <r>
    <n v="167"/>
    <x v="4"/>
    <n v="217"/>
    <x v="3"/>
    <x v="3"/>
    <x v="4"/>
    <x v="12"/>
    <n v="2170"/>
    <n v="2170"/>
  </r>
  <r>
    <n v="168"/>
    <x v="7"/>
    <n v="147"/>
    <x v="2"/>
    <x v="0"/>
    <x v="7"/>
    <x v="13"/>
    <n v="2100"/>
    <n v="70"/>
  </r>
  <r>
    <n v="169"/>
    <x v="1"/>
    <n v="875"/>
    <x v="3"/>
    <x v="3"/>
    <x v="1"/>
    <x v="10"/>
    <n v="1970"/>
    <n v="1970"/>
  </r>
  <r>
    <n v="170"/>
    <x v="1"/>
    <n v="875"/>
    <x v="2"/>
    <x v="3"/>
    <x v="1"/>
    <x v="15"/>
    <n v="1970"/>
    <n v="65.666666666666671"/>
  </r>
  <r>
    <n v="171"/>
    <x v="3"/>
    <n v="456"/>
    <x v="2"/>
    <x v="1"/>
    <x v="3"/>
    <x v="10"/>
    <n v="300500"/>
    <n v="10016.666666666666"/>
  </r>
  <r>
    <n v="172"/>
    <x v="0"/>
    <n v="134"/>
    <x v="0"/>
    <x v="3"/>
    <x v="0"/>
    <x v="19"/>
    <n v="10200"/>
    <n v="5100"/>
  </r>
  <r>
    <n v="173"/>
    <x v="6"/>
    <n v="579"/>
    <x v="1"/>
    <x v="1"/>
    <x v="6"/>
    <x v="1"/>
    <n v="80050"/>
    <n v="4002.5"/>
  </r>
  <r>
    <n v="174"/>
    <x v="4"/>
    <n v="217"/>
    <x v="2"/>
    <x v="0"/>
    <x v="4"/>
    <x v="12"/>
    <n v="2170"/>
    <n v="72.333333333333329"/>
  </r>
  <r>
    <n v="175"/>
    <x v="1"/>
    <n v="875"/>
    <x v="3"/>
    <x v="0"/>
    <x v="1"/>
    <x v="16"/>
    <n v="1970"/>
    <n v="1970"/>
  </r>
  <r>
    <n v="176"/>
    <x v="7"/>
    <n v="147"/>
    <x v="1"/>
    <x v="3"/>
    <x v="7"/>
    <x v="7"/>
    <n v="2100"/>
    <n v="105"/>
  </r>
  <r>
    <n v="177"/>
    <x v="5"/>
    <n v="476"/>
    <x v="3"/>
    <x v="0"/>
    <x v="5"/>
    <x v="19"/>
    <n v="20550"/>
    <n v="20550"/>
  </r>
  <r>
    <n v="178"/>
    <x v="7"/>
    <n v="147"/>
    <x v="2"/>
    <x v="2"/>
    <x v="7"/>
    <x v="2"/>
    <n v="2100"/>
    <n v="70"/>
  </r>
  <r>
    <n v="179"/>
    <x v="2"/>
    <n v="102"/>
    <x v="1"/>
    <x v="3"/>
    <x v="2"/>
    <x v="12"/>
    <n v="24000"/>
    <n v="1200"/>
  </r>
  <r>
    <n v="180"/>
    <x v="1"/>
    <n v="875"/>
    <x v="4"/>
    <x v="0"/>
    <x v="1"/>
    <x v="0"/>
    <n v="1970"/>
    <n v="197"/>
  </r>
  <r>
    <n v="181"/>
    <x v="0"/>
    <n v="134"/>
    <x v="2"/>
    <x v="1"/>
    <x v="0"/>
    <x v="5"/>
    <n v="10200"/>
    <n v="340"/>
  </r>
  <r>
    <n v="182"/>
    <x v="1"/>
    <n v="875"/>
    <x v="1"/>
    <x v="3"/>
    <x v="1"/>
    <x v="17"/>
    <n v="1970"/>
    <n v="98.5"/>
  </r>
  <r>
    <n v="183"/>
    <x v="0"/>
    <n v="134"/>
    <x v="3"/>
    <x v="3"/>
    <x v="0"/>
    <x v="17"/>
    <n v="10200"/>
    <n v="10200"/>
  </r>
  <r>
    <n v="184"/>
    <x v="4"/>
    <n v="217"/>
    <x v="2"/>
    <x v="3"/>
    <x v="4"/>
    <x v="8"/>
    <n v="2170"/>
    <n v="72.333333333333329"/>
  </r>
  <r>
    <n v="185"/>
    <x v="2"/>
    <n v="102"/>
    <x v="1"/>
    <x v="2"/>
    <x v="2"/>
    <x v="9"/>
    <n v="24000"/>
    <n v="1200"/>
  </r>
  <r>
    <n v="186"/>
    <x v="3"/>
    <n v="456"/>
    <x v="2"/>
    <x v="1"/>
    <x v="3"/>
    <x v="17"/>
    <n v="300500"/>
    <n v="10016.666666666666"/>
  </r>
  <r>
    <n v="187"/>
    <x v="2"/>
    <n v="102"/>
    <x v="0"/>
    <x v="0"/>
    <x v="2"/>
    <x v="9"/>
    <n v="24000"/>
    <n v="12000"/>
  </r>
  <r>
    <n v="188"/>
    <x v="6"/>
    <n v="579"/>
    <x v="3"/>
    <x v="1"/>
    <x v="6"/>
    <x v="6"/>
    <n v="80050"/>
    <n v="80050"/>
  </r>
  <r>
    <n v="189"/>
    <x v="1"/>
    <n v="875"/>
    <x v="2"/>
    <x v="2"/>
    <x v="1"/>
    <x v="5"/>
    <n v="1970"/>
    <n v="65.666666666666671"/>
  </r>
  <r>
    <n v="190"/>
    <x v="3"/>
    <n v="456"/>
    <x v="4"/>
    <x v="3"/>
    <x v="3"/>
    <x v="1"/>
    <n v="300500"/>
    <n v="30050"/>
  </r>
  <r>
    <n v="191"/>
    <x v="6"/>
    <n v="579"/>
    <x v="1"/>
    <x v="3"/>
    <x v="6"/>
    <x v="14"/>
    <n v="80050"/>
    <n v="4002.5"/>
  </r>
  <r>
    <n v="192"/>
    <x v="2"/>
    <n v="102"/>
    <x v="3"/>
    <x v="0"/>
    <x v="2"/>
    <x v="1"/>
    <n v="24000"/>
    <n v="24000"/>
  </r>
  <r>
    <n v="193"/>
    <x v="6"/>
    <n v="579"/>
    <x v="3"/>
    <x v="2"/>
    <x v="6"/>
    <x v="3"/>
    <n v="80050"/>
    <n v="80050"/>
  </r>
  <r>
    <n v="194"/>
    <x v="6"/>
    <n v="579"/>
    <x v="3"/>
    <x v="3"/>
    <x v="6"/>
    <x v="13"/>
    <n v="80050"/>
    <n v="80050"/>
  </r>
  <r>
    <n v="195"/>
    <x v="1"/>
    <n v="875"/>
    <x v="1"/>
    <x v="2"/>
    <x v="1"/>
    <x v="6"/>
    <n v="1970"/>
    <n v="98.5"/>
  </r>
  <r>
    <n v="196"/>
    <x v="4"/>
    <n v="217"/>
    <x v="0"/>
    <x v="1"/>
    <x v="4"/>
    <x v="13"/>
    <n v="2170"/>
    <n v="1085"/>
  </r>
  <r>
    <n v="197"/>
    <x v="6"/>
    <n v="579"/>
    <x v="1"/>
    <x v="1"/>
    <x v="6"/>
    <x v="14"/>
    <n v="80050"/>
    <n v="4002.5"/>
  </r>
  <r>
    <n v="198"/>
    <x v="3"/>
    <n v="456"/>
    <x v="4"/>
    <x v="1"/>
    <x v="3"/>
    <x v="2"/>
    <n v="300500"/>
    <n v="30050"/>
  </r>
  <r>
    <n v="199"/>
    <x v="2"/>
    <n v="102"/>
    <x v="4"/>
    <x v="2"/>
    <x v="2"/>
    <x v="3"/>
    <n v="24000"/>
    <n v="2400"/>
  </r>
  <r>
    <n v="200"/>
    <x v="7"/>
    <n v="147"/>
    <x v="4"/>
    <x v="2"/>
    <x v="7"/>
    <x v="18"/>
    <n v="2100"/>
    <n v="2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s v="AE190"/>
    <n v="1"/>
    <x v="0"/>
    <x v="0"/>
    <x v="0"/>
    <x v="0"/>
    <n v="55300000"/>
    <x v="0"/>
  </r>
  <r>
    <n v="2"/>
    <x v="1"/>
    <s v="AE314"/>
    <n v="1"/>
    <x v="1"/>
    <x v="1"/>
    <x v="1"/>
    <x v="1"/>
    <n v="28500000"/>
    <x v="1"/>
  </r>
  <r>
    <n v="3"/>
    <x v="2"/>
    <s v="AE600"/>
    <n v="1"/>
    <x v="2"/>
    <x v="0"/>
    <x v="2"/>
    <x v="2"/>
    <n v="49900000"/>
    <x v="2"/>
  </r>
  <r>
    <n v="4"/>
    <x v="1"/>
    <s v="AE314"/>
    <n v="1"/>
    <x v="1"/>
    <x v="1"/>
    <x v="3"/>
    <x v="1"/>
    <n v="28500000"/>
    <x v="1"/>
  </r>
  <r>
    <n v="5"/>
    <x v="3"/>
    <s v="AE195"/>
    <n v="1"/>
    <x v="2"/>
    <x v="0"/>
    <x v="1"/>
    <x v="3"/>
    <n v="58500000"/>
    <x v="3"/>
  </r>
  <r>
    <n v="6"/>
    <x v="0"/>
    <s v="AE190"/>
    <n v="1"/>
    <x v="3"/>
    <x v="0"/>
    <x v="4"/>
    <x v="0"/>
    <n v="55300000"/>
    <x v="0"/>
  </r>
  <r>
    <n v="7"/>
    <x v="2"/>
    <s v="AE600"/>
    <n v="1"/>
    <x v="3"/>
    <x v="2"/>
    <x v="2"/>
    <x v="2"/>
    <n v="49900000"/>
    <x v="2"/>
  </r>
  <r>
    <n v="8"/>
    <x v="1"/>
    <s v="AE314"/>
    <n v="1"/>
    <x v="0"/>
    <x v="0"/>
    <x v="5"/>
    <x v="1"/>
    <n v="28500000"/>
    <x v="1"/>
  </r>
  <r>
    <n v="9"/>
    <x v="4"/>
    <s v="AE390"/>
    <n v="1"/>
    <x v="3"/>
    <x v="0"/>
    <x v="6"/>
    <x v="4"/>
    <n v="46300000"/>
    <x v="4"/>
  </r>
  <r>
    <n v="10"/>
    <x v="2"/>
    <s v="AE600"/>
    <n v="1"/>
    <x v="0"/>
    <x v="3"/>
    <x v="7"/>
    <x v="2"/>
    <n v="49900000"/>
    <x v="2"/>
  </r>
  <r>
    <n v="11"/>
    <x v="5"/>
    <s v="AE600"/>
    <n v="1"/>
    <x v="3"/>
    <x v="0"/>
    <x v="8"/>
    <x v="5"/>
    <n v="47700000"/>
    <x v="5"/>
  </r>
  <r>
    <n v="12"/>
    <x v="6"/>
    <s v="AE100"/>
    <n v="1"/>
    <x v="2"/>
    <x v="0"/>
    <x v="8"/>
    <x v="6"/>
    <n v="37850000"/>
    <x v="6"/>
  </r>
  <r>
    <n v="13"/>
    <x v="0"/>
    <s v="AE190"/>
    <n v="1"/>
    <x v="3"/>
    <x v="1"/>
    <x v="3"/>
    <x v="0"/>
    <n v="55300000"/>
    <x v="0"/>
  </r>
  <r>
    <n v="14"/>
    <x v="0"/>
    <s v="AE190"/>
    <n v="10"/>
    <x v="1"/>
    <x v="1"/>
    <x v="9"/>
    <x v="0"/>
    <n v="553000000"/>
    <x v="7"/>
  </r>
  <r>
    <n v="15"/>
    <x v="7"/>
    <s v="AE14X"/>
    <n v="1"/>
    <x v="1"/>
    <x v="0"/>
    <x v="10"/>
    <x v="7"/>
    <n v="38500000"/>
    <x v="8"/>
  </r>
  <r>
    <n v="16"/>
    <x v="4"/>
    <s v="AE390"/>
    <n v="10"/>
    <x v="0"/>
    <x v="3"/>
    <x v="8"/>
    <x v="4"/>
    <n v="463000000"/>
    <x v="9"/>
  </r>
  <r>
    <n v="17"/>
    <x v="4"/>
    <s v="AE390"/>
    <n v="1"/>
    <x v="2"/>
    <x v="0"/>
    <x v="11"/>
    <x v="4"/>
    <n v="46300000"/>
    <x v="4"/>
  </r>
  <r>
    <n v="18"/>
    <x v="7"/>
    <s v="AE14X"/>
    <n v="30"/>
    <x v="3"/>
    <x v="3"/>
    <x v="1"/>
    <x v="7"/>
    <n v="1155000000"/>
    <x v="10"/>
  </r>
  <r>
    <n v="19"/>
    <x v="3"/>
    <s v="AE195"/>
    <n v="1"/>
    <x v="1"/>
    <x v="2"/>
    <x v="12"/>
    <x v="3"/>
    <n v="58500000"/>
    <x v="3"/>
  </r>
  <r>
    <n v="20"/>
    <x v="5"/>
    <s v="AE600"/>
    <n v="1"/>
    <x v="3"/>
    <x v="1"/>
    <x v="11"/>
    <x v="5"/>
    <n v="47700000"/>
    <x v="5"/>
  </r>
  <r>
    <n v="21"/>
    <x v="1"/>
    <s v="AE314"/>
    <n v="1"/>
    <x v="1"/>
    <x v="0"/>
    <x v="2"/>
    <x v="1"/>
    <n v="28500000"/>
    <x v="1"/>
  </r>
  <r>
    <n v="22"/>
    <x v="7"/>
    <s v="AE14X"/>
    <n v="30"/>
    <x v="3"/>
    <x v="3"/>
    <x v="7"/>
    <x v="7"/>
    <n v="1155000000"/>
    <x v="10"/>
  </r>
  <r>
    <n v="23"/>
    <x v="8"/>
    <s v="AE145"/>
    <n v="20"/>
    <x v="0"/>
    <x v="1"/>
    <x v="8"/>
    <x v="8"/>
    <n v="666000000"/>
    <x v="11"/>
  </r>
  <r>
    <n v="24"/>
    <x v="7"/>
    <s v="AE14X"/>
    <n v="20"/>
    <x v="3"/>
    <x v="1"/>
    <x v="9"/>
    <x v="7"/>
    <n v="770000000"/>
    <x v="12"/>
  </r>
  <r>
    <n v="25"/>
    <x v="1"/>
    <s v="AE314"/>
    <n v="20"/>
    <x v="2"/>
    <x v="1"/>
    <x v="8"/>
    <x v="1"/>
    <n v="570000000"/>
    <x v="13"/>
  </r>
  <r>
    <n v="26"/>
    <x v="1"/>
    <s v="AE314"/>
    <n v="20"/>
    <x v="2"/>
    <x v="1"/>
    <x v="5"/>
    <x v="1"/>
    <n v="570000000"/>
    <x v="13"/>
  </r>
  <r>
    <n v="27"/>
    <x v="3"/>
    <s v="AE195"/>
    <n v="1"/>
    <x v="2"/>
    <x v="2"/>
    <x v="13"/>
    <x v="3"/>
    <n v="58500000"/>
    <x v="3"/>
  </r>
  <r>
    <n v="28"/>
    <x v="5"/>
    <s v="AE600"/>
    <n v="2"/>
    <x v="0"/>
    <x v="1"/>
    <x v="8"/>
    <x v="5"/>
    <n v="95400000"/>
    <x v="14"/>
  </r>
  <r>
    <n v="29"/>
    <x v="0"/>
    <s v="AE190"/>
    <n v="10"/>
    <x v="2"/>
    <x v="1"/>
    <x v="4"/>
    <x v="0"/>
    <n v="553000000"/>
    <x v="7"/>
  </r>
  <r>
    <n v="30"/>
    <x v="7"/>
    <s v="AE14X"/>
    <n v="30"/>
    <x v="2"/>
    <x v="1"/>
    <x v="6"/>
    <x v="7"/>
    <n v="1155000000"/>
    <x v="10"/>
  </r>
  <r>
    <n v="31"/>
    <x v="6"/>
    <s v="AE100"/>
    <n v="20"/>
    <x v="0"/>
    <x v="3"/>
    <x v="14"/>
    <x v="6"/>
    <n v="757000000"/>
    <x v="15"/>
  </r>
  <r>
    <n v="32"/>
    <x v="7"/>
    <s v="AE14X"/>
    <n v="1"/>
    <x v="3"/>
    <x v="2"/>
    <x v="5"/>
    <x v="7"/>
    <n v="38500000"/>
    <x v="8"/>
  </r>
  <r>
    <n v="33"/>
    <x v="5"/>
    <s v="AE600"/>
    <n v="20"/>
    <x v="0"/>
    <x v="3"/>
    <x v="12"/>
    <x v="5"/>
    <n v="954000000"/>
    <x v="16"/>
  </r>
  <r>
    <n v="34"/>
    <x v="0"/>
    <s v="AE190"/>
    <n v="1"/>
    <x v="2"/>
    <x v="3"/>
    <x v="15"/>
    <x v="0"/>
    <n v="55300000"/>
    <x v="0"/>
  </r>
  <r>
    <n v="35"/>
    <x v="6"/>
    <s v="AE100"/>
    <n v="1"/>
    <x v="0"/>
    <x v="2"/>
    <x v="14"/>
    <x v="6"/>
    <n v="37850000"/>
    <x v="6"/>
  </r>
  <r>
    <n v="36"/>
    <x v="7"/>
    <s v="AE14X"/>
    <n v="1"/>
    <x v="1"/>
    <x v="2"/>
    <x v="16"/>
    <x v="7"/>
    <n v="38500000"/>
    <x v="8"/>
  </r>
  <r>
    <n v="37"/>
    <x v="4"/>
    <s v="AE390"/>
    <n v="10"/>
    <x v="2"/>
    <x v="3"/>
    <x v="5"/>
    <x v="4"/>
    <n v="463000000"/>
    <x v="9"/>
  </r>
  <r>
    <n v="38"/>
    <x v="2"/>
    <s v="AE600"/>
    <n v="1"/>
    <x v="3"/>
    <x v="0"/>
    <x v="14"/>
    <x v="2"/>
    <n v="49900000"/>
    <x v="2"/>
  </r>
  <r>
    <n v="39"/>
    <x v="6"/>
    <s v="AE100"/>
    <n v="20"/>
    <x v="3"/>
    <x v="3"/>
    <x v="8"/>
    <x v="6"/>
    <n v="757000000"/>
    <x v="15"/>
  </r>
  <r>
    <n v="40"/>
    <x v="0"/>
    <s v="AE190"/>
    <n v="10"/>
    <x v="3"/>
    <x v="3"/>
    <x v="9"/>
    <x v="0"/>
    <n v="553000000"/>
    <x v="7"/>
  </r>
  <r>
    <n v="41"/>
    <x v="4"/>
    <s v="AE390"/>
    <n v="1"/>
    <x v="0"/>
    <x v="0"/>
    <x v="9"/>
    <x v="4"/>
    <n v="46300000"/>
    <x v="4"/>
  </r>
  <r>
    <n v="42"/>
    <x v="3"/>
    <s v="AE195"/>
    <n v="1"/>
    <x v="0"/>
    <x v="1"/>
    <x v="14"/>
    <x v="3"/>
    <n v="58500000"/>
    <x v="3"/>
  </r>
  <r>
    <n v="43"/>
    <x v="7"/>
    <s v="AE14X"/>
    <n v="1"/>
    <x v="2"/>
    <x v="0"/>
    <x v="15"/>
    <x v="7"/>
    <n v="38500000"/>
    <x v="8"/>
  </r>
  <r>
    <n v="44"/>
    <x v="6"/>
    <s v="AE100"/>
    <n v="1"/>
    <x v="1"/>
    <x v="2"/>
    <x v="1"/>
    <x v="6"/>
    <n v="37850000"/>
    <x v="6"/>
  </r>
  <r>
    <n v="45"/>
    <x v="1"/>
    <s v="AE314"/>
    <n v="2"/>
    <x v="3"/>
    <x v="1"/>
    <x v="14"/>
    <x v="1"/>
    <n v="57000000"/>
    <x v="17"/>
  </r>
  <r>
    <n v="46"/>
    <x v="5"/>
    <s v="AE600"/>
    <n v="1"/>
    <x v="2"/>
    <x v="2"/>
    <x v="9"/>
    <x v="5"/>
    <n v="47700000"/>
    <x v="5"/>
  </r>
  <r>
    <n v="47"/>
    <x v="0"/>
    <s v="AE190"/>
    <n v="1"/>
    <x v="1"/>
    <x v="3"/>
    <x v="2"/>
    <x v="0"/>
    <n v="55300000"/>
    <x v="0"/>
  </r>
  <r>
    <n v="48"/>
    <x v="7"/>
    <s v="AE14X"/>
    <n v="1"/>
    <x v="1"/>
    <x v="2"/>
    <x v="13"/>
    <x v="7"/>
    <n v="38500000"/>
    <x v="8"/>
  </r>
  <r>
    <n v="49"/>
    <x v="3"/>
    <s v="AE195"/>
    <n v="30"/>
    <x v="1"/>
    <x v="3"/>
    <x v="4"/>
    <x v="3"/>
    <n v="1755000000"/>
    <x v="18"/>
  </r>
  <r>
    <n v="50"/>
    <x v="3"/>
    <s v="AE195"/>
    <n v="1"/>
    <x v="2"/>
    <x v="2"/>
    <x v="12"/>
    <x v="3"/>
    <n v="58500000"/>
    <x v="3"/>
  </r>
  <r>
    <n v="51"/>
    <x v="0"/>
    <s v="AE190"/>
    <n v="20"/>
    <x v="3"/>
    <x v="1"/>
    <x v="1"/>
    <x v="0"/>
    <n v="1106000000"/>
    <x v="19"/>
  </r>
  <r>
    <n v="52"/>
    <x v="3"/>
    <s v="AE195"/>
    <n v="1"/>
    <x v="0"/>
    <x v="0"/>
    <x v="8"/>
    <x v="3"/>
    <n v="58500000"/>
    <x v="3"/>
  </r>
  <r>
    <n v="53"/>
    <x v="7"/>
    <s v="AE14X"/>
    <n v="1"/>
    <x v="1"/>
    <x v="0"/>
    <x v="14"/>
    <x v="7"/>
    <n v="38500000"/>
    <x v="8"/>
  </r>
  <r>
    <n v="54"/>
    <x v="0"/>
    <s v="AE190"/>
    <n v="2"/>
    <x v="0"/>
    <x v="3"/>
    <x v="17"/>
    <x v="0"/>
    <n v="110600000"/>
    <x v="20"/>
  </r>
  <r>
    <n v="55"/>
    <x v="4"/>
    <s v="AE390"/>
    <n v="1"/>
    <x v="1"/>
    <x v="2"/>
    <x v="3"/>
    <x v="4"/>
    <n v="46300000"/>
    <x v="4"/>
  </r>
  <r>
    <n v="56"/>
    <x v="0"/>
    <s v="AE190"/>
    <n v="1"/>
    <x v="3"/>
    <x v="0"/>
    <x v="2"/>
    <x v="0"/>
    <n v="55300000"/>
    <x v="0"/>
  </r>
  <r>
    <n v="57"/>
    <x v="7"/>
    <s v="AE14X"/>
    <n v="1"/>
    <x v="3"/>
    <x v="0"/>
    <x v="14"/>
    <x v="7"/>
    <n v="38500000"/>
    <x v="8"/>
  </r>
  <r>
    <n v="58"/>
    <x v="3"/>
    <s v="AE195"/>
    <n v="30"/>
    <x v="3"/>
    <x v="1"/>
    <x v="2"/>
    <x v="3"/>
    <n v="1755000000"/>
    <x v="18"/>
  </r>
  <r>
    <n v="59"/>
    <x v="8"/>
    <s v="AE145"/>
    <n v="1"/>
    <x v="3"/>
    <x v="2"/>
    <x v="12"/>
    <x v="8"/>
    <n v="33300000"/>
    <x v="21"/>
  </r>
  <r>
    <n v="60"/>
    <x v="5"/>
    <s v="AE600"/>
    <n v="1"/>
    <x v="3"/>
    <x v="3"/>
    <x v="14"/>
    <x v="5"/>
    <n v="47700000"/>
    <x v="5"/>
  </r>
  <r>
    <n v="61"/>
    <x v="6"/>
    <s v="AE100"/>
    <n v="10"/>
    <x v="3"/>
    <x v="1"/>
    <x v="1"/>
    <x v="6"/>
    <n v="378500000"/>
    <x v="22"/>
  </r>
  <r>
    <n v="62"/>
    <x v="8"/>
    <s v="AE145"/>
    <n v="1"/>
    <x v="1"/>
    <x v="2"/>
    <x v="15"/>
    <x v="8"/>
    <n v="33300000"/>
    <x v="21"/>
  </r>
  <r>
    <n v="63"/>
    <x v="8"/>
    <s v="AE145"/>
    <n v="20"/>
    <x v="0"/>
    <x v="3"/>
    <x v="5"/>
    <x v="8"/>
    <n v="666000000"/>
    <x v="11"/>
  </r>
  <r>
    <n v="64"/>
    <x v="3"/>
    <s v="AE195"/>
    <n v="10"/>
    <x v="3"/>
    <x v="1"/>
    <x v="15"/>
    <x v="3"/>
    <n v="585000000"/>
    <x v="23"/>
  </r>
  <r>
    <n v="65"/>
    <x v="3"/>
    <s v="AE195"/>
    <n v="1"/>
    <x v="3"/>
    <x v="2"/>
    <x v="10"/>
    <x v="3"/>
    <n v="58500000"/>
    <x v="3"/>
  </r>
  <r>
    <n v="66"/>
    <x v="0"/>
    <s v="AE190"/>
    <n v="2"/>
    <x v="2"/>
    <x v="3"/>
    <x v="10"/>
    <x v="0"/>
    <n v="110600000"/>
    <x v="20"/>
  </r>
  <r>
    <n v="67"/>
    <x v="7"/>
    <s v="AE14X"/>
    <n v="10"/>
    <x v="1"/>
    <x v="1"/>
    <x v="2"/>
    <x v="7"/>
    <n v="385000000"/>
    <x v="24"/>
  </r>
  <r>
    <n v="68"/>
    <x v="2"/>
    <s v="AE600"/>
    <n v="20"/>
    <x v="1"/>
    <x v="1"/>
    <x v="1"/>
    <x v="2"/>
    <n v="998000000"/>
    <x v="25"/>
  </r>
  <r>
    <n v="69"/>
    <x v="2"/>
    <s v="AE600"/>
    <n v="1"/>
    <x v="2"/>
    <x v="2"/>
    <x v="10"/>
    <x v="2"/>
    <n v="49900000"/>
    <x v="2"/>
  </r>
  <r>
    <n v="70"/>
    <x v="1"/>
    <s v="AE314"/>
    <n v="1"/>
    <x v="0"/>
    <x v="3"/>
    <x v="14"/>
    <x v="1"/>
    <n v="28500000"/>
    <x v="1"/>
  </r>
  <r>
    <n v="71"/>
    <x v="7"/>
    <s v="AE14X"/>
    <n v="30"/>
    <x v="3"/>
    <x v="1"/>
    <x v="9"/>
    <x v="7"/>
    <n v="1155000000"/>
    <x v="10"/>
  </r>
  <r>
    <n v="72"/>
    <x v="4"/>
    <s v="AE390"/>
    <n v="1"/>
    <x v="3"/>
    <x v="3"/>
    <x v="14"/>
    <x v="4"/>
    <n v="46300000"/>
    <x v="4"/>
  </r>
  <r>
    <n v="73"/>
    <x v="5"/>
    <s v="AE600"/>
    <n v="30"/>
    <x v="2"/>
    <x v="1"/>
    <x v="13"/>
    <x v="5"/>
    <n v="1431000000"/>
    <x v="26"/>
  </r>
  <r>
    <n v="74"/>
    <x v="4"/>
    <s v="AE390"/>
    <n v="1"/>
    <x v="3"/>
    <x v="2"/>
    <x v="17"/>
    <x v="4"/>
    <n v="46300000"/>
    <x v="4"/>
  </r>
  <r>
    <n v="75"/>
    <x v="6"/>
    <s v="AE100"/>
    <n v="30"/>
    <x v="2"/>
    <x v="1"/>
    <x v="13"/>
    <x v="6"/>
    <n v="1135500000"/>
    <x v="27"/>
  </r>
  <r>
    <n v="76"/>
    <x v="4"/>
    <s v="AE390"/>
    <n v="1"/>
    <x v="0"/>
    <x v="2"/>
    <x v="10"/>
    <x v="4"/>
    <n v="46300000"/>
    <x v="4"/>
  </r>
  <r>
    <n v="77"/>
    <x v="7"/>
    <s v="AE14X"/>
    <n v="1"/>
    <x v="1"/>
    <x v="1"/>
    <x v="10"/>
    <x v="7"/>
    <n v="38500000"/>
    <x v="8"/>
  </r>
  <r>
    <n v="78"/>
    <x v="4"/>
    <s v="AE390"/>
    <n v="1"/>
    <x v="2"/>
    <x v="2"/>
    <x v="12"/>
    <x v="4"/>
    <n v="46300000"/>
    <x v="4"/>
  </r>
  <r>
    <n v="79"/>
    <x v="8"/>
    <s v="AE145"/>
    <n v="1"/>
    <x v="3"/>
    <x v="2"/>
    <x v="6"/>
    <x v="8"/>
    <n v="33300000"/>
    <x v="21"/>
  </r>
  <r>
    <n v="80"/>
    <x v="8"/>
    <s v="AE145"/>
    <n v="1"/>
    <x v="2"/>
    <x v="0"/>
    <x v="18"/>
    <x v="8"/>
    <n v="33300000"/>
    <x v="21"/>
  </r>
  <r>
    <n v="81"/>
    <x v="4"/>
    <s v="AE390"/>
    <n v="1"/>
    <x v="0"/>
    <x v="3"/>
    <x v="1"/>
    <x v="4"/>
    <n v="46300000"/>
    <x v="4"/>
  </r>
  <r>
    <n v="82"/>
    <x v="4"/>
    <s v="AE390"/>
    <n v="1"/>
    <x v="0"/>
    <x v="2"/>
    <x v="5"/>
    <x v="4"/>
    <n v="46300000"/>
    <x v="4"/>
  </r>
  <r>
    <n v="83"/>
    <x v="0"/>
    <s v="AE190"/>
    <n v="1"/>
    <x v="2"/>
    <x v="0"/>
    <x v="11"/>
    <x v="0"/>
    <n v="55300000"/>
    <x v="0"/>
  </r>
  <r>
    <n v="84"/>
    <x v="0"/>
    <s v="AE190"/>
    <n v="1"/>
    <x v="2"/>
    <x v="1"/>
    <x v="6"/>
    <x v="0"/>
    <n v="55300000"/>
    <x v="0"/>
  </r>
  <r>
    <n v="85"/>
    <x v="8"/>
    <s v="AE145"/>
    <n v="1"/>
    <x v="3"/>
    <x v="2"/>
    <x v="9"/>
    <x v="8"/>
    <n v="33300000"/>
    <x v="21"/>
  </r>
  <r>
    <n v="86"/>
    <x v="5"/>
    <s v="AE600"/>
    <n v="1"/>
    <x v="2"/>
    <x v="2"/>
    <x v="19"/>
    <x v="5"/>
    <n v="47700000"/>
    <x v="5"/>
  </r>
  <r>
    <n v="87"/>
    <x v="3"/>
    <s v="AE195"/>
    <n v="1"/>
    <x v="0"/>
    <x v="1"/>
    <x v="4"/>
    <x v="3"/>
    <n v="58500000"/>
    <x v="3"/>
  </r>
  <r>
    <n v="88"/>
    <x v="4"/>
    <s v="AE390"/>
    <n v="1"/>
    <x v="2"/>
    <x v="2"/>
    <x v="13"/>
    <x v="4"/>
    <n v="46300000"/>
    <x v="4"/>
  </r>
  <r>
    <n v="89"/>
    <x v="8"/>
    <s v="AE145"/>
    <n v="10"/>
    <x v="0"/>
    <x v="1"/>
    <x v="6"/>
    <x v="8"/>
    <n v="333000000"/>
    <x v="28"/>
  </r>
  <r>
    <n v="90"/>
    <x v="8"/>
    <s v="AE145"/>
    <n v="20"/>
    <x v="3"/>
    <x v="1"/>
    <x v="11"/>
    <x v="8"/>
    <n v="666000000"/>
    <x v="11"/>
  </r>
  <r>
    <n v="91"/>
    <x v="6"/>
    <s v="AE100"/>
    <n v="1"/>
    <x v="0"/>
    <x v="2"/>
    <x v="14"/>
    <x v="6"/>
    <n v="37850000"/>
    <x v="6"/>
  </r>
  <r>
    <n v="92"/>
    <x v="4"/>
    <s v="AE390"/>
    <n v="30"/>
    <x v="3"/>
    <x v="1"/>
    <x v="16"/>
    <x v="4"/>
    <n v="1389000000"/>
    <x v="29"/>
  </r>
  <r>
    <n v="93"/>
    <x v="2"/>
    <s v="AE600"/>
    <n v="10"/>
    <x v="2"/>
    <x v="1"/>
    <x v="19"/>
    <x v="2"/>
    <n v="499000000"/>
    <x v="30"/>
  </r>
  <r>
    <n v="94"/>
    <x v="1"/>
    <s v="AE314"/>
    <n v="30"/>
    <x v="0"/>
    <x v="1"/>
    <x v="13"/>
    <x v="1"/>
    <n v="855000000"/>
    <x v="31"/>
  </r>
  <r>
    <n v="95"/>
    <x v="4"/>
    <s v="AE390"/>
    <n v="20"/>
    <x v="3"/>
    <x v="1"/>
    <x v="18"/>
    <x v="4"/>
    <n v="926000000"/>
    <x v="32"/>
  </r>
  <r>
    <n v="96"/>
    <x v="3"/>
    <s v="AE195"/>
    <n v="1"/>
    <x v="2"/>
    <x v="3"/>
    <x v="15"/>
    <x v="3"/>
    <n v="58500000"/>
    <x v="3"/>
  </r>
  <r>
    <n v="97"/>
    <x v="4"/>
    <s v="AE390"/>
    <n v="1"/>
    <x v="2"/>
    <x v="3"/>
    <x v="9"/>
    <x v="4"/>
    <n v="46300000"/>
    <x v="4"/>
  </r>
  <r>
    <n v="98"/>
    <x v="1"/>
    <s v="AE314"/>
    <n v="2"/>
    <x v="3"/>
    <x v="3"/>
    <x v="18"/>
    <x v="1"/>
    <n v="57000000"/>
    <x v="17"/>
  </r>
  <r>
    <n v="99"/>
    <x v="5"/>
    <s v="AE600"/>
    <n v="30"/>
    <x v="0"/>
    <x v="1"/>
    <x v="5"/>
    <x v="5"/>
    <n v="1431000000"/>
    <x v="26"/>
  </r>
  <r>
    <n v="100"/>
    <x v="0"/>
    <s v="AE190"/>
    <n v="1"/>
    <x v="2"/>
    <x v="2"/>
    <x v="8"/>
    <x v="0"/>
    <n v="55300000"/>
    <x v="0"/>
  </r>
  <r>
    <n v="101"/>
    <x v="7"/>
    <s v="AE14X"/>
    <n v="1"/>
    <x v="3"/>
    <x v="0"/>
    <x v="1"/>
    <x v="7"/>
    <n v="38500000"/>
    <x v="8"/>
  </r>
  <r>
    <n v="102"/>
    <x v="7"/>
    <s v="AE14X"/>
    <n v="20"/>
    <x v="0"/>
    <x v="3"/>
    <x v="15"/>
    <x v="7"/>
    <n v="770000000"/>
    <x v="12"/>
  </r>
  <r>
    <n v="103"/>
    <x v="2"/>
    <s v="AE600"/>
    <n v="1"/>
    <x v="2"/>
    <x v="2"/>
    <x v="2"/>
    <x v="2"/>
    <n v="49900000"/>
    <x v="2"/>
  </r>
  <r>
    <n v="104"/>
    <x v="5"/>
    <s v="AE600"/>
    <n v="1"/>
    <x v="0"/>
    <x v="0"/>
    <x v="17"/>
    <x v="5"/>
    <n v="47700000"/>
    <x v="5"/>
  </r>
  <r>
    <n v="105"/>
    <x v="2"/>
    <s v="AE600"/>
    <n v="30"/>
    <x v="0"/>
    <x v="1"/>
    <x v="11"/>
    <x v="2"/>
    <n v="1497000000"/>
    <x v="33"/>
  </r>
  <r>
    <n v="106"/>
    <x v="5"/>
    <s v="AE600"/>
    <n v="1"/>
    <x v="1"/>
    <x v="0"/>
    <x v="17"/>
    <x v="5"/>
    <n v="47700000"/>
    <x v="5"/>
  </r>
  <r>
    <n v="107"/>
    <x v="3"/>
    <s v="AE195"/>
    <n v="1"/>
    <x v="3"/>
    <x v="0"/>
    <x v="17"/>
    <x v="3"/>
    <n v="58500000"/>
    <x v="3"/>
  </r>
  <r>
    <n v="108"/>
    <x v="8"/>
    <s v="AE145"/>
    <n v="1"/>
    <x v="1"/>
    <x v="0"/>
    <x v="19"/>
    <x v="8"/>
    <n v="33300000"/>
    <x v="21"/>
  </r>
  <r>
    <n v="109"/>
    <x v="4"/>
    <s v="AE390"/>
    <n v="1"/>
    <x v="2"/>
    <x v="2"/>
    <x v="15"/>
    <x v="4"/>
    <n v="46300000"/>
    <x v="4"/>
  </r>
  <r>
    <n v="110"/>
    <x v="0"/>
    <s v="AE190"/>
    <n v="1"/>
    <x v="2"/>
    <x v="1"/>
    <x v="18"/>
    <x v="0"/>
    <n v="55300000"/>
    <x v="0"/>
  </r>
  <r>
    <n v="111"/>
    <x v="7"/>
    <s v="AE14X"/>
    <n v="1"/>
    <x v="2"/>
    <x v="0"/>
    <x v="0"/>
    <x v="7"/>
    <n v="38500000"/>
    <x v="8"/>
  </r>
  <r>
    <n v="112"/>
    <x v="4"/>
    <s v="AE390"/>
    <n v="1"/>
    <x v="3"/>
    <x v="0"/>
    <x v="10"/>
    <x v="4"/>
    <n v="46300000"/>
    <x v="4"/>
  </r>
  <r>
    <n v="113"/>
    <x v="7"/>
    <s v="AE14X"/>
    <n v="30"/>
    <x v="3"/>
    <x v="1"/>
    <x v="5"/>
    <x v="7"/>
    <n v="1155000000"/>
    <x v="10"/>
  </r>
  <r>
    <n v="114"/>
    <x v="7"/>
    <s v="AE14X"/>
    <n v="1"/>
    <x v="2"/>
    <x v="0"/>
    <x v="10"/>
    <x v="7"/>
    <n v="38500000"/>
    <x v="8"/>
  </r>
  <r>
    <n v="115"/>
    <x v="3"/>
    <s v="AE195"/>
    <n v="10"/>
    <x v="0"/>
    <x v="3"/>
    <x v="10"/>
    <x v="3"/>
    <n v="585000000"/>
    <x v="23"/>
  </r>
  <r>
    <n v="116"/>
    <x v="2"/>
    <s v="AE600"/>
    <n v="2"/>
    <x v="0"/>
    <x v="1"/>
    <x v="8"/>
    <x v="2"/>
    <n v="99800000"/>
    <x v="34"/>
  </r>
  <r>
    <n v="117"/>
    <x v="6"/>
    <s v="AE100"/>
    <n v="20"/>
    <x v="0"/>
    <x v="3"/>
    <x v="8"/>
    <x v="6"/>
    <n v="757000000"/>
    <x v="15"/>
  </r>
  <r>
    <n v="118"/>
    <x v="8"/>
    <s v="AE145"/>
    <n v="20"/>
    <x v="0"/>
    <x v="1"/>
    <x v="19"/>
    <x v="8"/>
    <n v="666000000"/>
    <x v="11"/>
  </r>
  <r>
    <n v="119"/>
    <x v="4"/>
    <s v="AE390"/>
    <n v="1"/>
    <x v="1"/>
    <x v="0"/>
    <x v="19"/>
    <x v="4"/>
    <n v="46300000"/>
    <x v="4"/>
  </r>
  <r>
    <n v="120"/>
    <x v="2"/>
    <s v="AE600"/>
    <n v="1"/>
    <x v="2"/>
    <x v="1"/>
    <x v="16"/>
    <x v="2"/>
    <n v="49900000"/>
    <x v="2"/>
  </r>
  <r>
    <n v="121"/>
    <x v="5"/>
    <s v="AE600"/>
    <n v="1"/>
    <x v="1"/>
    <x v="0"/>
    <x v="8"/>
    <x v="5"/>
    <n v="47700000"/>
    <x v="5"/>
  </r>
  <r>
    <n v="122"/>
    <x v="3"/>
    <s v="AE195"/>
    <n v="10"/>
    <x v="1"/>
    <x v="1"/>
    <x v="0"/>
    <x v="3"/>
    <n v="585000000"/>
    <x v="23"/>
  </r>
  <r>
    <n v="123"/>
    <x v="8"/>
    <s v="AE145"/>
    <n v="1"/>
    <x v="2"/>
    <x v="0"/>
    <x v="1"/>
    <x v="8"/>
    <n v="33300000"/>
    <x v="21"/>
  </r>
  <r>
    <n v="124"/>
    <x v="0"/>
    <s v="AE190"/>
    <n v="1"/>
    <x v="2"/>
    <x v="0"/>
    <x v="9"/>
    <x v="0"/>
    <n v="55300000"/>
    <x v="0"/>
  </r>
  <r>
    <n v="125"/>
    <x v="5"/>
    <s v="AE600"/>
    <n v="1"/>
    <x v="0"/>
    <x v="2"/>
    <x v="13"/>
    <x v="5"/>
    <n v="47700000"/>
    <x v="5"/>
  </r>
  <r>
    <n v="126"/>
    <x v="0"/>
    <s v="AE190"/>
    <n v="1"/>
    <x v="0"/>
    <x v="2"/>
    <x v="0"/>
    <x v="0"/>
    <n v="55300000"/>
    <x v="0"/>
  </r>
  <r>
    <n v="127"/>
    <x v="6"/>
    <s v="AE100"/>
    <n v="1"/>
    <x v="2"/>
    <x v="0"/>
    <x v="16"/>
    <x v="6"/>
    <n v="37850000"/>
    <x v="6"/>
  </r>
  <r>
    <n v="128"/>
    <x v="5"/>
    <s v="AE600"/>
    <n v="10"/>
    <x v="1"/>
    <x v="3"/>
    <x v="16"/>
    <x v="5"/>
    <n v="477000000"/>
    <x v="35"/>
  </r>
  <r>
    <n v="129"/>
    <x v="5"/>
    <s v="AE600"/>
    <n v="1"/>
    <x v="1"/>
    <x v="2"/>
    <x v="2"/>
    <x v="5"/>
    <n v="47700000"/>
    <x v="5"/>
  </r>
  <r>
    <n v="130"/>
    <x v="8"/>
    <s v="AE145"/>
    <n v="1"/>
    <x v="1"/>
    <x v="0"/>
    <x v="16"/>
    <x v="8"/>
    <n v="33300000"/>
    <x v="21"/>
  </r>
  <r>
    <n v="131"/>
    <x v="7"/>
    <s v="AE14X"/>
    <n v="1"/>
    <x v="0"/>
    <x v="2"/>
    <x v="17"/>
    <x v="7"/>
    <n v="38500000"/>
    <x v="8"/>
  </r>
  <r>
    <n v="132"/>
    <x v="3"/>
    <s v="AE195"/>
    <n v="2"/>
    <x v="2"/>
    <x v="1"/>
    <x v="6"/>
    <x v="3"/>
    <n v="117000000"/>
    <x v="36"/>
  </r>
  <r>
    <n v="133"/>
    <x v="1"/>
    <s v="AE314"/>
    <n v="1"/>
    <x v="3"/>
    <x v="1"/>
    <x v="9"/>
    <x v="1"/>
    <n v="28500000"/>
    <x v="1"/>
  </r>
  <r>
    <n v="134"/>
    <x v="5"/>
    <s v="AE600"/>
    <n v="2"/>
    <x v="0"/>
    <x v="3"/>
    <x v="15"/>
    <x v="5"/>
    <n v="95400000"/>
    <x v="14"/>
  </r>
  <r>
    <n v="135"/>
    <x v="4"/>
    <s v="AE390"/>
    <n v="2"/>
    <x v="0"/>
    <x v="1"/>
    <x v="8"/>
    <x v="4"/>
    <n v="92600000"/>
    <x v="37"/>
  </r>
  <r>
    <n v="136"/>
    <x v="6"/>
    <s v="AE100"/>
    <n v="1"/>
    <x v="2"/>
    <x v="1"/>
    <x v="5"/>
    <x v="6"/>
    <n v="37850000"/>
    <x v="6"/>
  </r>
  <r>
    <n v="137"/>
    <x v="6"/>
    <s v="AE100"/>
    <n v="30"/>
    <x v="2"/>
    <x v="3"/>
    <x v="13"/>
    <x v="6"/>
    <n v="1135500000"/>
    <x v="27"/>
  </r>
  <r>
    <n v="138"/>
    <x v="8"/>
    <s v="AE145"/>
    <n v="1"/>
    <x v="1"/>
    <x v="3"/>
    <x v="19"/>
    <x v="8"/>
    <n v="33300000"/>
    <x v="21"/>
  </r>
  <r>
    <n v="139"/>
    <x v="3"/>
    <s v="AE195"/>
    <n v="1"/>
    <x v="1"/>
    <x v="3"/>
    <x v="9"/>
    <x v="3"/>
    <n v="58500000"/>
    <x v="3"/>
  </r>
  <r>
    <n v="140"/>
    <x v="8"/>
    <s v="AE145"/>
    <n v="1"/>
    <x v="1"/>
    <x v="0"/>
    <x v="16"/>
    <x v="8"/>
    <n v="33300000"/>
    <x v="21"/>
  </r>
  <r>
    <n v="141"/>
    <x v="7"/>
    <s v="AE14X"/>
    <n v="1"/>
    <x v="3"/>
    <x v="0"/>
    <x v="15"/>
    <x v="7"/>
    <n v="38500000"/>
    <x v="8"/>
  </r>
  <r>
    <n v="142"/>
    <x v="4"/>
    <s v="AE390"/>
    <n v="1"/>
    <x v="2"/>
    <x v="1"/>
    <x v="5"/>
    <x v="4"/>
    <n v="46300000"/>
    <x v="4"/>
  </r>
  <r>
    <n v="143"/>
    <x v="7"/>
    <s v="AE14X"/>
    <n v="30"/>
    <x v="1"/>
    <x v="1"/>
    <x v="4"/>
    <x v="7"/>
    <n v="1155000000"/>
    <x v="10"/>
  </r>
  <r>
    <n v="144"/>
    <x v="1"/>
    <s v="AE314"/>
    <n v="1"/>
    <x v="0"/>
    <x v="2"/>
    <x v="8"/>
    <x v="1"/>
    <n v="28500000"/>
    <x v="1"/>
  </r>
  <r>
    <n v="145"/>
    <x v="8"/>
    <s v="AE145"/>
    <n v="1"/>
    <x v="0"/>
    <x v="0"/>
    <x v="4"/>
    <x v="8"/>
    <n v="33300000"/>
    <x v="21"/>
  </r>
  <r>
    <n v="146"/>
    <x v="6"/>
    <s v="AE100"/>
    <n v="2"/>
    <x v="3"/>
    <x v="1"/>
    <x v="9"/>
    <x v="6"/>
    <n v="75700000"/>
    <x v="38"/>
  </r>
  <r>
    <n v="147"/>
    <x v="1"/>
    <s v="AE314"/>
    <n v="2"/>
    <x v="0"/>
    <x v="1"/>
    <x v="14"/>
    <x v="1"/>
    <n v="57000000"/>
    <x v="17"/>
  </r>
  <r>
    <n v="148"/>
    <x v="3"/>
    <s v="AE195"/>
    <n v="30"/>
    <x v="3"/>
    <x v="1"/>
    <x v="18"/>
    <x v="3"/>
    <n v="1755000000"/>
    <x v="18"/>
  </r>
  <r>
    <n v="149"/>
    <x v="6"/>
    <s v="AE100"/>
    <n v="1"/>
    <x v="1"/>
    <x v="3"/>
    <x v="7"/>
    <x v="6"/>
    <n v="37850000"/>
    <x v="6"/>
  </r>
  <r>
    <n v="150"/>
    <x v="7"/>
    <s v="AE14X"/>
    <n v="20"/>
    <x v="2"/>
    <x v="1"/>
    <x v="16"/>
    <x v="7"/>
    <n v="770000000"/>
    <x v="12"/>
  </r>
  <r>
    <n v="151"/>
    <x v="0"/>
    <s v="AE190"/>
    <n v="1"/>
    <x v="2"/>
    <x v="2"/>
    <x v="5"/>
    <x v="0"/>
    <n v="55300000"/>
    <x v="0"/>
  </r>
  <r>
    <n v="152"/>
    <x v="6"/>
    <s v="AE100"/>
    <n v="1"/>
    <x v="1"/>
    <x v="0"/>
    <x v="2"/>
    <x v="6"/>
    <n v="37850000"/>
    <x v="6"/>
  </r>
  <r>
    <n v="153"/>
    <x v="6"/>
    <s v="AE100"/>
    <n v="2"/>
    <x v="3"/>
    <x v="1"/>
    <x v="19"/>
    <x v="6"/>
    <n v="75700000"/>
    <x v="38"/>
  </r>
  <r>
    <n v="154"/>
    <x v="8"/>
    <s v="AE145"/>
    <n v="1"/>
    <x v="3"/>
    <x v="0"/>
    <x v="15"/>
    <x v="8"/>
    <n v="33300000"/>
    <x v="21"/>
  </r>
  <r>
    <n v="155"/>
    <x v="6"/>
    <s v="AE100"/>
    <n v="1"/>
    <x v="3"/>
    <x v="2"/>
    <x v="4"/>
    <x v="6"/>
    <n v="37850000"/>
    <x v="6"/>
  </r>
  <r>
    <n v="156"/>
    <x v="7"/>
    <s v="AE14X"/>
    <n v="1"/>
    <x v="2"/>
    <x v="2"/>
    <x v="14"/>
    <x v="7"/>
    <n v="38500000"/>
    <x v="8"/>
  </r>
  <r>
    <n v="157"/>
    <x v="4"/>
    <s v="AE390"/>
    <n v="1"/>
    <x v="2"/>
    <x v="2"/>
    <x v="16"/>
    <x v="4"/>
    <n v="46300000"/>
    <x v="4"/>
  </r>
  <r>
    <n v="158"/>
    <x v="7"/>
    <s v="AE14X"/>
    <n v="30"/>
    <x v="3"/>
    <x v="1"/>
    <x v="1"/>
    <x v="7"/>
    <n v="1155000000"/>
    <x v="10"/>
  </r>
  <r>
    <n v="159"/>
    <x v="8"/>
    <s v="AE145"/>
    <n v="2"/>
    <x v="0"/>
    <x v="1"/>
    <x v="1"/>
    <x v="8"/>
    <n v="66600000"/>
    <x v="39"/>
  </r>
  <r>
    <n v="160"/>
    <x v="3"/>
    <s v="AE195"/>
    <n v="20"/>
    <x v="3"/>
    <x v="1"/>
    <x v="0"/>
    <x v="3"/>
    <n v="1170000000"/>
    <x v="40"/>
  </r>
  <r>
    <n v="161"/>
    <x v="7"/>
    <s v="AE14X"/>
    <n v="2"/>
    <x v="2"/>
    <x v="1"/>
    <x v="14"/>
    <x v="7"/>
    <n v="77000000"/>
    <x v="41"/>
  </r>
  <r>
    <n v="162"/>
    <x v="3"/>
    <s v="AE195"/>
    <n v="30"/>
    <x v="0"/>
    <x v="1"/>
    <x v="1"/>
    <x v="3"/>
    <n v="1755000000"/>
    <x v="18"/>
  </r>
  <r>
    <n v="163"/>
    <x v="0"/>
    <s v="AE190"/>
    <n v="1"/>
    <x v="3"/>
    <x v="2"/>
    <x v="9"/>
    <x v="0"/>
    <n v="55300000"/>
    <x v="0"/>
  </r>
  <r>
    <n v="164"/>
    <x v="4"/>
    <s v="AE390"/>
    <n v="30"/>
    <x v="3"/>
    <x v="3"/>
    <x v="10"/>
    <x v="4"/>
    <n v="1389000000"/>
    <x v="29"/>
  </r>
  <r>
    <n v="165"/>
    <x v="0"/>
    <s v="AE190"/>
    <n v="1"/>
    <x v="2"/>
    <x v="0"/>
    <x v="2"/>
    <x v="0"/>
    <n v="55300000"/>
    <x v="0"/>
  </r>
  <r>
    <n v="166"/>
    <x v="2"/>
    <s v="AE600"/>
    <n v="1"/>
    <x v="0"/>
    <x v="2"/>
    <x v="19"/>
    <x v="2"/>
    <n v="49900000"/>
    <x v="2"/>
  </r>
  <r>
    <n v="167"/>
    <x v="6"/>
    <s v="AE100"/>
    <n v="1"/>
    <x v="0"/>
    <x v="2"/>
    <x v="14"/>
    <x v="6"/>
    <n v="37850000"/>
    <x v="6"/>
  </r>
  <r>
    <n v="168"/>
    <x v="8"/>
    <s v="AE145"/>
    <n v="1"/>
    <x v="2"/>
    <x v="2"/>
    <x v="8"/>
    <x v="8"/>
    <n v="33300000"/>
    <x v="21"/>
  </r>
  <r>
    <n v="169"/>
    <x v="1"/>
    <s v="AE314"/>
    <n v="1"/>
    <x v="0"/>
    <x v="2"/>
    <x v="10"/>
    <x v="1"/>
    <n v="28500000"/>
    <x v="1"/>
  </r>
  <r>
    <n v="170"/>
    <x v="1"/>
    <s v="AE314"/>
    <n v="30"/>
    <x v="0"/>
    <x v="3"/>
    <x v="8"/>
    <x v="1"/>
    <n v="855000000"/>
    <x v="31"/>
  </r>
  <r>
    <n v="171"/>
    <x v="4"/>
    <s v="AE390"/>
    <n v="1"/>
    <x v="3"/>
    <x v="0"/>
    <x v="19"/>
    <x v="4"/>
    <n v="46300000"/>
    <x v="4"/>
  </r>
  <r>
    <n v="172"/>
    <x v="5"/>
    <s v="AE600"/>
    <n v="1"/>
    <x v="3"/>
    <x v="3"/>
    <x v="8"/>
    <x v="5"/>
    <n v="47700000"/>
    <x v="5"/>
  </r>
  <r>
    <n v="173"/>
    <x v="4"/>
    <s v="AE390"/>
    <n v="1"/>
    <x v="2"/>
    <x v="2"/>
    <x v="0"/>
    <x v="4"/>
    <n v="46300000"/>
    <x v="4"/>
  </r>
  <r>
    <n v="174"/>
    <x v="1"/>
    <s v="AE314"/>
    <n v="1"/>
    <x v="3"/>
    <x v="0"/>
    <x v="5"/>
    <x v="1"/>
    <n v="28500000"/>
    <x v="1"/>
  </r>
  <r>
    <n v="175"/>
    <x v="2"/>
    <s v="AE600"/>
    <n v="1"/>
    <x v="1"/>
    <x v="2"/>
    <x v="15"/>
    <x v="2"/>
    <n v="49900000"/>
    <x v="2"/>
  </r>
  <r>
    <n v="176"/>
    <x v="4"/>
    <s v="AE390"/>
    <n v="1"/>
    <x v="1"/>
    <x v="0"/>
    <x v="15"/>
    <x v="4"/>
    <n v="46300000"/>
    <x v="4"/>
  </r>
  <r>
    <n v="177"/>
    <x v="5"/>
    <s v="AE600"/>
    <n v="2"/>
    <x v="1"/>
    <x v="1"/>
    <x v="11"/>
    <x v="5"/>
    <n v="95400000"/>
    <x v="14"/>
  </r>
  <r>
    <n v="178"/>
    <x v="2"/>
    <s v="AE600"/>
    <n v="1"/>
    <x v="1"/>
    <x v="2"/>
    <x v="17"/>
    <x v="2"/>
    <n v="49900000"/>
    <x v="2"/>
  </r>
  <r>
    <n v="179"/>
    <x v="8"/>
    <s v="AE145"/>
    <n v="30"/>
    <x v="2"/>
    <x v="1"/>
    <x v="9"/>
    <x v="8"/>
    <n v="999000000"/>
    <x v="42"/>
  </r>
  <r>
    <n v="180"/>
    <x v="0"/>
    <s v="AE190"/>
    <n v="2"/>
    <x v="3"/>
    <x v="3"/>
    <x v="12"/>
    <x v="0"/>
    <n v="110600000"/>
    <x v="20"/>
  </r>
  <r>
    <n v="181"/>
    <x v="5"/>
    <s v="AE600"/>
    <n v="30"/>
    <x v="0"/>
    <x v="3"/>
    <x v="8"/>
    <x v="5"/>
    <n v="1431000000"/>
    <x v="26"/>
  </r>
  <r>
    <n v="182"/>
    <x v="3"/>
    <s v="AE195"/>
    <n v="30"/>
    <x v="0"/>
    <x v="3"/>
    <x v="4"/>
    <x v="3"/>
    <n v="1755000000"/>
    <x v="18"/>
  </r>
  <r>
    <n v="183"/>
    <x v="5"/>
    <s v="AE600"/>
    <n v="1"/>
    <x v="1"/>
    <x v="1"/>
    <x v="0"/>
    <x v="5"/>
    <n v="47700000"/>
    <x v="5"/>
  </r>
  <r>
    <n v="184"/>
    <x v="3"/>
    <s v="AE195"/>
    <n v="20"/>
    <x v="0"/>
    <x v="1"/>
    <x v="2"/>
    <x v="3"/>
    <n v="1170000000"/>
    <x v="40"/>
  </r>
  <r>
    <n v="185"/>
    <x v="3"/>
    <s v="AE195"/>
    <n v="1"/>
    <x v="1"/>
    <x v="0"/>
    <x v="7"/>
    <x v="3"/>
    <n v="58500000"/>
    <x v="3"/>
  </r>
  <r>
    <n v="186"/>
    <x v="6"/>
    <s v="AE100"/>
    <n v="2"/>
    <x v="3"/>
    <x v="3"/>
    <x v="14"/>
    <x v="6"/>
    <n v="75700000"/>
    <x v="38"/>
  </r>
  <r>
    <n v="187"/>
    <x v="8"/>
    <s v="AE145"/>
    <n v="1"/>
    <x v="3"/>
    <x v="2"/>
    <x v="6"/>
    <x v="8"/>
    <n v="33300000"/>
    <x v="21"/>
  </r>
  <r>
    <n v="188"/>
    <x v="4"/>
    <s v="AE390"/>
    <n v="20"/>
    <x v="0"/>
    <x v="3"/>
    <x v="17"/>
    <x v="4"/>
    <n v="926000000"/>
    <x v="32"/>
  </r>
  <r>
    <n v="189"/>
    <x v="5"/>
    <s v="AE600"/>
    <n v="1"/>
    <x v="3"/>
    <x v="2"/>
    <x v="13"/>
    <x v="5"/>
    <n v="47700000"/>
    <x v="5"/>
  </r>
  <r>
    <n v="190"/>
    <x v="5"/>
    <s v="AE600"/>
    <n v="20"/>
    <x v="0"/>
    <x v="3"/>
    <x v="5"/>
    <x v="5"/>
    <n v="954000000"/>
    <x v="16"/>
  </r>
  <r>
    <n v="191"/>
    <x v="2"/>
    <s v="AE600"/>
    <n v="1"/>
    <x v="0"/>
    <x v="1"/>
    <x v="0"/>
    <x v="2"/>
    <n v="49900000"/>
    <x v="2"/>
  </r>
  <r>
    <n v="192"/>
    <x v="8"/>
    <s v="AE145"/>
    <n v="20"/>
    <x v="2"/>
    <x v="1"/>
    <x v="18"/>
    <x v="8"/>
    <n v="666000000"/>
    <x v="11"/>
  </r>
  <r>
    <n v="193"/>
    <x v="6"/>
    <s v="AE100"/>
    <n v="2"/>
    <x v="1"/>
    <x v="1"/>
    <x v="0"/>
    <x v="6"/>
    <n v="75700000"/>
    <x v="38"/>
  </r>
  <r>
    <n v="194"/>
    <x v="2"/>
    <s v="AE600"/>
    <n v="30"/>
    <x v="3"/>
    <x v="3"/>
    <x v="11"/>
    <x v="2"/>
    <n v="1497000000"/>
    <x v="33"/>
  </r>
  <r>
    <n v="195"/>
    <x v="7"/>
    <s v="AE14X"/>
    <n v="20"/>
    <x v="0"/>
    <x v="1"/>
    <x v="10"/>
    <x v="7"/>
    <n v="770000000"/>
    <x v="12"/>
  </r>
  <r>
    <n v="196"/>
    <x v="5"/>
    <s v="AE600"/>
    <n v="1"/>
    <x v="2"/>
    <x v="0"/>
    <x v="1"/>
    <x v="5"/>
    <n v="47700000"/>
    <x v="5"/>
  </r>
  <r>
    <n v="197"/>
    <x v="0"/>
    <s v="AE190"/>
    <n v="1"/>
    <x v="0"/>
    <x v="2"/>
    <x v="19"/>
    <x v="0"/>
    <n v="55300000"/>
    <x v="0"/>
  </r>
  <r>
    <n v="198"/>
    <x v="3"/>
    <s v="AE195"/>
    <n v="10"/>
    <x v="0"/>
    <x v="1"/>
    <x v="0"/>
    <x v="3"/>
    <n v="585000000"/>
    <x v="23"/>
  </r>
  <r>
    <n v="199"/>
    <x v="2"/>
    <s v="AE600"/>
    <n v="1"/>
    <x v="2"/>
    <x v="2"/>
    <x v="8"/>
    <x v="2"/>
    <n v="49900000"/>
    <x v="2"/>
  </r>
  <r>
    <n v="200"/>
    <x v="0"/>
    <s v="AE190"/>
    <n v="20"/>
    <x v="0"/>
    <x v="3"/>
    <x v="10"/>
    <x v="0"/>
    <n v="1106000000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n v="113"/>
    <x v="0"/>
    <x v="0"/>
    <x v="0"/>
    <x v="0"/>
    <n v="1800"/>
    <x v="0"/>
    <x v="0"/>
  </r>
  <r>
    <n v="2"/>
    <n v="956"/>
    <x v="1"/>
    <x v="1"/>
    <x v="0"/>
    <x v="1"/>
    <n v="12000"/>
    <x v="1"/>
    <x v="1"/>
  </r>
  <r>
    <n v="3"/>
    <n v="792"/>
    <x v="2"/>
    <x v="2"/>
    <x v="0"/>
    <x v="2"/>
    <n v="275000"/>
    <x v="2"/>
    <x v="2"/>
  </r>
  <r>
    <n v="4"/>
    <n v="348"/>
    <x v="3"/>
    <x v="3"/>
    <x v="1"/>
    <x v="3"/>
    <n v="150"/>
    <x v="3"/>
    <x v="3"/>
  </r>
  <r>
    <n v="5"/>
    <n v="113"/>
    <x v="0"/>
    <x v="2"/>
    <x v="0"/>
    <x v="4"/>
    <n v="2500"/>
    <x v="3"/>
    <x v="4"/>
  </r>
  <r>
    <n v="6"/>
    <n v="348"/>
    <x v="3"/>
    <x v="2"/>
    <x v="0"/>
    <x v="5"/>
    <n v="110"/>
    <x v="0"/>
    <x v="5"/>
  </r>
  <r>
    <n v="7"/>
    <n v="792"/>
    <x v="2"/>
    <x v="0"/>
    <x v="0"/>
    <x v="1"/>
    <n v="275000"/>
    <x v="0"/>
    <x v="6"/>
  </r>
  <r>
    <n v="8"/>
    <n v="631"/>
    <x v="4"/>
    <x v="2"/>
    <x v="1"/>
    <x v="6"/>
    <n v="14000"/>
    <x v="4"/>
    <x v="7"/>
  </r>
  <r>
    <n v="9"/>
    <n v="792"/>
    <x v="2"/>
    <x v="1"/>
    <x v="0"/>
    <x v="7"/>
    <n v="275000"/>
    <x v="4"/>
    <x v="8"/>
  </r>
  <r>
    <n v="10"/>
    <n v="248"/>
    <x v="5"/>
    <x v="1"/>
    <x v="0"/>
    <x v="8"/>
    <n v="145"/>
    <x v="2"/>
    <x v="4"/>
  </r>
  <r>
    <n v="11"/>
    <n v="883"/>
    <x v="6"/>
    <x v="1"/>
    <x v="2"/>
    <x v="9"/>
    <n v="140000"/>
    <x v="5"/>
    <x v="8"/>
  </r>
  <r>
    <n v="12"/>
    <n v="348"/>
    <x v="3"/>
    <x v="3"/>
    <x v="1"/>
    <x v="10"/>
    <n v="150"/>
    <x v="4"/>
    <x v="0"/>
  </r>
  <r>
    <n v="13"/>
    <n v="792"/>
    <x v="2"/>
    <x v="3"/>
    <x v="1"/>
    <x v="11"/>
    <n v="275000"/>
    <x v="0"/>
    <x v="2"/>
  </r>
  <r>
    <n v="14"/>
    <n v="348"/>
    <x v="3"/>
    <x v="3"/>
    <x v="0"/>
    <x v="3"/>
    <n v="150"/>
    <x v="2"/>
    <x v="3"/>
  </r>
  <r>
    <n v="15"/>
    <n v="451"/>
    <x v="7"/>
    <x v="0"/>
    <x v="1"/>
    <x v="12"/>
    <n v="450"/>
    <x v="5"/>
    <x v="3"/>
  </r>
  <r>
    <n v="16"/>
    <n v="451"/>
    <x v="7"/>
    <x v="2"/>
    <x v="1"/>
    <x v="13"/>
    <n v="500"/>
    <x v="5"/>
    <x v="9"/>
  </r>
  <r>
    <n v="17"/>
    <n v="792"/>
    <x v="2"/>
    <x v="2"/>
    <x v="1"/>
    <x v="14"/>
    <n v="275000"/>
    <x v="6"/>
    <x v="2"/>
  </r>
  <r>
    <n v="18"/>
    <n v="631"/>
    <x v="4"/>
    <x v="2"/>
    <x v="2"/>
    <x v="15"/>
    <n v="14000"/>
    <x v="6"/>
    <x v="4"/>
  </r>
  <r>
    <n v="19"/>
    <n v="883"/>
    <x v="6"/>
    <x v="2"/>
    <x v="1"/>
    <x v="16"/>
    <n v="135000"/>
    <x v="4"/>
    <x v="7"/>
  </r>
  <r>
    <n v="20"/>
    <n v="883"/>
    <x v="6"/>
    <x v="0"/>
    <x v="1"/>
    <x v="17"/>
    <n v="140000"/>
    <x v="2"/>
    <x v="0"/>
  </r>
  <r>
    <n v="21"/>
    <n v="631"/>
    <x v="4"/>
    <x v="3"/>
    <x v="1"/>
    <x v="18"/>
    <n v="14000"/>
    <x v="4"/>
    <x v="2"/>
  </r>
  <r>
    <n v="22"/>
    <n v="883"/>
    <x v="6"/>
    <x v="1"/>
    <x v="0"/>
    <x v="19"/>
    <n v="140000"/>
    <x v="7"/>
    <x v="4"/>
  </r>
  <r>
    <n v="23"/>
    <n v="631"/>
    <x v="4"/>
    <x v="2"/>
    <x v="0"/>
    <x v="20"/>
    <n v="14000"/>
    <x v="5"/>
    <x v="2"/>
  </r>
  <r>
    <n v="24"/>
    <n v="956"/>
    <x v="1"/>
    <x v="0"/>
    <x v="1"/>
    <x v="21"/>
    <n v="12000"/>
    <x v="1"/>
    <x v="1"/>
  </r>
  <r>
    <n v="25"/>
    <n v="631"/>
    <x v="4"/>
    <x v="1"/>
    <x v="0"/>
    <x v="22"/>
    <n v="14000"/>
    <x v="4"/>
    <x v="8"/>
  </r>
  <r>
    <n v="26"/>
    <n v="451"/>
    <x v="7"/>
    <x v="1"/>
    <x v="0"/>
    <x v="23"/>
    <n v="450"/>
    <x v="0"/>
    <x v="3"/>
  </r>
  <r>
    <n v="27"/>
    <n v="956"/>
    <x v="1"/>
    <x v="0"/>
    <x v="2"/>
    <x v="24"/>
    <n v="12000"/>
    <x v="6"/>
    <x v="8"/>
  </r>
  <r>
    <n v="28"/>
    <n v="451"/>
    <x v="7"/>
    <x v="1"/>
    <x v="1"/>
    <x v="20"/>
    <n v="470"/>
    <x v="3"/>
    <x v="1"/>
  </r>
  <r>
    <n v="29"/>
    <n v="248"/>
    <x v="5"/>
    <x v="0"/>
    <x v="1"/>
    <x v="25"/>
    <n v="145"/>
    <x v="2"/>
    <x v="0"/>
  </r>
  <r>
    <n v="30"/>
    <n v="883"/>
    <x v="6"/>
    <x v="3"/>
    <x v="2"/>
    <x v="0"/>
    <n v="140000"/>
    <x v="1"/>
    <x v="1"/>
  </r>
  <r>
    <n v="31"/>
    <n v="248"/>
    <x v="5"/>
    <x v="2"/>
    <x v="0"/>
    <x v="26"/>
    <n v="300"/>
    <x v="6"/>
    <x v="5"/>
  </r>
  <r>
    <n v="32"/>
    <n v="792"/>
    <x v="2"/>
    <x v="3"/>
    <x v="0"/>
    <x v="27"/>
    <n v="350000"/>
    <x v="0"/>
    <x v="3"/>
  </r>
  <r>
    <n v="33"/>
    <n v="972"/>
    <x v="8"/>
    <x v="2"/>
    <x v="0"/>
    <x v="28"/>
    <n v="125000"/>
    <x v="6"/>
    <x v="1"/>
  </r>
  <r>
    <n v="34"/>
    <n v="883"/>
    <x v="6"/>
    <x v="3"/>
    <x v="1"/>
    <x v="29"/>
    <n v="170000"/>
    <x v="2"/>
    <x v="5"/>
  </r>
  <r>
    <n v="35"/>
    <n v="113"/>
    <x v="0"/>
    <x v="3"/>
    <x v="2"/>
    <x v="19"/>
    <n v="1800"/>
    <x v="5"/>
    <x v="6"/>
  </r>
  <r>
    <n v="36"/>
    <n v="113"/>
    <x v="0"/>
    <x v="1"/>
    <x v="0"/>
    <x v="30"/>
    <n v="1800"/>
    <x v="0"/>
    <x v="6"/>
  </r>
  <r>
    <n v="37"/>
    <n v="972"/>
    <x v="8"/>
    <x v="2"/>
    <x v="2"/>
    <x v="31"/>
    <n v="90000"/>
    <x v="2"/>
    <x v="6"/>
  </r>
  <r>
    <n v="38"/>
    <n v="956"/>
    <x v="1"/>
    <x v="1"/>
    <x v="2"/>
    <x v="8"/>
    <n v="10000"/>
    <x v="2"/>
    <x v="5"/>
  </r>
  <r>
    <n v="39"/>
    <n v="972"/>
    <x v="8"/>
    <x v="1"/>
    <x v="0"/>
    <x v="32"/>
    <n v="125000"/>
    <x v="3"/>
    <x v="8"/>
  </r>
  <r>
    <n v="40"/>
    <n v="883"/>
    <x v="6"/>
    <x v="2"/>
    <x v="0"/>
    <x v="26"/>
    <n v="170000"/>
    <x v="0"/>
    <x v="5"/>
  </r>
  <r>
    <n v="41"/>
    <n v="792"/>
    <x v="2"/>
    <x v="2"/>
    <x v="1"/>
    <x v="33"/>
    <n v="275000"/>
    <x v="3"/>
    <x v="1"/>
  </r>
  <r>
    <n v="42"/>
    <n v="631"/>
    <x v="4"/>
    <x v="3"/>
    <x v="0"/>
    <x v="34"/>
    <n v="14000"/>
    <x v="1"/>
    <x v="8"/>
  </r>
  <r>
    <n v="43"/>
    <n v="792"/>
    <x v="2"/>
    <x v="0"/>
    <x v="2"/>
    <x v="35"/>
    <n v="275000"/>
    <x v="0"/>
    <x v="2"/>
  </r>
  <r>
    <n v="44"/>
    <n v="451"/>
    <x v="7"/>
    <x v="2"/>
    <x v="2"/>
    <x v="36"/>
    <n v="470"/>
    <x v="0"/>
    <x v="1"/>
  </r>
  <r>
    <n v="45"/>
    <n v="972"/>
    <x v="8"/>
    <x v="0"/>
    <x v="0"/>
    <x v="37"/>
    <n v="125000"/>
    <x v="7"/>
    <x v="0"/>
  </r>
  <r>
    <n v="46"/>
    <n v="883"/>
    <x v="6"/>
    <x v="3"/>
    <x v="1"/>
    <x v="38"/>
    <n v="170000"/>
    <x v="3"/>
    <x v="5"/>
  </r>
  <r>
    <n v="47"/>
    <n v="631"/>
    <x v="4"/>
    <x v="2"/>
    <x v="0"/>
    <x v="39"/>
    <n v="14000"/>
    <x v="6"/>
    <x v="7"/>
  </r>
  <r>
    <n v="48"/>
    <n v="631"/>
    <x v="4"/>
    <x v="0"/>
    <x v="1"/>
    <x v="40"/>
    <n v="14000"/>
    <x v="6"/>
    <x v="4"/>
  </r>
  <r>
    <n v="49"/>
    <n v="972"/>
    <x v="8"/>
    <x v="0"/>
    <x v="1"/>
    <x v="41"/>
    <n v="125000"/>
    <x v="5"/>
    <x v="2"/>
  </r>
  <r>
    <n v="50"/>
    <n v="883"/>
    <x v="6"/>
    <x v="2"/>
    <x v="0"/>
    <x v="42"/>
    <n v="140000"/>
    <x v="0"/>
    <x v="6"/>
  </r>
  <r>
    <n v="51"/>
    <n v="113"/>
    <x v="0"/>
    <x v="1"/>
    <x v="0"/>
    <x v="43"/>
    <n v="1800"/>
    <x v="2"/>
    <x v="6"/>
  </r>
  <r>
    <n v="52"/>
    <n v="956"/>
    <x v="1"/>
    <x v="2"/>
    <x v="0"/>
    <x v="44"/>
    <n v="12000"/>
    <x v="5"/>
    <x v="3"/>
  </r>
  <r>
    <n v="53"/>
    <n v="792"/>
    <x v="2"/>
    <x v="3"/>
    <x v="0"/>
    <x v="45"/>
    <n v="250000"/>
    <x v="1"/>
    <x v="5"/>
  </r>
  <r>
    <n v="54"/>
    <n v="792"/>
    <x v="2"/>
    <x v="0"/>
    <x v="2"/>
    <x v="46"/>
    <n v="320000"/>
    <x v="5"/>
    <x v="0"/>
  </r>
  <r>
    <n v="55"/>
    <n v="792"/>
    <x v="2"/>
    <x v="2"/>
    <x v="1"/>
    <x v="47"/>
    <n v="275000"/>
    <x v="2"/>
    <x v="2"/>
  </r>
  <r>
    <n v="56"/>
    <n v="956"/>
    <x v="1"/>
    <x v="2"/>
    <x v="0"/>
    <x v="48"/>
    <n v="10000"/>
    <x v="4"/>
    <x v="5"/>
  </r>
  <r>
    <n v="57"/>
    <n v="792"/>
    <x v="2"/>
    <x v="3"/>
    <x v="0"/>
    <x v="12"/>
    <n v="320000"/>
    <x v="4"/>
    <x v="0"/>
  </r>
  <r>
    <n v="58"/>
    <n v="248"/>
    <x v="5"/>
    <x v="0"/>
    <x v="1"/>
    <x v="49"/>
    <n v="120"/>
    <x v="5"/>
    <x v="7"/>
  </r>
  <r>
    <n v="59"/>
    <n v="631"/>
    <x v="4"/>
    <x v="1"/>
    <x v="1"/>
    <x v="50"/>
    <n v="14000"/>
    <x v="5"/>
    <x v="1"/>
  </r>
  <r>
    <n v="60"/>
    <n v="792"/>
    <x v="2"/>
    <x v="2"/>
    <x v="0"/>
    <x v="1"/>
    <n v="275000"/>
    <x v="2"/>
    <x v="6"/>
  </r>
  <r>
    <n v="61"/>
    <n v="348"/>
    <x v="3"/>
    <x v="1"/>
    <x v="1"/>
    <x v="51"/>
    <n v="120"/>
    <x v="2"/>
    <x v="6"/>
  </r>
  <r>
    <n v="62"/>
    <n v="972"/>
    <x v="8"/>
    <x v="0"/>
    <x v="0"/>
    <x v="1"/>
    <n v="125000"/>
    <x v="2"/>
    <x v="0"/>
  </r>
  <r>
    <n v="63"/>
    <n v="631"/>
    <x v="4"/>
    <x v="0"/>
    <x v="0"/>
    <x v="52"/>
    <n v="14000"/>
    <x v="5"/>
    <x v="6"/>
  </r>
  <r>
    <n v="64"/>
    <n v="956"/>
    <x v="1"/>
    <x v="1"/>
    <x v="0"/>
    <x v="53"/>
    <n v="12000"/>
    <x v="7"/>
    <x v="1"/>
  </r>
  <r>
    <n v="65"/>
    <n v="972"/>
    <x v="8"/>
    <x v="0"/>
    <x v="1"/>
    <x v="3"/>
    <n v="125000"/>
    <x v="2"/>
    <x v="8"/>
  </r>
  <r>
    <n v="66"/>
    <n v="956"/>
    <x v="1"/>
    <x v="2"/>
    <x v="2"/>
    <x v="44"/>
    <n v="12000"/>
    <x v="6"/>
    <x v="4"/>
  </r>
  <r>
    <n v="67"/>
    <n v="113"/>
    <x v="0"/>
    <x v="2"/>
    <x v="2"/>
    <x v="54"/>
    <n v="1800"/>
    <x v="7"/>
    <x v="0"/>
  </r>
  <r>
    <n v="68"/>
    <n v="956"/>
    <x v="1"/>
    <x v="0"/>
    <x v="0"/>
    <x v="7"/>
    <n v="12000"/>
    <x v="4"/>
    <x v="3"/>
  </r>
  <r>
    <n v="69"/>
    <n v="451"/>
    <x v="7"/>
    <x v="0"/>
    <x v="0"/>
    <x v="55"/>
    <n v="890"/>
    <x v="6"/>
    <x v="0"/>
  </r>
  <r>
    <n v="70"/>
    <n v="113"/>
    <x v="0"/>
    <x v="1"/>
    <x v="1"/>
    <x v="46"/>
    <n v="1800"/>
    <x v="0"/>
    <x v="8"/>
  </r>
  <r>
    <n v="71"/>
    <n v="972"/>
    <x v="8"/>
    <x v="0"/>
    <x v="1"/>
    <x v="56"/>
    <n v="125000"/>
    <x v="7"/>
    <x v="4"/>
  </r>
  <r>
    <n v="72"/>
    <n v="248"/>
    <x v="5"/>
    <x v="3"/>
    <x v="1"/>
    <x v="57"/>
    <n v="145"/>
    <x v="3"/>
    <x v="2"/>
  </r>
  <r>
    <n v="73"/>
    <n v="348"/>
    <x v="3"/>
    <x v="1"/>
    <x v="1"/>
    <x v="58"/>
    <n v="150"/>
    <x v="4"/>
    <x v="0"/>
  </r>
  <r>
    <n v="74"/>
    <n v="956"/>
    <x v="1"/>
    <x v="1"/>
    <x v="0"/>
    <x v="59"/>
    <n v="10000"/>
    <x v="7"/>
    <x v="5"/>
  </r>
  <r>
    <n v="75"/>
    <n v="348"/>
    <x v="3"/>
    <x v="3"/>
    <x v="1"/>
    <x v="51"/>
    <n v="150"/>
    <x v="2"/>
    <x v="0"/>
  </r>
  <r>
    <n v="76"/>
    <n v="451"/>
    <x v="7"/>
    <x v="3"/>
    <x v="2"/>
    <x v="60"/>
    <n v="450"/>
    <x v="5"/>
    <x v="3"/>
  </r>
  <r>
    <n v="77"/>
    <n v="956"/>
    <x v="1"/>
    <x v="2"/>
    <x v="1"/>
    <x v="61"/>
    <n v="10000"/>
    <x v="7"/>
    <x v="5"/>
  </r>
  <r>
    <n v="78"/>
    <n v="248"/>
    <x v="5"/>
    <x v="1"/>
    <x v="2"/>
    <x v="62"/>
    <n v="145"/>
    <x v="0"/>
    <x v="2"/>
  </r>
  <r>
    <n v="79"/>
    <n v="248"/>
    <x v="5"/>
    <x v="0"/>
    <x v="0"/>
    <x v="63"/>
    <n v="145"/>
    <x v="6"/>
    <x v="0"/>
  </r>
  <r>
    <n v="80"/>
    <n v="956"/>
    <x v="1"/>
    <x v="3"/>
    <x v="2"/>
    <x v="64"/>
    <n v="12000"/>
    <x v="4"/>
    <x v="1"/>
  </r>
  <r>
    <n v="81"/>
    <n v="248"/>
    <x v="5"/>
    <x v="0"/>
    <x v="0"/>
    <x v="17"/>
    <n v="145"/>
    <x v="1"/>
    <x v="9"/>
  </r>
  <r>
    <n v="82"/>
    <n v="348"/>
    <x v="3"/>
    <x v="0"/>
    <x v="2"/>
    <x v="65"/>
    <n v="150"/>
    <x v="4"/>
    <x v="1"/>
  </r>
  <r>
    <n v="83"/>
    <n v="631"/>
    <x v="4"/>
    <x v="3"/>
    <x v="0"/>
    <x v="66"/>
    <n v="10000"/>
    <x v="6"/>
    <x v="3"/>
  </r>
  <r>
    <n v="84"/>
    <n v="348"/>
    <x v="3"/>
    <x v="1"/>
    <x v="1"/>
    <x v="62"/>
    <n v="150"/>
    <x v="4"/>
    <x v="8"/>
  </r>
  <r>
    <n v="85"/>
    <n v="972"/>
    <x v="8"/>
    <x v="3"/>
    <x v="0"/>
    <x v="67"/>
    <n v="125000"/>
    <x v="5"/>
    <x v="0"/>
  </r>
  <r>
    <n v="86"/>
    <n v="631"/>
    <x v="4"/>
    <x v="3"/>
    <x v="1"/>
    <x v="68"/>
    <n v="14000"/>
    <x v="7"/>
    <x v="9"/>
  </r>
  <r>
    <n v="87"/>
    <n v="451"/>
    <x v="7"/>
    <x v="0"/>
    <x v="2"/>
    <x v="29"/>
    <n v="470"/>
    <x v="2"/>
    <x v="2"/>
  </r>
  <r>
    <n v="88"/>
    <n v="451"/>
    <x v="7"/>
    <x v="3"/>
    <x v="2"/>
    <x v="69"/>
    <n v="470"/>
    <x v="0"/>
    <x v="6"/>
  </r>
  <r>
    <n v="89"/>
    <n v="631"/>
    <x v="4"/>
    <x v="0"/>
    <x v="0"/>
    <x v="70"/>
    <n v="14000"/>
    <x v="4"/>
    <x v="8"/>
  </r>
  <r>
    <n v="90"/>
    <n v="451"/>
    <x v="7"/>
    <x v="0"/>
    <x v="0"/>
    <x v="71"/>
    <n v="470"/>
    <x v="3"/>
    <x v="6"/>
  </r>
  <r>
    <n v="91"/>
    <n v="956"/>
    <x v="1"/>
    <x v="2"/>
    <x v="0"/>
    <x v="72"/>
    <n v="15000"/>
    <x v="3"/>
    <x v="6"/>
  </r>
  <r>
    <n v="92"/>
    <n v="113"/>
    <x v="0"/>
    <x v="0"/>
    <x v="0"/>
    <x v="73"/>
    <n v="2200"/>
    <x v="0"/>
    <x v="9"/>
  </r>
  <r>
    <n v="93"/>
    <n v="248"/>
    <x v="5"/>
    <x v="2"/>
    <x v="1"/>
    <x v="74"/>
    <n v="300"/>
    <x v="3"/>
    <x v="5"/>
  </r>
  <r>
    <n v="94"/>
    <n v="792"/>
    <x v="2"/>
    <x v="1"/>
    <x v="1"/>
    <x v="46"/>
    <n v="320000"/>
    <x v="4"/>
    <x v="0"/>
  </r>
  <r>
    <n v="95"/>
    <n v="883"/>
    <x v="6"/>
    <x v="1"/>
    <x v="0"/>
    <x v="1"/>
    <n v="140000"/>
    <x v="7"/>
    <x v="6"/>
  </r>
  <r>
    <n v="96"/>
    <n v="113"/>
    <x v="0"/>
    <x v="2"/>
    <x v="1"/>
    <x v="2"/>
    <n v="1800"/>
    <x v="0"/>
    <x v="3"/>
  </r>
  <r>
    <n v="97"/>
    <n v="631"/>
    <x v="4"/>
    <x v="3"/>
    <x v="0"/>
    <x v="75"/>
    <n v="14000"/>
    <x v="5"/>
    <x v="4"/>
  </r>
  <r>
    <n v="98"/>
    <n v="883"/>
    <x v="6"/>
    <x v="1"/>
    <x v="2"/>
    <x v="50"/>
    <n v="140000"/>
    <x v="7"/>
    <x v="6"/>
  </r>
  <r>
    <n v="99"/>
    <n v="451"/>
    <x v="7"/>
    <x v="0"/>
    <x v="2"/>
    <x v="29"/>
    <n v="470"/>
    <x v="5"/>
    <x v="1"/>
  </r>
  <r>
    <n v="100"/>
    <n v="792"/>
    <x v="2"/>
    <x v="2"/>
    <x v="2"/>
    <x v="76"/>
    <n v="275000"/>
    <x v="5"/>
    <x v="7"/>
  </r>
  <r>
    <n v="101"/>
    <n v="348"/>
    <x v="3"/>
    <x v="2"/>
    <x v="2"/>
    <x v="77"/>
    <n v="150"/>
    <x v="5"/>
    <x v="3"/>
  </r>
  <r>
    <n v="102"/>
    <n v="956"/>
    <x v="1"/>
    <x v="3"/>
    <x v="1"/>
    <x v="78"/>
    <n v="10000"/>
    <x v="5"/>
    <x v="5"/>
  </r>
  <r>
    <n v="103"/>
    <n v="792"/>
    <x v="2"/>
    <x v="0"/>
    <x v="1"/>
    <x v="79"/>
    <n v="275000"/>
    <x v="3"/>
    <x v="7"/>
  </r>
  <r>
    <n v="104"/>
    <n v="113"/>
    <x v="0"/>
    <x v="3"/>
    <x v="0"/>
    <x v="80"/>
    <n v="1800"/>
    <x v="2"/>
    <x v="1"/>
  </r>
  <r>
    <n v="105"/>
    <n v="792"/>
    <x v="2"/>
    <x v="1"/>
    <x v="0"/>
    <x v="64"/>
    <n v="275000"/>
    <x v="0"/>
    <x v="6"/>
  </r>
  <r>
    <n v="106"/>
    <n v="631"/>
    <x v="4"/>
    <x v="0"/>
    <x v="1"/>
    <x v="81"/>
    <n v="13000"/>
    <x v="0"/>
    <x v="5"/>
  </r>
  <r>
    <n v="107"/>
    <n v="451"/>
    <x v="7"/>
    <x v="2"/>
    <x v="1"/>
    <x v="51"/>
    <n v="470"/>
    <x v="6"/>
    <x v="7"/>
  </r>
  <r>
    <n v="108"/>
    <n v="248"/>
    <x v="5"/>
    <x v="3"/>
    <x v="0"/>
    <x v="82"/>
    <n v="145"/>
    <x v="3"/>
    <x v="0"/>
  </r>
  <r>
    <n v="109"/>
    <n v="348"/>
    <x v="3"/>
    <x v="3"/>
    <x v="1"/>
    <x v="83"/>
    <n v="120"/>
    <x v="2"/>
    <x v="6"/>
  </r>
  <r>
    <n v="110"/>
    <n v="792"/>
    <x v="2"/>
    <x v="0"/>
    <x v="2"/>
    <x v="84"/>
    <n v="275000"/>
    <x v="4"/>
    <x v="2"/>
  </r>
  <r>
    <n v="111"/>
    <n v="883"/>
    <x v="6"/>
    <x v="3"/>
    <x v="0"/>
    <x v="85"/>
    <n v="140000"/>
    <x v="4"/>
    <x v="2"/>
  </r>
  <r>
    <n v="112"/>
    <n v="883"/>
    <x v="6"/>
    <x v="1"/>
    <x v="0"/>
    <x v="86"/>
    <n v="135000"/>
    <x v="6"/>
    <x v="7"/>
  </r>
  <r>
    <n v="113"/>
    <n v="631"/>
    <x v="4"/>
    <x v="2"/>
    <x v="0"/>
    <x v="87"/>
    <n v="14000"/>
    <x v="3"/>
    <x v="7"/>
  </r>
  <r>
    <n v="114"/>
    <n v="883"/>
    <x v="6"/>
    <x v="0"/>
    <x v="2"/>
    <x v="34"/>
    <n v="140000"/>
    <x v="2"/>
    <x v="4"/>
  </r>
  <r>
    <n v="115"/>
    <n v="972"/>
    <x v="8"/>
    <x v="3"/>
    <x v="2"/>
    <x v="88"/>
    <n v="125000"/>
    <x v="1"/>
    <x v="0"/>
  </r>
  <r>
    <n v="116"/>
    <n v="348"/>
    <x v="3"/>
    <x v="3"/>
    <x v="1"/>
    <x v="89"/>
    <n v="110"/>
    <x v="0"/>
    <x v="5"/>
  </r>
  <r>
    <n v="117"/>
    <n v="792"/>
    <x v="2"/>
    <x v="0"/>
    <x v="1"/>
    <x v="90"/>
    <n v="350000"/>
    <x v="0"/>
    <x v="3"/>
  </r>
  <r>
    <n v="118"/>
    <n v="972"/>
    <x v="8"/>
    <x v="1"/>
    <x v="2"/>
    <x v="91"/>
    <n v="125000"/>
    <x v="7"/>
    <x v="1"/>
  </r>
  <r>
    <n v="119"/>
    <n v="883"/>
    <x v="6"/>
    <x v="2"/>
    <x v="0"/>
    <x v="61"/>
    <n v="135000"/>
    <x v="0"/>
    <x v="7"/>
  </r>
  <r>
    <n v="120"/>
    <n v="883"/>
    <x v="6"/>
    <x v="3"/>
    <x v="0"/>
    <x v="92"/>
    <n v="140000"/>
    <x v="5"/>
    <x v="3"/>
  </r>
  <r>
    <n v="121"/>
    <n v="451"/>
    <x v="7"/>
    <x v="3"/>
    <x v="0"/>
    <x v="93"/>
    <n v="470"/>
    <x v="6"/>
    <x v="5"/>
  </r>
  <r>
    <n v="122"/>
    <n v="972"/>
    <x v="8"/>
    <x v="0"/>
    <x v="1"/>
    <x v="26"/>
    <n v="125000"/>
    <x v="2"/>
    <x v="0"/>
  </r>
  <r>
    <n v="123"/>
    <n v="631"/>
    <x v="4"/>
    <x v="1"/>
    <x v="0"/>
    <x v="6"/>
    <n v="14000"/>
    <x v="6"/>
    <x v="1"/>
  </r>
  <r>
    <n v="124"/>
    <n v="631"/>
    <x v="4"/>
    <x v="1"/>
    <x v="2"/>
    <x v="94"/>
    <n v="13000"/>
    <x v="0"/>
    <x v="5"/>
  </r>
  <r>
    <n v="125"/>
    <n v="348"/>
    <x v="3"/>
    <x v="1"/>
    <x v="0"/>
    <x v="22"/>
    <n v="150"/>
    <x v="5"/>
    <x v="7"/>
  </r>
  <r>
    <n v="126"/>
    <n v="113"/>
    <x v="0"/>
    <x v="2"/>
    <x v="0"/>
    <x v="58"/>
    <n v="1800"/>
    <x v="6"/>
    <x v="8"/>
  </r>
  <r>
    <n v="127"/>
    <n v="956"/>
    <x v="1"/>
    <x v="1"/>
    <x v="0"/>
    <x v="32"/>
    <n v="12000"/>
    <x v="6"/>
    <x v="7"/>
  </r>
  <r>
    <n v="128"/>
    <n v="972"/>
    <x v="8"/>
    <x v="1"/>
    <x v="1"/>
    <x v="32"/>
    <n v="125000"/>
    <x v="7"/>
    <x v="9"/>
  </r>
  <r>
    <n v="129"/>
    <n v="972"/>
    <x v="8"/>
    <x v="1"/>
    <x v="2"/>
    <x v="95"/>
    <n v="90000"/>
    <x v="5"/>
    <x v="6"/>
  </r>
  <r>
    <n v="130"/>
    <n v="883"/>
    <x v="6"/>
    <x v="1"/>
    <x v="1"/>
    <x v="77"/>
    <n v="140000"/>
    <x v="6"/>
    <x v="6"/>
  </r>
  <r>
    <n v="131"/>
    <n v="631"/>
    <x v="4"/>
    <x v="0"/>
    <x v="1"/>
    <x v="96"/>
    <n v="14000"/>
    <x v="1"/>
    <x v="4"/>
  </r>
  <r>
    <n v="132"/>
    <n v="792"/>
    <x v="2"/>
    <x v="1"/>
    <x v="0"/>
    <x v="85"/>
    <n v="350000"/>
    <x v="0"/>
    <x v="3"/>
  </r>
  <r>
    <n v="133"/>
    <n v="631"/>
    <x v="4"/>
    <x v="0"/>
    <x v="2"/>
    <x v="97"/>
    <n v="14000"/>
    <x v="4"/>
    <x v="7"/>
  </r>
  <r>
    <n v="134"/>
    <n v="348"/>
    <x v="3"/>
    <x v="3"/>
    <x v="1"/>
    <x v="22"/>
    <n v="150"/>
    <x v="2"/>
    <x v="0"/>
  </r>
  <r>
    <n v="135"/>
    <n v="248"/>
    <x v="5"/>
    <x v="1"/>
    <x v="0"/>
    <x v="74"/>
    <n v="170"/>
    <x v="4"/>
    <x v="6"/>
  </r>
  <r>
    <n v="136"/>
    <n v="248"/>
    <x v="5"/>
    <x v="1"/>
    <x v="0"/>
    <x v="38"/>
    <n v="145"/>
    <x v="5"/>
    <x v="9"/>
  </r>
  <r>
    <n v="137"/>
    <n v="348"/>
    <x v="3"/>
    <x v="0"/>
    <x v="2"/>
    <x v="17"/>
    <n v="120"/>
    <x v="7"/>
    <x v="6"/>
  </r>
  <r>
    <n v="138"/>
    <n v="348"/>
    <x v="3"/>
    <x v="1"/>
    <x v="0"/>
    <x v="23"/>
    <n v="150"/>
    <x v="4"/>
    <x v="4"/>
  </r>
  <r>
    <n v="139"/>
    <n v="348"/>
    <x v="3"/>
    <x v="2"/>
    <x v="0"/>
    <x v="98"/>
    <n v="110"/>
    <x v="3"/>
    <x v="5"/>
  </r>
  <r>
    <n v="140"/>
    <n v="972"/>
    <x v="8"/>
    <x v="3"/>
    <x v="1"/>
    <x v="99"/>
    <n v="125000"/>
    <x v="5"/>
    <x v="1"/>
  </r>
  <r>
    <n v="141"/>
    <n v="956"/>
    <x v="1"/>
    <x v="2"/>
    <x v="2"/>
    <x v="100"/>
    <n v="12000"/>
    <x v="0"/>
    <x v="0"/>
  </r>
  <r>
    <n v="142"/>
    <n v="883"/>
    <x v="6"/>
    <x v="1"/>
    <x v="1"/>
    <x v="40"/>
    <n v="140000"/>
    <x v="4"/>
    <x v="3"/>
  </r>
  <r>
    <n v="143"/>
    <n v="451"/>
    <x v="7"/>
    <x v="2"/>
    <x v="0"/>
    <x v="1"/>
    <n v="470"/>
    <x v="7"/>
    <x v="6"/>
  </r>
  <r>
    <n v="144"/>
    <n v="956"/>
    <x v="1"/>
    <x v="2"/>
    <x v="0"/>
    <x v="101"/>
    <n v="12000"/>
    <x v="5"/>
    <x v="8"/>
  </r>
  <r>
    <n v="145"/>
    <n v="956"/>
    <x v="1"/>
    <x v="2"/>
    <x v="0"/>
    <x v="102"/>
    <n v="12000"/>
    <x v="5"/>
    <x v="4"/>
  </r>
  <r>
    <n v="146"/>
    <n v="883"/>
    <x v="6"/>
    <x v="0"/>
    <x v="2"/>
    <x v="3"/>
    <n v="140000"/>
    <x v="5"/>
    <x v="0"/>
  </r>
  <r>
    <n v="147"/>
    <n v="451"/>
    <x v="7"/>
    <x v="1"/>
    <x v="2"/>
    <x v="65"/>
    <n v="470"/>
    <x v="0"/>
    <x v="8"/>
  </r>
  <r>
    <n v="148"/>
    <n v="956"/>
    <x v="1"/>
    <x v="1"/>
    <x v="0"/>
    <x v="103"/>
    <n v="12000"/>
    <x v="7"/>
    <x v="3"/>
  </r>
  <r>
    <n v="149"/>
    <n v="113"/>
    <x v="0"/>
    <x v="1"/>
    <x v="1"/>
    <x v="15"/>
    <n v="1800"/>
    <x v="5"/>
    <x v="8"/>
  </r>
  <r>
    <n v="150"/>
    <n v="113"/>
    <x v="0"/>
    <x v="2"/>
    <x v="2"/>
    <x v="69"/>
    <n v="1800"/>
    <x v="1"/>
    <x v="8"/>
  </r>
  <r>
    <n v="151"/>
    <n v="883"/>
    <x v="6"/>
    <x v="0"/>
    <x v="2"/>
    <x v="44"/>
    <n v="140000"/>
    <x v="2"/>
    <x v="2"/>
  </r>
  <r>
    <n v="152"/>
    <n v="972"/>
    <x v="8"/>
    <x v="0"/>
    <x v="0"/>
    <x v="104"/>
    <n v="125000"/>
    <x v="3"/>
    <x v="8"/>
  </r>
  <r>
    <n v="153"/>
    <n v="248"/>
    <x v="5"/>
    <x v="0"/>
    <x v="1"/>
    <x v="25"/>
    <n v="145"/>
    <x v="5"/>
    <x v="4"/>
  </r>
  <r>
    <n v="154"/>
    <n v="956"/>
    <x v="1"/>
    <x v="2"/>
    <x v="0"/>
    <x v="33"/>
    <n v="15000"/>
    <x v="2"/>
    <x v="6"/>
  </r>
  <r>
    <n v="155"/>
    <n v="113"/>
    <x v="0"/>
    <x v="1"/>
    <x v="2"/>
    <x v="61"/>
    <n v="1800"/>
    <x v="6"/>
    <x v="0"/>
  </r>
  <r>
    <n v="156"/>
    <n v="956"/>
    <x v="1"/>
    <x v="1"/>
    <x v="2"/>
    <x v="1"/>
    <n v="12000"/>
    <x v="1"/>
    <x v="0"/>
  </r>
  <r>
    <n v="157"/>
    <n v="972"/>
    <x v="8"/>
    <x v="3"/>
    <x v="0"/>
    <x v="68"/>
    <n v="125000"/>
    <x v="2"/>
    <x v="2"/>
  </r>
  <r>
    <n v="158"/>
    <n v="348"/>
    <x v="3"/>
    <x v="1"/>
    <x v="2"/>
    <x v="105"/>
    <n v="150"/>
    <x v="7"/>
    <x v="0"/>
  </r>
  <r>
    <n v="159"/>
    <n v="113"/>
    <x v="0"/>
    <x v="0"/>
    <x v="2"/>
    <x v="106"/>
    <n v="2850"/>
    <x v="1"/>
    <x v="5"/>
  </r>
  <r>
    <n v="160"/>
    <n v="956"/>
    <x v="1"/>
    <x v="3"/>
    <x v="1"/>
    <x v="107"/>
    <n v="12000"/>
    <x v="7"/>
    <x v="2"/>
  </r>
  <r>
    <n v="161"/>
    <n v="972"/>
    <x v="8"/>
    <x v="3"/>
    <x v="1"/>
    <x v="103"/>
    <n v="200000"/>
    <x v="0"/>
    <x v="3"/>
  </r>
  <r>
    <n v="162"/>
    <n v="972"/>
    <x v="8"/>
    <x v="3"/>
    <x v="2"/>
    <x v="40"/>
    <n v="125000"/>
    <x v="2"/>
    <x v="0"/>
  </r>
  <r>
    <n v="163"/>
    <n v="956"/>
    <x v="1"/>
    <x v="1"/>
    <x v="1"/>
    <x v="90"/>
    <n v="12000"/>
    <x v="2"/>
    <x v="4"/>
  </r>
  <r>
    <n v="164"/>
    <n v="631"/>
    <x v="4"/>
    <x v="0"/>
    <x v="2"/>
    <x v="108"/>
    <n v="10000"/>
    <x v="4"/>
    <x v="3"/>
  </r>
  <r>
    <n v="165"/>
    <n v="348"/>
    <x v="3"/>
    <x v="3"/>
    <x v="2"/>
    <x v="1"/>
    <n v="150"/>
    <x v="6"/>
    <x v="2"/>
  </r>
  <r>
    <n v="166"/>
    <n v="248"/>
    <x v="5"/>
    <x v="3"/>
    <x v="2"/>
    <x v="109"/>
    <n v="120"/>
    <x v="2"/>
    <x v="7"/>
  </r>
  <r>
    <n v="167"/>
    <n v="248"/>
    <x v="5"/>
    <x v="0"/>
    <x v="0"/>
    <x v="41"/>
    <n v="145"/>
    <x v="2"/>
    <x v="1"/>
  </r>
  <r>
    <n v="168"/>
    <n v="348"/>
    <x v="3"/>
    <x v="1"/>
    <x v="1"/>
    <x v="47"/>
    <n v="150"/>
    <x v="4"/>
    <x v="1"/>
  </r>
  <r>
    <n v="169"/>
    <n v="113"/>
    <x v="0"/>
    <x v="3"/>
    <x v="1"/>
    <x v="20"/>
    <n v="2500"/>
    <x v="1"/>
    <x v="4"/>
  </r>
  <r>
    <n v="170"/>
    <n v="248"/>
    <x v="5"/>
    <x v="0"/>
    <x v="2"/>
    <x v="110"/>
    <n v="120"/>
    <x v="1"/>
    <x v="7"/>
  </r>
  <r>
    <n v="171"/>
    <n v="631"/>
    <x v="4"/>
    <x v="0"/>
    <x v="0"/>
    <x v="111"/>
    <n v="12000"/>
    <x v="1"/>
    <x v="0"/>
  </r>
  <r>
    <n v="172"/>
    <n v="248"/>
    <x v="5"/>
    <x v="2"/>
    <x v="2"/>
    <x v="105"/>
    <n v="170"/>
    <x v="6"/>
    <x v="6"/>
  </r>
  <r>
    <n v="173"/>
    <n v="792"/>
    <x v="2"/>
    <x v="0"/>
    <x v="0"/>
    <x v="38"/>
    <n v="275000"/>
    <x v="4"/>
    <x v="8"/>
  </r>
  <r>
    <n v="174"/>
    <n v="956"/>
    <x v="1"/>
    <x v="1"/>
    <x v="0"/>
    <x v="112"/>
    <n v="15000"/>
    <x v="3"/>
    <x v="6"/>
  </r>
  <r>
    <n v="175"/>
    <n v="348"/>
    <x v="3"/>
    <x v="0"/>
    <x v="0"/>
    <x v="113"/>
    <n v="150"/>
    <x v="0"/>
    <x v="4"/>
  </r>
  <r>
    <n v="176"/>
    <n v="883"/>
    <x v="6"/>
    <x v="3"/>
    <x v="0"/>
    <x v="114"/>
    <n v="140000"/>
    <x v="6"/>
    <x v="4"/>
  </r>
  <r>
    <n v="177"/>
    <n v="792"/>
    <x v="2"/>
    <x v="0"/>
    <x v="2"/>
    <x v="7"/>
    <n v="250000"/>
    <x v="2"/>
    <x v="5"/>
  </r>
  <r>
    <n v="178"/>
    <n v="956"/>
    <x v="1"/>
    <x v="2"/>
    <x v="0"/>
    <x v="115"/>
    <n v="10000"/>
    <x v="0"/>
    <x v="5"/>
  </r>
  <r>
    <n v="179"/>
    <n v="972"/>
    <x v="8"/>
    <x v="1"/>
    <x v="1"/>
    <x v="116"/>
    <n v="125000"/>
    <x v="7"/>
    <x v="4"/>
  </r>
  <r>
    <n v="180"/>
    <n v="113"/>
    <x v="0"/>
    <x v="3"/>
    <x v="1"/>
    <x v="22"/>
    <n v="1800"/>
    <x v="7"/>
    <x v="2"/>
  </r>
  <r>
    <n v="181"/>
    <n v="451"/>
    <x v="7"/>
    <x v="0"/>
    <x v="0"/>
    <x v="103"/>
    <n v="470"/>
    <x v="4"/>
    <x v="2"/>
  </r>
  <r>
    <n v="182"/>
    <n v="451"/>
    <x v="7"/>
    <x v="2"/>
    <x v="0"/>
    <x v="117"/>
    <n v="500"/>
    <x v="7"/>
    <x v="9"/>
  </r>
  <r>
    <n v="183"/>
    <n v="972"/>
    <x v="8"/>
    <x v="3"/>
    <x v="0"/>
    <x v="51"/>
    <n v="125000"/>
    <x v="2"/>
    <x v="1"/>
  </r>
  <r>
    <n v="184"/>
    <n v="248"/>
    <x v="5"/>
    <x v="3"/>
    <x v="0"/>
    <x v="17"/>
    <n v="145"/>
    <x v="6"/>
    <x v="9"/>
  </r>
  <r>
    <n v="185"/>
    <n v="956"/>
    <x v="1"/>
    <x v="2"/>
    <x v="1"/>
    <x v="118"/>
    <n v="12000"/>
    <x v="6"/>
    <x v="8"/>
  </r>
  <r>
    <n v="186"/>
    <n v="113"/>
    <x v="0"/>
    <x v="0"/>
    <x v="1"/>
    <x v="119"/>
    <n v="1800"/>
    <x v="1"/>
    <x v="8"/>
  </r>
  <r>
    <n v="187"/>
    <n v="956"/>
    <x v="1"/>
    <x v="0"/>
    <x v="2"/>
    <x v="60"/>
    <n v="12000"/>
    <x v="1"/>
    <x v="0"/>
  </r>
  <r>
    <n v="188"/>
    <n v="631"/>
    <x v="4"/>
    <x v="2"/>
    <x v="1"/>
    <x v="43"/>
    <n v="14000"/>
    <x v="1"/>
    <x v="1"/>
  </r>
  <r>
    <n v="189"/>
    <n v="972"/>
    <x v="8"/>
    <x v="3"/>
    <x v="2"/>
    <x v="56"/>
    <n v="125000"/>
    <x v="7"/>
    <x v="4"/>
  </r>
  <r>
    <n v="190"/>
    <n v="792"/>
    <x v="2"/>
    <x v="0"/>
    <x v="0"/>
    <x v="0"/>
    <n v="275000"/>
    <x v="1"/>
    <x v="8"/>
  </r>
  <r>
    <n v="191"/>
    <n v="883"/>
    <x v="6"/>
    <x v="2"/>
    <x v="1"/>
    <x v="109"/>
    <n v="140000"/>
    <x v="3"/>
    <x v="4"/>
  </r>
  <r>
    <n v="192"/>
    <n v="451"/>
    <x v="7"/>
    <x v="0"/>
    <x v="1"/>
    <x v="107"/>
    <n v="470"/>
    <x v="0"/>
    <x v="2"/>
  </r>
  <r>
    <n v="193"/>
    <n v="883"/>
    <x v="6"/>
    <x v="0"/>
    <x v="0"/>
    <x v="120"/>
    <n v="140000"/>
    <x v="5"/>
    <x v="8"/>
  </r>
  <r>
    <n v="194"/>
    <n v="883"/>
    <x v="6"/>
    <x v="3"/>
    <x v="1"/>
    <x v="1"/>
    <n v="140000"/>
    <x v="4"/>
    <x v="4"/>
  </r>
  <r>
    <n v="195"/>
    <n v="883"/>
    <x v="6"/>
    <x v="0"/>
    <x v="2"/>
    <x v="121"/>
    <n v="140000"/>
    <x v="4"/>
    <x v="4"/>
  </r>
  <r>
    <n v="196"/>
    <n v="883"/>
    <x v="6"/>
    <x v="3"/>
    <x v="1"/>
    <x v="44"/>
    <n v="170000"/>
    <x v="3"/>
    <x v="5"/>
  </r>
  <r>
    <n v="197"/>
    <n v="883"/>
    <x v="6"/>
    <x v="2"/>
    <x v="0"/>
    <x v="52"/>
    <n v="140000"/>
    <x v="1"/>
    <x v="4"/>
  </r>
  <r>
    <n v="198"/>
    <n v="792"/>
    <x v="2"/>
    <x v="0"/>
    <x v="1"/>
    <x v="102"/>
    <n v="275000"/>
    <x v="4"/>
    <x v="2"/>
  </r>
  <r>
    <n v="199"/>
    <n v="631"/>
    <x v="4"/>
    <x v="2"/>
    <x v="1"/>
    <x v="5"/>
    <n v="10000"/>
    <x v="1"/>
    <x v="3"/>
  </r>
  <r>
    <n v="200"/>
    <n v="972"/>
    <x v="8"/>
    <x v="0"/>
    <x v="1"/>
    <x v="16"/>
    <n v="125000"/>
    <x v="7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n v="772"/>
    <n v="30"/>
    <x v="0"/>
    <x v="0"/>
    <n v="5000"/>
    <n v="150000"/>
  </r>
  <r>
    <n v="2"/>
    <x v="1"/>
    <n v="171"/>
    <n v="30"/>
    <x v="1"/>
    <x v="0"/>
    <n v="3000"/>
    <n v="90000"/>
  </r>
  <r>
    <n v="3"/>
    <x v="2"/>
    <n v="889"/>
    <n v="1"/>
    <x v="1"/>
    <x v="1"/>
    <n v="2500"/>
    <n v="2500"/>
  </r>
  <r>
    <n v="4"/>
    <x v="3"/>
    <n v="275"/>
    <n v="30"/>
    <x v="2"/>
    <x v="2"/>
    <n v="15000"/>
    <n v="450000"/>
  </r>
  <r>
    <n v="5"/>
    <x v="4"/>
    <n v="160"/>
    <n v="1"/>
    <x v="2"/>
    <x v="3"/>
    <n v="3200"/>
    <n v="3200"/>
  </r>
  <r>
    <n v="6"/>
    <x v="1"/>
    <n v="171"/>
    <n v="20"/>
    <x v="3"/>
    <x v="4"/>
    <n v="3000"/>
    <n v="60000"/>
  </r>
  <r>
    <n v="7"/>
    <x v="4"/>
    <n v="160"/>
    <n v="10"/>
    <x v="2"/>
    <x v="0"/>
    <n v="3200"/>
    <n v="32000"/>
  </r>
  <r>
    <n v="8"/>
    <x v="5"/>
    <n v="579"/>
    <n v="20"/>
    <x v="1"/>
    <x v="2"/>
    <n v="4500"/>
    <n v="90000"/>
  </r>
  <r>
    <n v="9"/>
    <x v="3"/>
    <n v="275"/>
    <n v="2"/>
    <x v="2"/>
    <x v="5"/>
    <n v="15000"/>
    <n v="30000"/>
  </r>
  <r>
    <n v="10"/>
    <x v="0"/>
    <n v="772"/>
    <n v="2"/>
    <x v="3"/>
    <x v="6"/>
    <n v="5000"/>
    <n v="10000"/>
  </r>
  <r>
    <n v="11"/>
    <x v="3"/>
    <n v="275"/>
    <n v="2"/>
    <x v="3"/>
    <x v="5"/>
    <n v="15000"/>
    <n v="30000"/>
  </r>
  <r>
    <n v="12"/>
    <x v="0"/>
    <n v="772"/>
    <n v="30"/>
    <x v="3"/>
    <x v="7"/>
    <n v="5000"/>
    <n v="150000"/>
  </r>
  <r>
    <n v="13"/>
    <x v="1"/>
    <n v="171"/>
    <n v="10"/>
    <x v="3"/>
    <x v="5"/>
    <n v="3000"/>
    <n v="30000"/>
  </r>
  <r>
    <n v="14"/>
    <x v="0"/>
    <n v="772"/>
    <n v="2"/>
    <x v="0"/>
    <x v="3"/>
    <n v="5000"/>
    <n v="10000"/>
  </r>
  <r>
    <n v="15"/>
    <x v="1"/>
    <n v="171"/>
    <n v="10"/>
    <x v="1"/>
    <x v="8"/>
    <n v="3000"/>
    <n v="30000"/>
  </r>
  <r>
    <n v="16"/>
    <x v="5"/>
    <n v="579"/>
    <n v="30"/>
    <x v="0"/>
    <x v="2"/>
    <n v="4500"/>
    <n v="135000"/>
  </r>
  <r>
    <n v="17"/>
    <x v="5"/>
    <n v="579"/>
    <n v="1"/>
    <x v="2"/>
    <x v="1"/>
    <n v="4500"/>
    <n v="4500"/>
  </r>
  <r>
    <n v="18"/>
    <x v="0"/>
    <n v="772"/>
    <n v="1"/>
    <x v="0"/>
    <x v="5"/>
    <n v="5000"/>
    <n v="5000"/>
  </r>
  <r>
    <n v="19"/>
    <x v="0"/>
    <n v="772"/>
    <n v="20"/>
    <x v="2"/>
    <x v="3"/>
    <n v="5000"/>
    <n v="100000"/>
  </r>
  <r>
    <n v="20"/>
    <x v="4"/>
    <n v="160"/>
    <n v="2"/>
    <x v="0"/>
    <x v="3"/>
    <n v="3200"/>
    <n v="6400"/>
  </r>
  <r>
    <n v="21"/>
    <x v="0"/>
    <n v="772"/>
    <n v="30"/>
    <x v="1"/>
    <x v="2"/>
    <n v="5000"/>
    <n v="150000"/>
  </r>
  <r>
    <n v="22"/>
    <x v="1"/>
    <n v="171"/>
    <n v="30"/>
    <x v="3"/>
    <x v="9"/>
    <n v="3000"/>
    <n v="90000"/>
  </r>
  <r>
    <n v="23"/>
    <x v="3"/>
    <n v="275"/>
    <n v="10"/>
    <x v="0"/>
    <x v="10"/>
    <n v="15000"/>
    <n v="150000"/>
  </r>
  <r>
    <n v="24"/>
    <x v="5"/>
    <n v="579"/>
    <n v="2"/>
    <x v="2"/>
    <x v="10"/>
    <n v="4500"/>
    <n v="9000"/>
  </r>
  <r>
    <n v="25"/>
    <x v="2"/>
    <n v="889"/>
    <n v="30"/>
    <x v="0"/>
    <x v="9"/>
    <n v="2500"/>
    <n v="75000"/>
  </r>
  <r>
    <n v="26"/>
    <x v="3"/>
    <n v="275"/>
    <n v="20"/>
    <x v="3"/>
    <x v="11"/>
    <n v="15000"/>
    <n v="300000"/>
  </r>
  <r>
    <n v="27"/>
    <x v="0"/>
    <n v="772"/>
    <n v="2"/>
    <x v="3"/>
    <x v="12"/>
    <n v="5000"/>
    <n v="10000"/>
  </r>
  <r>
    <n v="28"/>
    <x v="5"/>
    <n v="579"/>
    <n v="20"/>
    <x v="2"/>
    <x v="6"/>
    <n v="4500"/>
    <n v="90000"/>
  </r>
  <r>
    <n v="29"/>
    <x v="0"/>
    <n v="772"/>
    <n v="20"/>
    <x v="2"/>
    <x v="5"/>
    <n v="5000"/>
    <n v="100000"/>
  </r>
  <r>
    <n v="30"/>
    <x v="5"/>
    <n v="579"/>
    <n v="1"/>
    <x v="3"/>
    <x v="3"/>
    <n v="4500"/>
    <n v="4500"/>
  </r>
  <r>
    <n v="31"/>
    <x v="2"/>
    <n v="889"/>
    <n v="2"/>
    <x v="2"/>
    <x v="4"/>
    <n v="2500"/>
    <n v="5000"/>
  </r>
  <r>
    <n v="32"/>
    <x v="0"/>
    <n v="772"/>
    <n v="30"/>
    <x v="1"/>
    <x v="13"/>
    <n v="5000"/>
    <n v="150000"/>
  </r>
  <r>
    <n v="33"/>
    <x v="2"/>
    <n v="889"/>
    <n v="30"/>
    <x v="2"/>
    <x v="14"/>
    <n v="2500"/>
    <n v="75000"/>
  </r>
  <r>
    <n v="34"/>
    <x v="0"/>
    <n v="772"/>
    <n v="20"/>
    <x v="2"/>
    <x v="6"/>
    <n v="5000"/>
    <n v="100000"/>
  </r>
  <r>
    <n v="35"/>
    <x v="0"/>
    <n v="772"/>
    <n v="1"/>
    <x v="1"/>
    <x v="10"/>
    <n v="5000"/>
    <n v="5000"/>
  </r>
  <r>
    <n v="36"/>
    <x v="4"/>
    <n v="160"/>
    <n v="2"/>
    <x v="3"/>
    <x v="15"/>
    <n v="3200"/>
    <n v="6400"/>
  </r>
  <r>
    <n v="37"/>
    <x v="3"/>
    <n v="275"/>
    <n v="20"/>
    <x v="2"/>
    <x v="16"/>
    <n v="15000"/>
    <n v="300000"/>
  </r>
  <r>
    <n v="38"/>
    <x v="4"/>
    <n v="160"/>
    <n v="30"/>
    <x v="1"/>
    <x v="7"/>
    <n v="3200"/>
    <n v="96000"/>
  </r>
  <r>
    <n v="39"/>
    <x v="4"/>
    <n v="160"/>
    <n v="20"/>
    <x v="1"/>
    <x v="13"/>
    <n v="3200"/>
    <n v="64000"/>
  </r>
  <r>
    <n v="40"/>
    <x v="0"/>
    <n v="772"/>
    <n v="1"/>
    <x v="1"/>
    <x v="10"/>
    <n v="5000"/>
    <n v="5000"/>
  </r>
  <r>
    <n v="41"/>
    <x v="0"/>
    <n v="772"/>
    <n v="30"/>
    <x v="0"/>
    <x v="2"/>
    <n v="5000"/>
    <n v="150000"/>
  </r>
  <r>
    <n v="42"/>
    <x v="5"/>
    <n v="579"/>
    <n v="10"/>
    <x v="2"/>
    <x v="3"/>
    <n v="4500"/>
    <n v="45000"/>
  </r>
  <r>
    <n v="43"/>
    <x v="3"/>
    <n v="275"/>
    <n v="30"/>
    <x v="2"/>
    <x v="17"/>
    <n v="15000"/>
    <n v="450000"/>
  </r>
  <r>
    <n v="44"/>
    <x v="4"/>
    <n v="160"/>
    <n v="10"/>
    <x v="0"/>
    <x v="10"/>
    <n v="3200"/>
    <n v="32000"/>
  </r>
  <r>
    <n v="45"/>
    <x v="1"/>
    <n v="171"/>
    <n v="2"/>
    <x v="3"/>
    <x v="12"/>
    <n v="3000"/>
    <n v="6000"/>
  </r>
  <r>
    <n v="46"/>
    <x v="3"/>
    <n v="275"/>
    <n v="1"/>
    <x v="0"/>
    <x v="14"/>
    <n v="15000"/>
    <n v="15000"/>
  </r>
  <r>
    <n v="47"/>
    <x v="0"/>
    <n v="772"/>
    <n v="2"/>
    <x v="2"/>
    <x v="16"/>
    <n v="5000"/>
    <n v="10000"/>
  </r>
  <r>
    <n v="48"/>
    <x v="2"/>
    <n v="889"/>
    <n v="30"/>
    <x v="1"/>
    <x v="7"/>
    <n v="2500"/>
    <n v="75000"/>
  </r>
  <r>
    <n v="49"/>
    <x v="3"/>
    <n v="275"/>
    <n v="10"/>
    <x v="3"/>
    <x v="0"/>
    <n v="15000"/>
    <n v="150000"/>
  </r>
  <r>
    <n v="50"/>
    <x v="5"/>
    <n v="579"/>
    <n v="20"/>
    <x v="0"/>
    <x v="16"/>
    <n v="4500"/>
    <n v="90000"/>
  </r>
  <r>
    <n v="51"/>
    <x v="4"/>
    <n v="160"/>
    <n v="1"/>
    <x v="0"/>
    <x v="6"/>
    <n v="3200"/>
    <n v="3200"/>
  </r>
  <r>
    <n v="52"/>
    <x v="2"/>
    <n v="889"/>
    <n v="10"/>
    <x v="0"/>
    <x v="16"/>
    <n v="2500"/>
    <n v="25000"/>
  </r>
  <r>
    <n v="53"/>
    <x v="4"/>
    <n v="160"/>
    <n v="20"/>
    <x v="0"/>
    <x v="5"/>
    <n v="3200"/>
    <n v="64000"/>
  </r>
  <r>
    <n v="54"/>
    <x v="4"/>
    <n v="160"/>
    <n v="30"/>
    <x v="3"/>
    <x v="3"/>
    <n v="3200"/>
    <n v="96000"/>
  </r>
  <r>
    <n v="55"/>
    <x v="1"/>
    <n v="171"/>
    <n v="2"/>
    <x v="3"/>
    <x v="9"/>
    <n v="3000"/>
    <n v="6000"/>
  </r>
  <r>
    <n v="56"/>
    <x v="5"/>
    <n v="579"/>
    <n v="20"/>
    <x v="1"/>
    <x v="7"/>
    <n v="4500"/>
    <n v="90000"/>
  </r>
  <r>
    <n v="57"/>
    <x v="5"/>
    <n v="579"/>
    <n v="30"/>
    <x v="2"/>
    <x v="4"/>
    <n v="4500"/>
    <n v="135000"/>
  </r>
  <r>
    <n v="58"/>
    <x v="0"/>
    <n v="772"/>
    <n v="20"/>
    <x v="3"/>
    <x v="6"/>
    <n v="5000"/>
    <n v="100000"/>
  </r>
  <r>
    <n v="59"/>
    <x v="5"/>
    <n v="579"/>
    <n v="20"/>
    <x v="1"/>
    <x v="4"/>
    <n v="4500"/>
    <n v="90000"/>
  </r>
  <r>
    <n v="60"/>
    <x v="4"/>
    <n v="160"/>
    <n v="2"/>
    <x v="3"/>
    <x v="16"/>
    <n v="3200"/>
    <n v="6400"/>
  </r>
  <r>
    <n v="61"/>
    <x v="5"/>
    <n v="579"/>
    <n v="1"/>
    <x v="3"/>
    <x v="17"/>
    <n v="4500"/>
    <n v="4500"/>
  </r>
  <r>
    <n v="62"/>
    <x v="2"/>
    <n v="889"/>
    <n v="2"/>
    <x v="2"/>
    <x v="10"/>
    <n v="2500"/>
    <n v="5000"/>
  </r>
  <r>
    <n v="63"/>
    <x v="5"/>
    <n v="579"/>
    <n v="30"/>
    <x v="1"/>
    <x v="4"/>
    <n v="4500"/>
    <n v="135000"/>
  </r>
  <r>
    <n v="64"/>
    <x v="3"/>
    <n v="275"/>
    <n v="2"/>
    <x v="1"/>
    <x v="17"/>
    <n v="15000"/>
    <n v="30000"/>
  </r>
  <r>
    <n v="65"/>
    <x v="3"/>
    <n v="275"/>
    <n v="1"/>
    <x v="3"/>
    <x v="11"/>
    <n v="15000"/>
    <n v="15000"/>
  </r>
  <r>
    <n v="66"/>
    <x v="0"/>
    <n v="772"/>
    <n v="1"/>
    <x v="3"/>
    <x v="15"/>
    <n v="5000"/>
    <n v="5000"/>
  </r>
  <r>
    <n v="67"/>
    <x v="2"/>
    <n v="889"/>
    <n v="30"/>
    <x v="0"/>
    <x v="12"/>
    <n v="2500"/>
    <n v="75000"/>
  </r>
  <r>
    <n v="68"/>
    <x v="5"/>
    <n v="579"/>
    <n v="10"/>
    <x v="0"/>
    <x v="12"/>
    <n v="4500"/>
    <n v="45000"/>
  </r>
  <r>
    <n v="69"/>
    <x v="3"/>
    <n v="275"/>
    <n v="1"/>
    <x v="2"/>
    <x v="6"/>
    <n v="15000"/>
    <n v="15000"/>
  </r>
  <r>
    <n v="70"/>
    <x v="5"/>
    <n v="579"/>
    <n v="10"/>
    <x v="0"/>
    <x v="4"/>
    <n v="4500"/>
    <n v="45000"/>
  </r>
  <r>
    <n v="71"/>
    <x v="2"/>
    <n v="889"/>
    <n v="30"/>
    <x v="1"/>
    <x v="10"/>
    <n v="2500"/>
    <n v="75000"/>
  </r>
  <r>
    <n v="72"/>
    <x v="1"/>
    <n v="171"/>
    <n v="30"/>
    <x v="2"/>
    <x v="10"/>
    <n v="3000"/>
    <n v="90000"/>
  </r>
  <r>
    <n v="73"/>
    <x v="3"/>
    <n v="275"/>
    <n v="1"/>
    <x v="0"/>
    <x v="14"/>
    <n v="15000"/>
    <n v="15000"/>
  </r>
  <r>
    <n v="74"/>
    <x v="0"/>
    <n v="772"/>
    <n v="30"/>
    <x v="2"/>
    <x v="1"/>
    <n v="5000"/>
    <n v="150000"/>
  </r>
  <r>
    <n v="75"/>
    <x v="5"/>
    <n v="579"/>
    <n v="30"/>
    <x v="1"/>
    <x v="12"/>
    <n v="4500"/>
    <n v="135000"/>
  </r>
  <r>
    <n v="76"/>
    <x v="1"/>
    <n v="171"/>
    <n v="10"/>
    <x v="1"/>
    <x v="15"/>
    <n v="3000"/>
    <n v="30000"/>
  </r>
  <r>
    <n v="77"/>
    <x v="1"/>
    <n v="171"/>
    <n v="1"/>
    <x v="2"/>
    <x v="1"/>
    <n v="3000"/>
    <n v="3000"/>
  </r>
  <r>
    <n v="78"/>
    <x v="0"/>
    <n v="772"/>
    <n v="30"/>
    <x v="2"/>
    <x v="13"/>
    <n v="5000"/>
    <n v="150000"/>
  </r>
  <r>
    <n v="79"/>
    <x v="4"/>
    <n v="160"/>
    <n v="2"/>
    <x v="0"/>
    <x v="9"/>
    <n v="3200"/>
    <n v="6400"/>
  </r>
  <r>
    <n v="80"/>
    <x v="1"/>
    <n v="171"/>
    <n v="2"/>
    <x v="1"/>
    <x v="8"/>
    <n v="3000"/>
    <n v="6000"/>
  </r>
  <r>
    <n v="81"/>
    <x v="0"/>
    <n v="772"/>
    <n v="2"/>
    <x v="0"/>
    <x v="0"/>
    <n v="5000"/>
    <n v="10000"/>
  </r>
  <r>
    <n v="82"/>
    <x v="0"/>
    <n v="772"/>
    <n v="30"/>
    <x v="1"/>
    <x v="10"/>
    <n v="5000"/>
    <n v="150000"/>
  </r>
  <r>
    <n v="83"/>
    <x v="4"/>
    <n v="160"/>
    <n v="20"/>
    <x v="2"/>
    <x v="6"/>
    <n v="3200"/>
    <n v="64000"/>
  </r>
  <r>
    <n v="84"/>
    <x v="2"/>
    <n v="889"/>
    <n v="10"/>
    <x v="1"/>
    <x v="7"/>
    <n v="2500"/>
    <n v="25000"/>
  </r>
  <r>
    <n v="85"/>
    <x v="5"/>
    <n v="579"/>
    <n v="20"/>
    <x v="3"/>
    <x v="8"/>
    <n v="4500"/>
    <n v="90000"/>
  </r>
  <r>
    <n v="86"/>
    <x v="5"/>
    <n v="579"/>
    <n v="20"/>
    <x v="0"/>
    <x v="13"/>
    <n v="4500"/>
    <n v="90000"/>
  </r>
  <r>
    <n v="87"/>
    <x v="0"/>
    <n v="772"/>
    <n v="1"/>
    <x v="2"/>
    <x v="2"/>
    <n v="5000"/>
    <n v="5000"/>
  </r>
  <r>
    <n v="88"/>
    <x v="5"/>
    <n v="579"/>
    <n v="2"/>
    <x v="0"/>
    <x v="7"/>
    <n v="4500"/>
    <n v="9000"/>
  </r>
  <r>
    <n v="89"/>
    <x v="2"/>
    <n v="889"/>
    <n v="30"/>
    <x v="0"/>
    <x v="12"/>
    <n v="2500"/>
    <n v="75000"/>
  </r>
  <r>
    <n v="90"/>
    <x v="4"/>
    <n v="160"/>
    <n v="10"/>
    <x v="2"/>
    <x v="15"/>
    <n v="3200"/>
    <n v="32000"/>
  </r>
  <r>
    <n v="91"/>
    <x v="2"/>
    <n v="889"/>
    <n v="2"/>
    <x v="3"/>
    <x v="17"/>
    <n v="2500"/>
    <n v="5000"/>
  </r>
  <r>
    <n v="92"/>
    <x v="4"/>
    <n v="160"/>
    <n v="10"/>
    <x v="3"/>
    <x v="11"/>
    <n v="3200"/>
    <n v="32000"/>
  </r>
  <r>
    <n v="93"/>
    <x v="3"/>
    <n v="275"/>
    <n v="30"/>
    <x v="3"/>
    <x v="5"/>
    <n v="15000"/>
    <n v="450000"/>
  </r>
  <r>
    <n v="94"/>
    <x v="5"/>
    <n v="579"/>
    <n v="10"/>
    <x v="1"/>
    <x v="10"/>
    <n v="4500"/>
    <n v="45000"/>
  </r>
  <r>
    <n v="95"/>
    <x v="4"/>
    <n v="160"/>
    <n v="20"/>
    <x v="1"/>
    <x v="15"/>
    <n v="3200"/>
    <n v="64000"/>
  </r>
  <r>
    <n v="96"/>
    <x v="3"/>
    <n v="275"/>
    <n v="20"/>
    <x v="0"/>
    <x v="10"/>
    <n v="15000"/>
    <n v="300000"/>
  </r>
  <r>
    <n v="97"/>
    <x v="1"/>
    <n v="171"/>
    <n v="1"/>
    <x v="1"/>
    <x v="15"/>
    <n v="3000"/>
    <n v="3000"/>
  </r>
  <r>
    <n v="98"/>
    <x v="5"/>
    <n v="579"/>
    <n v="20"/>
    <x v="3"/>
    <x v="18"/>
    <n v="4500"/>
    <n v="90000"/>
  </r>
  <r>
    <n v="99"/>
    <x v="4"/>
    <n v="160"/>
    <n v="10"/>
    <x v="2"/>
    <x v="11"/>
    <n v="3200"/>
    <n v="32000"/>
  </r>
  <r>
    <n v="100"/>
    <x v="4"/>
    <n v="160"/>
    <n v="10"/>
    <x v="3"/>
    <x v="0"/>
    <n v="3200"/>
    <n v="32000"/>
  </r>
  <r>
    <n v="101"/>
    <x v="3"/>
    <n v="275"/>
    <n v="30"/>
    <x v="1"/>
    <x v="5"/>
    <n v="15000"/>
    <n v="450000"/>
  </r>
  <r>
    <n v="102"/>
    <x v="1"/>
    <n v="171"/>
    <n v="1"/>
    <x v="2"/>
    <x v="4"/>
    <n v="3000"/>
    <n v="3000"/>
  </r>
  <r>
    <n v="103"/>
    <x v="2"/>
    <n v="889"/>
    <n v="1"/>
    <x v="3"/>
    <x v="10"/>
    <n v="2500"/>
    <n v="2500"/>
  </r>
  <r>
    <n v="104"/>
    <x v="2"/>
    <n v="889"/>
    <n v="20"/>
    <x v="1"/>
    <x v="7"/>
    <n v="2500"/>
    <n v="50000"/>
  </r>
  <r>
    <n v="105"/>
    <x v="5"/>
    <n v="579"/>
    <n v="20"/>
    <x v="3"/>
    <x v="5"/>
    <n v="4500"/>
    <n v="90000"/>
  </r>
  <r>
    <n v="106"/>
    <x v="4"/>
    <n v="160"/>
    <n v="10"/>
    <x v="2"/>
    <x v="4"/>
    <n v="3200"/>
    <n v="32000"/>
  </r>
  <r>
    <n v="107"/>
    <x v="5"/>
    <n v="579"/>
    <n v="20"/>
    <x v="1"/>
    <x v="9"/>
    <n v="4500"/>
    <n v="90000"/>
  </r>
  <r>
    <n v="108"/>
    <x v="4"/>
    <n v="160"/>
    <n v="20"/>
    <x v="1"/>
    <x v="4"/>
    <n v="3200"/>
    <n v="64000"/>
  </r>
  <r>
    <n v="109"/>
    <x v="0"/>
    <n v="772"/>
    <n v="2"/>
    <x v="0"/>
    <x v="5"/>
    <n v="5000"/>
    <n v="10000"/>
  </r>
  <r>
    <n v="110"/>
    <x v="4"/>
    <n v="160"/>
    <n v="10"/>
    <x v="0"/>
    <x v="12"/>
    <n v="3200"/>
    <n v="32000"/>
  </r>
  <r>
    <n v="111"/>
    <x v="5"/>
    <n v="579"/>
    <n v="30"/>
    <x v="2"/>
    <x v="13"/>
    <n v="4500"/>
    <n v="135000"/>
  </r>
  <r>
    <n v="112"/>
    <x v="3"/>
    <n v="275"/>
    <n v="2"/>
    <x v="3"/>
    <x v="17"/>
    <n v="15000"/>
    <n v="30000"/>
  </r>
  <r>
    <n v="113"/>
    <x v="4"/>
    <n v="160"/>
    <n v="2"/>
    <x v="1"/>
    <x v="12"/>
    <n v="3200"/>
    <n v="6400"/>
  </r>
  <r>
    <n v="114"/>
    <x v="3"/>
    <n v="275"/>
    <n v="1"/>
    <x v="1"/>
    <x v="9"/>
    <n v="15000"/>
    <n v="15000"/>
  </r>
  <r>
    <n v="115"/>
    <x v="0"/>
    <n v="772"/>
    <n v="1"/>
    <x v="3"/>
    <x v="8"/>
    <n v="5000"/>
    <n v="5000"/>
  </r>
  <r>
    <n v="116"/>
    <x v="3"/>
    <n v="275"/>
    <n v="2"/>
    <x v="0"/>
    <x v="11"/>
    <n v="15000"/>
    <n v="30000"/>
  </r>
  <r>
    <n v="117"/>
    <x v="3"/>
    <n v="275"/>
    <n v="2"/>
    <x v="3"/>
    <x v="15"/>
    <n v="15000"/>
    <n v="30000"/>
  </r>
  <r>
    <n v="118"/>
    <x v="3"/>
    <n v="275"/>
    <n v="1"/>
    <x v="1"/>
    <x v="0"/>
    <n v="15000"/>
    <n v="15000"/>
  </r>
  <r>
    <n v="119"/>
    <x v="1"/>
    <n v="171"/>
    <n v="2"/>
    <x v="1"/>
    <x v="6"/>
    <n v="3000"/>
    <n v="6000"/>
  </r>
  <r>
    <n v="120"/>
    <x v="1"/>
    <n v="171"/>
    <n v="20"/>
    <x v="0"/>
    <x v="7"/>
    <n v="3000"/>
    <n v="60000"/>
  </r>
  <r>
    <n v="121"/>
    <x v="1"/>
    <n v="171"/>
    <n v="30"/>
    <x v="2"/>
    <x v="17"/>
    <n v="3000"/>
    <n v="90000"/>
  </r>
  <r>
    <n v="122"/>
    <x v="1"/>
    <n v="171"/>
    <n v="20"/>
    <x v="1"/>
    <x v="3"/>
    <n v="3000"/>
    <n v="60000"/>
  </r>
  <r>
    <n v="123"/>
    <x v="3"/>
    <n v="275"/>
    <n v="1"/>
    <x v="2"/>
    <x v="5"/>
    <n v="15000"/>
    <n v="15000"/>
  </r>
  <r>
    <n v="124"/>
    <x v="0"/>
    <n v="772"/>
    <n v="20"/>
    <x v="3"/>
    <x v="4"/>
    <n v="5000"/>
    <n v="100000"/>
  </r>
  <r>
    <n v="125"/>
    <x v="0"/>
    <n v="772"/>
    <n v="30"/>
    <x v="0"/>
    <x v="5"/>
    <n v="5000"/>
    <n v="150000"/>
  </r>
  <r>
    <n v="126"/>
    <x v="2"/>
    <n v="889"/>
    <n v="20"/>
    <x v="0"/>
    <x v="7"/>
    <n v="2500"/>
    <n v="50000"/>
  </r>
  <r>
    <n v="127"/>
    <x v="1"/>
    <n v="171"/>
    <n v="30"/>
    <x v="2"/>
    <x v="19"/>
    <n v="3000"/>
    <n v="90000"/>
  </r>
  <r>
    <n v="128"/>
    <x v="3"/>
    <n v="275"/>
    <n v="1"/>
    <x v="3"/>
    <x v="2"/>
    <n v="15000"/>
    <n v="15000"/>
  </r>
  <r>
    <n v="129"/>
    <x v="0"/>
    <n v="772"/>
    <n v="2"/>
    <x v="0"/>
    <x v="4"/>
    <n v="5000"/>
    <n v="10000"/>
  </r>
  <r>
    <n v="130"/>
    <x v="2"/>
    <n v="889"/>
    <n v="10"/>
    <x v="2"/>
    <x v="3"/>
    <n v="2500"/>
    <n v="25000"/>
  </r>
  <r>
    <n v="131"/>
    <x v="5"/>
    <n v="579"/>
    <n v="20"/>
    <x v="2"/>
    <x v="0"/>
    <n v="4500"/>
    <n v="90000"/>
  </r>
  <r>
    <n v="132"/>
    <x v="5"/>
    <n v="579"/>
    <n v="2"/>
    <x v="3"/>
    <x v="9"/>
    <n v="4500"/>
    <n v="9000"/>
  </r>
  <r>
    <n v="133"/>
    <x v="5"/>
    <n v="579"/>
    <n v="30"/>
    <x v="2"/>
    <x v="2"/>
    <n v="4500"/>
    <n v="135000"/>
  </r>
  <r>
    <n v="134"/>
    <x v="1"/>
    <n v="171"/>
    <n v="2"/>
    <x v="3"/>
    <x v="15"/>
    <n v="3000"/>
    <n v="6000"/>
  </r>
  <r>
    <n v="135"/>
    <x v="0"/>
    <n v="772"/>
    <n v="2"/>
    <x v="2"/>
    <x v="7"/>
    <n v="5000"/>
    <n v="10000"/>
  </r>
  <r>
    <n v="136"/>
    <x v="3"/>
    <n v="275"/>
    <n v="30"/>
    <x v="3"/>
    <x v="0"/>
    <n v="15000"/>
    <n v="450000"/>
  </r>
  <r>
    <n v="137"/>
    <x v="2"/>
    <n v="889"/>
    <n v="10"/>
    <x v="0"/>
    <x v="18"/>
    <n v="2500"/>
    <n v="25000"/>
  </r>
  <r>
    <n v="138"/>
    <x v="5"/>
    <n v="579"/>
    <n v="2"/>
    <x v="0"/>
    <x v="6"/>
    <n v="4500"/>
    <n v="9000"/>
  </r>
  <r>
    <n v="139"/>
    <x v="0"/>
    <n v="772"/>
    <n v="30"/>
    <x v="3"/>
    <x v="4"/>
    <n v="5000"/>
    <n v="150000"/>
  </r>
  <r>
    <n v="140"/>
    <x v="4"/>
    <n v="160"/>
    <n v="10"/>
    <x v="0"/>
    <x v="4"/>
    <n v="3200"/>
    <n v="32000"/>
  </r>
  <r>
    <n v="141"/>
    <x v="0"/>
    <n v="772"/>
    <n v="2"/>
    <x v="3"/>
    <x v="10"/>
    <n v="5000"/>
    <n v="10000"/>
  </r>
  <r>
    <n v="142"/>
    <x v="4"/>
    <n v="160"/>
    <n v="20"/>
    <x v="3"/>
    <x v="19"/>
    <n v="3200"/>
    <n v="64000"/>
  </r>
  <r>
    <n v="143"/>
    <x v="1"/>
    <n v="171"/>
    <n v="30"/>
    <x v="2"/>
    <x v="11"/>
    <n v="3000"/>
    <n v="90000"/>
  </r>
  <r>
    <n v="144"/>
    <x v="0"/>
    <n v="772"/>
    <n v="30"/>
    <x v="2"/>
    <x v="4"/>
    <n v="5000"/>
    <n v="150000"/>
  </r>
  <r>
    <n v="145"/>
    <x v="0"/>
    <n v="772"/>
    <n v="10"/>
    <x v="3"/>
    <x v="19"/>
    <n v="5000"/>
    <n v="50000"/>
  </r>
  <r>
    <n v="146"/>
    <x v="4"/>
    <n v="160"/>
    <n v="1"/>
    <x v="2"/>
    <x v="5"/>
    <n v="3200"/>
    <n v="3200"/>
  </r>
  <r>
    <n v="147"/>
    <x v="4"/>
    <n v="160"/>
    <n v="20"/>
    <x v="0"/>
    <x v="5"/>
    <n v="3200"/>
    <n v="64000"/>
  </r>
  <r>
    <n v="148"/>
    <x v="1"/>
    <n v="171"/>
    <n v="30"/>
    <x v="2"/>
    <x v="6"/>
    <n v="3000"/>
    <n v="90000"/>
  </r>
  <r>
    <n v="149"/>
    <x v="5"/>
    <n v="579"/>
    <n v="1"/>
    <x v="0"/>
    <x v="5"/>
    <n v="4500"/>
    <n v="4500"/>
  </r>
  <r>
    <n v="150"/>
    <x v="5"/>
    <n v="579"/>
    <n v="1"/>
    <x v="0"/>
    <x v="14"/>
    <n v="4500"/>
    <n v="4500"/>
  </r>
  <r>
    <n v="151"/>
    <x v="5"/>
    <n v="579"/>
    <n v="1"/>
    <x v="2"/>
    <x v="8"/>
    <n v="4500"/>
    <n v="4500"/>
  </r>
  <r>
    <n v="152"/>
    <x v="1"/>
    <n v="171"/>
    <n v="30"/>
    <x v="0"/>
    <x v="12"/>
    <n v="3000"/>
    <n v="90000"/>
  </r>
  <r>
    <n v="153"/>
    <x v="0"/>
    <n v="772"/>
    <n v="2"/>
    <x v="0"/>
    <x v="4"/>
    <n v="5000"/>
    <n v="10000"/>
  </r>
  <r>
    <n v="154"/>
    <x v="0"/>
    <n v="772"/>
    <n v="10"/>
    <x v="2"/>
    <x v="9"/>
    <n v="5000"/>
    <n v="50000"/>
  </r>
  <r>
    <n v="155"/>
    <x v="3"/>
    <n v="275"/>
    <n v="10"/>
    <x v="0"/>
    <x v="9"/>
    <n v="15000"/>
    <n v="150000"/>
  </r>
  <r>
    <n v="156"/>
    <x v="4"/>
    <n v="160"/>
    <n v="1"/>
    <x v="2"/>
    <x v="19"/>
    <n v="3200"/>
    <n v="3200"/>
  </r>
  <r>
    <n v="157"/>
    <x v="2"/>
    <n v="889"/>
    <n v="2"/>
    <x v="2"/>
    <x v="6"/>
    <n v="2500"/>
    <n v="5000"/>
  </r>
  <r>
    <n v="158"/>
    <x v="5"/>
    <n v="579"/>
    <n v="2"/>
    <x v="2"/>
    <x v="0"/>
    <n v="4500"/>
    <n v="9000"/>
  </r>
  <r>
    <n v="159"/>
    <x v="5"/>
    <n v="579"/>
    <n v="2"/>
    <x v="1"/>
    <x v="1"/>
    <n v="4500"/>
    <n v="9000"/>
  </r>
  <r>
    <n v="160"/>
    <x v="1"/>
    <n v="171"/>
    <n v="2"/>
    <x v="3"/>
    <x v="6"/>
    <n v="3000"/>
    <n v="6000"/>
  </r>
  <r>
    <n v="161"/>
    <x v="5"/>
    <n v="579"/>
    <n v="10"/>
    <x v="0"/>
    <x v="5"/>
    <n v="4500"/>
    <n v="45000"/>
  </r>
  <r>
    <n v="162"/>
    <x v="2"/>
    <n v="889"/>
    <n v="20"/>
    <x v="2"/>
    <x v="8"/>
    <n v="2500"/>
    <n v="50000"/>
  </r>
  <r>
    <n v="163"/>
    <x v="3"/>
    <n v="275"/>
    <n v="1"/>
    <x v="3"/>
    <x v="7"/>
    <n v="15000"/>
    <n v="15000"/>
  </r>
  <r>
    <n v="164"/>
    <x v="4"/>
    <n v="160"/>
    <n v="10"/>
    <x v="2"/>
    <x v="2"/>
    <n v="3200"/>
    <n v="32000"/>
  </r>
  <r>
    <n v="165"/>
    <x v="1"/>
    <n v="171"/>
    <n v="1"/>
    <x v="3"/>
    <x v="6"/>
    <n v="3000"/>
    <n v="3000"/>
  </r>
  <r>
    <n v="166"/>
    <x v="4"/>
    <n v="160"/>
    <n v="20"/>
    <x v="3"/>
    <x v="15"/>
    <n v="3200"/>
    <n v="64000"/>
  </r>
  <r>
    <n v="167"/>
    <x v="2"/>
    <n v="889"/>
    <n v="20"/>
    <x v="3"/>
    <x v="13"/>
    <n v="2500"/>
    <n v="50000"/>
  </r>
  <r>
    <n v="168"/>
    <x v="2"/>
    <n v="889"/>
    <n v="30"/>
    <x v="1"/>
    <x v="17"/>
    <n v="2500"/>
    <n v="75000"/>
  </r>
  <r>
    <n v="169"/>
    <x v="2"/>
    <n v="889"/>
    <n v="30"/>
    <x v="2"/>
    <x v="5"/>
    <n v="2500"/>
    <n v="75000"/>
  </r>
  <r>
    <n v="170"/>
    <x v="4"/>
    <n v="160"/>
    <n v="10"/>
    <x v="1"/>
    <x v="4"/>
    <n v="3200"/>
    <n v="32000"/>
  </r>
  <r>
    <n v="171"/>
    <x v="4"/>
    <n v="160"/>
    <n v="30"/>
    <x v="0"/>
    <x v="1"/>
    <n v="3200"/>
    <n v="96000"/>
  </r>
  <r>
    <n v="172"/>
    <x v="0"/>
    <n v="772"/>
    <n v="2"/>
    <x v="1"/>
    <x v="17"/>
    <n v="5000"/>
    <n v="10000"/>
  </r>
  <r>
    <n v="173"/>
    <x v="5"/>
    <n v="579"/>
    <n v="2"/>
    <x v="1"/>
    <x v="0"/>
    <n v="4500"/>
    <n v="9000"/>
  </r>
  <r>
    <n v="174"/>
    <x v="3"/>
    <n v="275"/>
    <n v="20"/>
    <x v="2"/>
    <x v="6"/>
    <n v="15000"/>
    <n v="300000"/>
  </r>
  <r>
    <n v="175"/>
    <x v="1"/>
    <n v="171"/>
    <n v="1"/>
    <x v="3"/>
    <x v="11"/>
    <n v="3000"/>
    <n v="3000"/>
  </r>
  <r>
    <n v="176"/>
    <x v="3"/>
    <n v="275"/>
    <n v="1"/>
    <x v="3"/>
    <x v="5"/>
    <n v="15000"/>
    <n v="15000"/>
  </r>
  <r>
    <n v="177"/>
    <x v="1"/>
    <n v="171"/>
    <n v="1"/>
    <x v="2"/>
    <x v="11"/>
    <n v="3000"/>
    <n v="3000"/>
  </r>
  <r>
    <n v="178"/>
    <x v="2"/>
    <n v="889"/>
    <n v="2"/>
    <x v="0"/>
    <x v="9"/>
    <n v="2500"/>
    <n v="5000"/>
  </r>
  <r>
    <n v="179"/>
    <x v="4"/>
    <n v="160"/>
    <n v="20"/>
    <x v="0"/>
    <x v="19"/>
    <n v="3200"/>
    <n v="64000"/>
  </r>
  <r>
    <n v="180"/>
    <x v="4"/>
    <n v="160"/>
    <n v="10"/>
    <x v="0"/>
    <x v="0"/>
    <n v="3200"/>
    <n v="32000"/>
  </r>
  <r>
    <n v="181"/>
    <x v="0"/>
    <n v="772"/>
    <n v="1"/>
    <x v="0"/>
    <x v="16"/>
    <n v="5000"/>
    <n v="5000"/>
  </r>
  <r>
    <n v="182"/>
    <x v="3"/>
    <n v="275"/>
    <n v="2"/>
    <x v="3"/>
    <x v="18"/>
    <n v="15000"/>
    <n v="30000"/>
  </r>
  <r>
    <n v="183"/>
    <x v="1"/>
    <n v="171"/>
    <n v="30"/>
    <x v="3"/>
    <x v="5"/>
    <n v="3000"/>
    <n v="90000"/>
  </r>
  <r>
    <n v="184"/>
    <x v="2"/>
    <n v="889"/>
    <n v="10"/>
    <x v="2"/>
    <x v="4"/>
    <n v="2500"/>
    <n v="25000"/>
  </r>
  <r>
    <n v="185"/>
    <x v="3"/>
    <n v="275"/>
    <n v="1"/>
    <x v="3"/>
    <x v="11"/>
    <n v="15000"/>
    <n v="15000"/>
  </r>
  <r>
    <n v="186"/>
    <x v="5"/>
    <n v="579"/>
    <n v="20"/>
    <x v="2"/>
    <x v="0"/>
    <n v="4500"/>
    <n v="90000"/>
  </r>
  <r>
    <n v="187"/>
    <x v="0"/>
    <n v="772"/>
    <n v="1"/>
    <x v="3"/>
    <x v="0"/>
    <n v="5000"/>
    <n v="5000"/>
  </r>
  <r>
    <n v="188"/>
    <x v="5"/>
    <n v="579"/>
    <n v="20"/>
    <x v="3"/>
    <x v="5"/>
    <n v="4500"/>
    <n v="90000"/>
  </r>
  <r>
    <n v="189"/>
    <x v="2"/>
    <n v="889"/>
    <n v="1"/>
    <x v="2"/>
    <x v="7"/>
    <n v="2500"/>
    <n v="2500"/>
  </r>
  <r>
    <n v="190"/>
    <x v="3"/>
    <n v="275"/>
    <n v="10"/>
    <x v="0"/>
    <x v="11"/>
    <n v="15000"/>
    <n v="150000"/>
  </r>
  <r>
    <n v="191"/>
    <x v="3"/>
    <n v="275"/>
    <n v="30"/>
    <x v="0"/>
    <x v="13"/>
    <n v="15000"/>
    <n v="450000"/>
  </r>
  <r>
    <n v="192"/>
    <x v="1"/>
    <n v="171"/>
    <n v="30"/>
    <x v="0"/>
    <x v="9"/>
    <n v="3000"/>
    <n v="90000"/>
  </r>
  <r>
    <n v="193"/>
    <x v="0"/>
    <n v="772"/>
    <n v="2"/>
    <x v="3"/>
    <x v="4"/>
    <n v="5000"/>
    <n v="10000"/>
  </r>
  <r>
    <n v="194"/>
    <x v="2"/>
    <n v="889"/>
    <n v="10"/>
    <x v="3"/>
    <x v="17"/>
    <n v="2500"/>
    <n v="25000"/>
  </r>
  <r>
    <n v="195"/>
    <x v="2"/>
    <n v="889"/>
    <n v="30"/>
    <x v="0"/>
    <x v="14"/>
    <n v="2500"/>
    <n v="75000"/>
  </r>
  <r>
    <n v="196"/>
    <x v="0"/>
    <n v="772"/>
    <n v="30"/>
    <x v="2"/>
    <x v="14"/>
    <n v="5000"/>
    <n v="150000"/>
  </r>
  <r>
    <n v="197"/>
    <x v="5"/>
    <n v="579"/>
    <n v="30"/>
    <x v="3"/>
    <x v="7"/>
    <n v="4500"/>
    <n v="135000"/>
  </r>
  <r>
    <n v="198"/>
    <x v="2"/>
    <n v="889"/>
    <n v="2"/>
    <x v="3"/>
    <x v="7"/>
    <n v="2500"/>
    <n v="5000"/>
  </r>
  <r>
    <n v="199"/>
    <x v="0"/>
    <n v="772"/>
    <n v="30"/>
    <x v="3"/>
    <x v="9"/>
    <n v="5000"/>
    <n v="150000"/>
  </r>
  <r>
    <n v="200"/>
    <x v="3"/>
    <n v="275"/>
    <n v="20"/>
    <x v="2"/>
    <x v="3"/>
    <n v="15000"/>
    <n v="3000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n v="350"/>
    <s v="MP1050"/>
    <x v="0"/>
    <x v="0"/>
    <x v="0"/>
    <n v="3000"/>
    <x v="0"/>
    <n v="1050000"/>
  </r>
  <r>
    <n v="2"/>
    <x v="1"/>
    <n v="250"/>
    <s v="MP1020"/>
    <x v="1"/>
    <x v="0"/>
    <x v="1"/>
    <n v="1000"/>
    <x v="1"/>
    <n v="250000"/>
  </r>
  <r>
    <n v="3"/>
    <x v="2"/>
    <n v="450"/>
    <s v="MP1030"/>
    <x v="0"/>
    <x v="1"/>
    <x v="2"/>
    <n v="2000"/>
    <x v="0"/>
    <n v="900000"/>
  </r>
  <r>
    <n v="4"/>
    <x v="0"/>
    <n v="150"/>
    <s v="MP1050"/>
    <x v="2"/>
    <x v="0"/>
    <x v="3"/>
    <n v="3000"/>
    <x v="0"/>
    <n v="450000"/>
  </r>
  <r>
    <n v="5"/>
    <x v="3"/>
    <n v="50"/>
    <s v="MP1090"/>
    <x v="1"/>
    <x v="2"/>
    <x v="4"/>
    <n v="800"/>
    <x v="0"/>
    <n v="40000"/>
  </r>
  <r>
    <n v="6"/>
    <x v="2"/>
    <n v="50"/>
    <s v="MP1030"/>
    <x v="0"/>
    <x v="3"/>
    <x v="5"/>
    <n v="2000"/>
    <x v="0"/>
    <n v="100000"/>
  </r>
  <r>
    <n v="7"/>
    <x v="4"/>
    <n v="150"/>
    <s v="MP7075"/>
    <x v="3"/>
    <x v="2"/>
    <x v="6"/>
    <n v="3500"/>
    <x v="1"/>
    <n v="525000"/>
  </r>
  <r>
    <n v="8"/>
    <x v="4"/>
    <n v="500"/>
    <s v="MP7075"/>
    <x v="3"/>
    <x v="1"/>
    <x v="7"/>
    <n v="3500"/>
    <x v="1"/>
    <n v="1750000"/>
  </r>
  <r>
    <n v="9"/>
    <x v="5"/>
    <n v="100"/>
    <s v="MP1080"/>
    <x v="2"/>
    <x v="0"/>
    <x v="8"/>
    <n v="500"/>
    <x v="2"/>
    <n v="50000"/>
  </r>
  <r>
    <n v="10"/>
    <x v="3"/>
    <n v="50"/>
    <s v="MP1090"/>
    <x v="3"/>
    <x v="1"/>
    <x v="9"/>
    <n v="800"/>
    <x v="0"/>
    <n v="40000"/>
  </r>
  <r>
    <n v="11"/>
    <x v="2"/>
    <n v="150"/>
    <s v="MP1030"/>
    <x v="3"/>
    <x v="2"/>
    <x v="10"/>
    <n v="2000"/>
    <x v="0"/>
    <n v="300000"/>
  </r>
  <r>
    <n v="12"/>
    <x v="6"/>
    <n v="100"/>
    <s v="MP1040"/>
    <x v="0"/>
    <x v="2"/>
    <x v="11"/>
    <n v="500"/>
    <x v="3"/>
    <n v="50000"/>
  </r>
  <r>
    <n v="13"/>
    <x v="2"/>
    <n v="350"/>
    <s v="MP1030"/>
    <x v="3"/>
    <x v="0"/>
    <x v="12"/>
    <n v="2000"/>
    <x v="0"/>
    <n v="700000"/>
  </r>
  <r>
    <n v="14"/>
    <x v="4"/>
    <n v="250"/>
    <s v="MP7075"/>
    <x v="1"/>
    <x v="0"/>
    <x v="8"/>
    <n v="3500"/>
    <x v="1"/>
    <n v="875000"/>
  </r>
  <r>
    <n v="15"/>
    <x v="4"/>
    <n v="350"/>
    <s v="MP7075"/>
    <x v="1"/>
    <x v="2"/>
    <x v="13"/>
    <n v="3500"/>
    <x v="1"/>
    <n v="1225000"/>
  </r>
  <r>
    <n v="16"/>
    <x v="1"/>
    <n v="400"/>
    <s v="MP1020"/>
    <x v="3"/>
    <x v="1"/>
    <x v="14"/>
    <n v="1000"/>
    <x v="1"/>
    <n v="400000"/>
  </r>
  <r>
    <n v="17"/>
    <x v="1"/>
    <n v="100"/>
    <s v="MP1020"/>
    <x v="3"/>
    <x v="0"/>
    <x v="15"/>
    <n v="1000"/>
    <x v="1"/>
    <n v="100000"/>
  </r>
  <r>
    <n v="18"/>
    <x v="6"/>
    <n v="150"/>
    <s v="MP1040"/>
    <x v="3"/>
    <x v="3"/>
    <x v="16"/>
    <n v="500"/>
    <x v="3"/>
    <n v="75000"/>
  </r>
  <r>
    <n v="19"/>
    <x v="7"/>
    <n v="100"/>
    <s v="MP1070"/>
    <x v="1"/>
    <x v="1"/>
    <x v="17"/>
    <n v="1500"/>
    <x v="2"/>
    <n v="150000"/>
  </r>
  <r>
    <n v="20"/>
    <x v="4"/>
    <n v="500"/>
    <s v="MP7075"/>
    <x v="0"/>
    <x v="2"/>
    <x v="18"/>
    <n v="3500"/>
    <x v="1"/>
    <n v="1750000"/>
  </r>
  <r>
    <n v="21"/>
    <x v="6"/>
    <n v="350"/>
    <s v="MP1040"/>
    <x v="3"/>
    <x v="1"/>
    <x v="19"/>
    <n v="500"/>
    <x v="3"/>
    <n v="175000"/>
  </r>
  <r>
    <n v="22"/>
    <x v="2"/>
    <n v="150"/>
    <s v="MP1030"/>
    <x v="3"/>
    <x v="2"/>
    <x v="20"/>
    <n v="2000"/>
    <x v="0"/>
    <n v="300000"/>
  </r>
  <r>
    <n v="23"/>
    <x v="1"/>
    <n v="200"/>
    <s v="MP1020"/>
    <x v="1"/>
    <x v="3"/>
    <x v="21"/>
    <n v="1000"/>
    <x v="1"/>
    <n v="200000"/>
  </r>
  <r>
    <n v="24"/>
    <x v="4"/>
    <n v="200"/>
    <s v="MP7075"/>
    <x v="3"/>
    <x v="1"/>
    <x v="22"/>
    <n v="3500"/>
    <x v="1"/>
    <n v="700000"/>
  </r>
  <r>
    <n v="25"/>
    <x v="0"/>
    <n v="450"/>
    <s v="MP1050"/>
    <x v="1"/>
    <x v="1"/>
    <x v="23"/>
    <n v="3000"/>
    <x v="0"/>
    <n v="1350000"/>
  </r>
  <r>
    <n v="26"/>
    <x v="5"/>
    <n v="300"/>
    <s v="MP1080"/>
    <x v="0"/>
    <x v="3"/>
    <x v="24"/>
    <n v="500"/>
    <x v="2"/>
    <n v="150000"/>
  </r>
  <r>
    <n v="27"/>
    <x v="4"/>
    <n v="500"/>
    <s v="MP7075"/>
    <x v="2"/>
    <x v="1"/>
    <x v="25"/>
    <n v="3500"/>
    <x v="1"/>
    <n v="1750000"/>
  </r>
  <r>
    <n v="28"/>
    <x v="1"/>
    <n v="300"/>
    <s v="MP1020"/>
    <x v="0"/>
    <x v="0"/>
    <x v="0"/>
    <n v="1000"/>
    <x v="1"/>
    <n v="300000"/>
  </r>
  <r>
    <n v="29"/>
    <x v="4"/>
    <n v="450"/>
    <s v="MP7075"/>
    <x v="3"/>
    <x v="3"/>
    <x v="26"/>
    <n v="3500"/>
    <x v="1"/>
    <n v="1575000"/>
  </r>
  <r>
    <n v="30"/>
    <x v="0"/>
    <n v="350"/>
    <s v="MP1050"/>
    <x v="0"/>
    <x v="2"/>
    <x v="27"/>
    <n v="3000"/>
    <x v="0"/>
    <n v="1050000"/>
  </r>
  <r>
    <n v="31"/>
    <x v="4"/>
    <n v="150"/>
    <s v="MP7075"/>
    <x v="1"/>
    <x v="1"/>
    <x v="28"/>
    <n v="3500"/>
    <x v="1"/>
    <n v="525000"/>
  </r>
  <r>
    <n v="32"/>
    <x v="4"/>
    <n v="350"/>
    <s v="MP7075"/>
    <x v="2"/>
    <x v="1"/>
    <x v="29"/>
    <n v="3500"/>
    <x v="1"/>
    <n v="1225000"/>
  </r>
  <r>
    <n v="33"/>
    <x v="1"/>
    <n v="250"/>
    <s v="MP1020"/>
    <x v="1"/>
    <x v="0"/>
    <x v="30"/>
    <n v="1000"/>
    <x v="1"/>
    <n v="250000"/>
  </r>
  <r>
    <n v="34"/>
    <x v="1"/>
    <n v="250"/>
    <s v="MP1020"/>
    <x v="0"/>
    <x v="3"/>
    <x v="31"/>
    <n v="1000"/>
    <x v="1"/>
    <n v="250000"/>
  </r>
  <r>
    <n v="35"/>
    <x v="6"/>
    <n v="450"/>
    <s v="MP1040"/>
    <x v="1"/>
    <x v="1"/>
    <x v="13"/>
    <n v="500"/>
    <x v="3"/>
    <n v="225000"/>
  </r>
  <r>
    <n v="36"/>
    <x v="4"/>
    <n v="450"/>
    <s v="MP7075"/>
    <x v="2"/>
    <x v="1"/>
    <x v="32"/>
    <n v="3500"/>
    <x v="1"/>
    <n v="1575000"/>
  </r>
  <r>
    <n v="37"/>
    <x v="2"/>
    <n v="300"/>
    <s v="MP1030"/>
    <x v="3"/>
    <x v="1"/>
    <x v="33"/>
    <n v="2000"/>
    <x v="0"/>
    <n v="600000"/>
  </r>
  <r>
    <n v="38"/>
    <x v="6"/>
    <n v="100"/>
    <s v="MP1040"/>
    <x v="3"/>
    <x v="2"/>
    <x v="34"/>
    <n v="500"/>
    <x v="3"/>
    <n v="50000"/>
  </r>
  <r>
    <n v="39"/>
    <x v="0"/>
    <n v="300"/>
    <s v="MP1050"/>
    <x v="3"/>
    <x v="2"/>
    <x v="24"/>
    <n v="3000"/>
    <x v="0"/>
    <n v="900000"/>
  </r>
  <r>
    <n v="40"/>
    <x v="4"/>
    <n v="350"/>
    <s v="MP7075"/>
    <x v="0"/>
    <x v="0"/>
    <x v="35"/>
    <n v="3500"/>
    <x v="1"/>
    <n v="1225000"/>
  </r>
  <r>
    <n v="41"/>
    <x v="3"/>
    <n v="100"/>
    <s v="MP1090"/>
    <x v="1"/>
    <x v="1"/>
    <x v="24"/>
    <n v="800"/>
    <x v="0"/>
    <n v="80000"/>
  </r>
  <r>
    <n v="42"/>
    <x v="0"/>
    <n v="200"/>
    <s v="MP1050"/>
    <x v="0"/>
    <x v="3"/>
    <x v="36"/>
    <n v="3000"/>
    <x v="0"/>
    <n v="600000"/>
  </r>
  <r>
    <n v="43"/>
    <x v="8"/>
    <n v="200"/>
    <s v="MP1060"/>
    <x v="0"/>
    <x v="1"/>
    <x v="37"/>
    <n v="300"/>
    <x v="3"/>
    <n v="60000"/>
  </r>
  <r>
    <n v="44"/>
    <x v="4"/>
    <n v="200"/>
    <s v="MP7075"/>
    <x v="0"/>
    <x v="0"/>
    <x v="38"/>
    <n v="3500"/>
    <x v="1"/>
    <n v="700000"/>
  </r>
  <r>
    <n v="45"/>
    <x v="4"/>
    <n v="100"/>
    <s v="MP7075"/>
    <x v="2"/>
    <x v="3"/>
    <x v="39"/>
    <n v="3500"/>
    <x v="1"/>
    <n v="350000"/>
  </r>
  <r>
    <n v="46"/>
    <x v="7"/>
    <n v="450"/>
    <s v="MP1070"/>
    <x v="1"/>
    <x v="2"/>
    <x v="10"/>
    <n v="1500"/>
    <x v="2"/>
    <n v="675000"/>
  </r>
  <r>
    <n v="47"/>
    <x v="4"/>
    <n v="150"/>
    <s v="MP7075"/>
    <x v="1"/>
    <x v="1"/>
    <x v="15"/>
    <n v="3500"/>
    <x v="1"/>
    <n v="525000"/>
  </r>
  <r>
    <n v="48"/>
    <x v="1"/>
    <n v="150"/>
    <s v="MP1020"/>
    <x v="0"/>
    <x v="0"/>
    <x v="40"/>
    <n v="1000"/>
    <x v="1"/>
    <n v="150000"/>
  </r>
  <r>
    <n v="49"/>
    <x v="6"/>
    <n v="300"/>
    <s v="MP1040"/>
    <x v="2"/>
    <x v="2"/>
    <x v="41"/>
    <n v="500"/>
    <x v="3"/>
    <n v="150000"/>
  </r>
  <r>
    <n v="50"/>
    <x v="3"/>
    <n v="450"/>
    <s v="MP1090"/>
    <x v="3"/>
    <x v="1"/>
    <x v="42"/>
    <n v="800"/>
    <x v="0"/>
    <n v="360000"/>
  </r>
  <r>
    <n v="51"/>
    <x v="6"/>
    <n v="350"/>
    <s v="MP1040"/>
    <x v="3"/>
    <x v="2"/>
    <x v="43"/>
    <n v="500"/>
    <x v="3"/>
    <n v="175000"/>
  </r>
  <r>
    <n v="52"/>
    <x v="3"/>
    <n v="100"/>
    <s v="MP1090"/>
    <x v="0"/>
    <x v="3"/>
    <x v="44"/>
    <n v="800"/>
    <x v="0"/>
    <n v="80000"/>
  </r>
  <r>
    <n v="53"/>
    <x v="6"/>
    <n v="300"/>
    <s v="MP1040"/>
    <x v="2"/>
    <x v="0"/>
    <x v="45"/>
    <n v="500"/>
    <x v="3"/>
    <n v="150000"/>
  </r>
  <r>
    <n v="54"/>
    <x v="2"/>
    <n v="400"/>
    <s v="MP1030"/>
    <x v="1"/>
    <x v="0"/>
    <x v="46"/>
    <n v="2000"/>
    <x v="0"/>
    <n v="800000"/>
  </r>
  <r>
    <n v="55"/>
    <x v="2"/>
    <n v="150"/>
    <s v="MP1030"/>
    <x v="1"/>
    <x v="0"/>
    <x v="47"/>
    <n v="2000"/>
    <x v="0"/>
    <n v="300000"/>
  </r>
  <r>
    <n v="56"/>
    <x v="7"/>
    <n v="200"/>
    <s v="MP1070"/>
    <x v="0"/>
    <x v="2"/>
    <x v="48"/>
    <n v="1500"/>
    <x v="2"/>
    <n v="300000"/>
  </r>
  <r>
    <n v="57"/>
    <x v="5"/>
    <n v="200"/>
    <s v="MP1080"/>
    <x v="3"/>
    <x v="3"/>
    <x v="20"/>
    <n v="500"/>
    <x v="2"/>
    <n v="100000"/>
  </r>
  <r>
    <n v="58"/>
    <x v="2"/>
    <n v="100"/>
    <s v="MP1030"/>
    <x v="3"/>
    <x v="0"/>
    <x v="49"/>
    <n v="2000"/>
    <x v="0"/>
    <n v="200000"/>
  </r>
  <r>
    <n v="59"/>
    <x v="4"/>
    <n v="100"/>
    <s v="MP7075"/>
    <x v="3"/>
    <x v="0"/>
    <x v="50"/>
    <n v="3500"/>
    <x v="1"/>
    <n v="350000"/>
  </r>
  <r>
    <n v="60"/>
    <x v="3"/>
    <n v="200"/>
    <s v="MP1090"/>
    <x v="3"/>
    <x v="2"/>
    <x v="51"/>
    <n v="800"/>
    <x v="0"/>
    <n v="160000"/>
  </r>
  <r>
    <n v="61"/>
    <x v="6"/>
    <n v="300"/>
    <s v="MP1040"/>
    <x v="3"/>
    <x v="0"/>
    <x v="52"/>
    <n v="500"/>
    <x v="3"/>
    <n v="150000"/>
  </r>
  <r>
    <n v="62"/>
    <x v="8"/>
    <n v="350"/>
    <s v="MP1060"/>
    <x v="1"/>
    <x v="0"/>
    <x v="53"/>
    <n v="300"/>
    <x v="3"/>
    <n v="105000"/>
  </r>
  <r>
    <n v="63"/>
    <x v="6"/>
    <n v="500"/>
    <s v="MP1040"/>
    <x v="1"/>
    <x v="0"/>
    <x v="54"/>
    <n v="500"/>
    <x v="3"/>
    <n v="250000"/>
  </r>
  <r>
    <n v="64"/>
    <x v="2"/>
    <n v="200"/>
    <s v="MP1030"/>
    <x v="3"/>
    <x v="0"/>
    <x v="55"/>
    <n v="2000"/>
    <x v="0"/>
    <n v="400000"/>
  </r>
  <r>
    <n v="65"/>
    <x v="0"/>
    <n v="150"/>
    <s v="MP1050"/>
    <x v="0"/>
    <x v="0"/>
    <x v="56"/>
    <n v="3000"/>
    <x v="0"/>
    <n v="450000"/>
  </r>
  <r>
    <n v="66"/>
    <x v="3"/>
    <n v="400"/>
    <s v="MP1090"/>
    <x v="0"/>
    <x v="1"/>
    <x v="57"/>
    <n v="800"/>
    <x v="0"/>
    <n v="320000"/>
  </r>
  <r>
    <n v="67"/>
    <x v="3"/>
    <n v="150"/>
    <s v="MP1090"/>
    <x v="1"/>
    <x v="3"/>
    <x v="58"/>
    <n v="800"/>
    <x v="0"/>
    <n v="120000"/>
  </r>
  <r>
    <n v="68"/>
    <x v="7"/>
    <n v="250"/>
    <s v="MP1070"/>
    <x v="1"/>
    <x v="0"/>
    <x v="50"/>
    <n v="1500"/>
    <x v="2"/>
    <n v="375000"/>
  </r>
  <r>
    <n v="69"/>
    <x v="3"/>
    <n v="50"/>
    <s v="MP1090"/>
    <x v="3"/>
    <x v="1"/>
    <x v="59"/>
    <n v="800"/>
    <x v="0"/>
    <n v="40000"/>
  </r>
  <r>
    <n v="70"/>
    <x v="3"/>
    <n v="400"/>
    <s v="MP1090"/>
    <x v="0"/>
    <x v="3"/>
    <x v="4"/>
    <n v="800"/>
    <x v="0"/>
    <n v="320000"/>
  </r>
  <r>
    <n v="71"/>
    <x v="4"/>
    <n v="150"/>
    <s v="MP7075"/>
    <x v="1"/>
    <x v="1"/>
    <x v="60"/>
    <n v="3500"/>
    <x v="1"/>
    <n v="525000"/>
  </r>
  <r>
    <n v="72"/>
    <x v="8"/>
    <n v="350"/>
    <s v="MP1060"/>
    <x v="3"/>
    <x v="2"/>
    <x v="61"/>
    <n v="300"/>
    <x v="3"/>
    <n v="105000"/>
  </r>
  <r>
    <n v="73"/>
    <x v="4"/>
    <n v="500"/>
    <s v="MP7075"/>
    <x v="0"/>
    <x v="2"/>
    <x v="27"/>
    <n v="3500"/>
    <x v="1"/>
    <n v="1750000"/>
  </r>
  <r>
    <n v="74"/>
    <x v="2"/>
    <n v="50"/>
    <s v="MP1030"/>
    <x v="0"/>
    <x v="0"/>
    <x v="44"/>
    <n v="2000"/>
    <x v="0"/>
    <n v="100000"/>
  </r>
  <r>
    <n v="75"/>
    <x v="7"/>
    <n v="350"/>
    <s v="MP1070"/>
    <x v="2"/>
    <x v="0"/>
    <x v="62"/>
    <n v="1500"/>
    <x v="2"/>
    <n v="525000"/>
  </r>
  <r>
    <n v="76"/>
    <x v="8"/>
    <n v="250"/>
    <s v="MP1060"/>
    <x v="3"/>
    <x v="1"/>
    <x v="63"/>
    <n v="300"/>
    <x v="3"/>
    <n v="75000"/>
  </r>
  <r>
    <n v="77"/>
    <x v="3"/>
    <n v="50"/>
    <s v="MP1090"/>
    <x v="1"/>
    <x v="3"/>
    <x v="1"/>
    <n v="800"/>
    <x v="0"/>
    <n v="40000"/>
  </r>
  <r>
    <n v="78"/>
    <x v="3"/>
    <n v="500"/>
    <s v="MP1090"/>
    <x v="1"/>
    <x v="1"/>
    <x v="64"/>
    <n v="800"/>
    <x v="0"/>
    <n v="400000"/>
  </r>
  <r>
    <n v="79"/>
    <x v="8"/>
    <n v="500"/>
    <s v="MP1060"/>
    <x v="1"/>
    <x v="3"/>
    <x v="57"/>
    <n v="300"/>
    <x v="3"/>
    <n v="150000"/>
  </r>
  <r>
    <n v="80"/>
    <x v="4"/>
    <n v="200"/>
    <s v="MP7075"/>
    <x v="0"/>
    <x v="3"/>
    <x v="65"/>
    <n v="3500"/>
    <x v="1"/>
    <n v="700000"/>
  </r>
  <r>
    <n v="81"/>
    <x v="1"/>
    <n v="150"/>
    <s v="MP1020"/>
    <x v="3"/>
    <x v="2"/>
    <x v="50"/>
    <n v="1000"/>
    <x v="1"/>
    <n v="150000"/>
  </r>
  <r>
    <n v="82"/>
    <x v="3"/>
    <n v="350"/>
    <s v="MP1090"/>
    <x v="0"/>
    <x v="3"/>
    <x v="66"/>
    <n v="800"/>
    <x v="0"/>
    <n v="280000"/>
  </r>
  <r>
    <n v="83"/>
    <x v="3"/>
    <n v="350"/>
    <s v="MP1090"/>
    <x v="1"/>
    <x v="0"/>
    <x v="27"/>
    <n v="800"/>
    <x v="0"/>
    <n v="280000"/>
  </r>
  <r>
    <n v="84"/>
    <x v="1"/>
    <n v="200"/>
    <s v="MP1020"/>
    <x v="1"/>
    <x v="0"/>
    <x v="67"/>
    <n v="1000"/>
    <x v="1"/>
    <n v="200000"/>
  </r>
  <r>
    <n v="85"/>
    <x v="3"/>
    <n v="100"/>
    <s v="MP1090"/>
    <x v="1"/>
    <x v="2"/>
    <x v="68"/>
    <n v="800"/>
    <x v="0"/>
    <n v="80000"/>
  </r>
  <r>
    <n v="86"/>
    <x v="4"/>
    <n v="450"/>
    <s v="MP7075"/>
    <x v="1"/>
    <x v="1"/>
    <x v="69"/>
    <n v="3500"/>
    <x v="1"/>
    <n v="1575000"/>
  </r>
  <r>
    <n v="87"/>
    <x v="4"/>
    <n v="350"/>
    <s v="MP7075"/>
    <x v="2"/>
    <x v="3"/>
    <x v="70"/>
    <n v="3500"/>
    <x v="1"/>
    <n v="1225000"/>
  </r>
  <r>
    <n v="88"/>
    <x v="7"/>
    <n v="100"/>
    <s v="MP1070"/>
    <x v="1"/>
    <x v="1"/>
    <x v="71"/>
    <n v="1500"/>
    <x v="2"/>
    <n v="150000"/>
  </r>
  <r>
    <n v="89"/>
    <x v="2"/>
    <n v="250"/>
    <s v="MP1030"/>
    <x v="2"/>
    <x v="0"/>
    <x v="72"/>
    <n v="2000"/>
    <x v="0"/>
    <n v="500000"/>
  </r>
  <r>
    <n v="90"/>
    <x v="6"/>
    <n v="100"/>
    <s v="MP1040"/>
    <x v="3"/>
    <x v="3"/>
    <x v="73"/>
    <n v="500"/>
    <x v="3"/>
    <n v="50000"/>
  </r>
  <r>
    <n v="91"/>
    <x v="2"/>
    <n v="450"/>
    <s v="MP1030"/>
    <x v="0"/>
    <x v="1"/>
    <x v="74"/>
    <n v="2000"/>
    <x v="0"/>
    <n v="900000"/>
  </r>
  <r>
    <n v="92"/>
    <x v="8"/>
    <n v="300"/>
    <s v="MP1060"/>
    <x v="0"/>
    <x v="2"/>
    <x v="75"/>
    <n v="300"/>
    <x v="3"/>
    <n v="90000"/>
  </r>
  <r>
    <n v="93"/>
    <x v="0"/>
    <n v="450"/>
    <s v="MP1050"/>
    <x v="3"/>
    <x v="0"/>
    <x v="50"/>
    <n v="3000"/>
    <x v="0"/>
    <n v="1350000"/>
  </r>
  <r>
    <n v="94"/>
    <x v="7"/>
    <n v="400"/>
    <s v="MP1070"/>
    <x v="0"/>
    <x v="1"/>
    <x v="5"/>
    <n v="1500"/>
    <x v="2"/>
    <n v="600000"/>
  </r>
  <r>
    <n v="95"/>
    <x v="5"/>
    <n v="50"/>
    <s v="MP1080"/>
    <x v="3"/>
    <x v="3"/>
    <x v="45"/>
    <n v="500"/>
    <x v="2"/>
    <n v="25000"/>
  </r>
  <r>
    <n v="96"/>
    <x v="6"/>
    <n v="150"/>
    <s v="MP1040"/>
    <x v="0"/>
    <x v="2"/>
    <x v="76"/>
    <n v="500"/>
    <x v="3"/>
    <n v="75000"/>
  </r>
  <r>
    <n v="97"/>
    <x v="4"/>
    <n v="250"/>
    <s v="MP7075"/>
    <x v="2"/>
    <x v="0"/>
    <x v="34"/>
    <n v="3500"/>
    <x v="1"/>
    <n v="875000"/>
  </r>
  <r>
    <n v="98"/>
    <x v="5"/>
    <n v="100"/>
    <s v="MP1080"/>
    <x v="0"/>
    <x v="1"/>
    <x v="27"/>
    <n v="500"/>
    <x v="2"/>
    <n v="50000"/>
  </r>
  <r>
    <n v="99"/>
    <x v="5"/>
    <n v="400"/>
    <s v="MP1080"/>
    <x v="1"/>
    <x v="0"/>
    <x v="77"/>
    <n v="500"/>
    <x v="2"/>
    <n v="200000"/>
  </r>
  <r>
    <n v="100"/>
    <x v="3"/>
    <n v="250"/>
    <s v="MP1090"/>
    <x v="3"/>
    <x v="1"/>
    <x v="42"/>
    <n v="800"/>
    <x v="0"/>
    <n v="200000"/>
  </r>
  <r>
    <n v="101"/>
    <x v="8"/>
    <n v="100"/>
    <s v="MP1060"/>
    <x v="1"/>
    <x v="0"/>
    <x v="24"/>
    <n v="300"/>
    <x v="3"/>
    <n v="30000"/>
  </r>
  <r>
    <n v="102"/>
    <x v="5"/>
    <n v="350"/>
    <s v="MP1080"/>
    <x v="2"/>
    <x v="2"/>
    <x v="78"/>
    <n v="500"/>
    <x v="2"/>
    <n v="175000"/>
  </r>
  <r>
    <n v="103"/>
    <x v="4"/>
    <n v="500"/>
    <s v="MP7075"/>
    <x v="3"/>
    <x v="0"/>
    <x v="79"/>
    <n v="3500"/>
    <x v="1"/>
    <n v="1750000"/>
  </r>
  <r>
    <n v="104"/>
    <x v="0"/>
    <n v="250"/>
    <s v="MP1050"/>
    <x v="3"/>
    <x v="1"/>
    <x v="80"/>
    <n v="3000"/>
    <x v="0"/>
    <n v="750000"/>
  </r>
  <r>
    <n v="105"/>
    <x v="4"/>
    <n v="250"/>
    <s v="MP7075"/>
    <x v="2"/>
    <x v="3"/>
    <x v="76"/>
    <n v="3500"/>
    <x v="1"/>
    <n v="875000"/>
  </r>
  <r>
    <n v="106"/>
    <x v="6"/>
    <n v="350"/>
    <s v="MP1040"/>
    <x v="2"/>
    <x v="2"/>
    <x v="9"/>
    <n v="500"/>
    <x v="3"/>
    <n v="175000"/>
  </r>
  <r>
    <n v="107"/>
    <x v="0"/>
    <n v="250"/>
    <s v="MP1050"/>
    <x v="1"/>
    <x v="2"/>
    <x v="81"/>
    <n v="3000"/>
    <x v="0"/>
    <n v="750000"/>
  </r>
  <r>
    <n v="108"/>
    <x v="0"/>
    <n v="350"/>
    <s v="MP1050"/>
    <x v="2"/>
    <x v="1"/>
    <x v="70"/>
    <n v="3000"/>
    <x v="0"/>
    <n v="1050000"/>
  </r>
  <r>
    <n v="109"/>
    <x v="6"/>
    <n v="300"/>
    <s v="MP1040"/>
    <x v="2"/>
    <x v="3"/>
    <x v="45"/>
    <n v="500"/>
    <x v="3"/>
    <n v="150000"/>
  </r>
  <r>
    <n v="110"/>
    <x v="0"/>
    <n v="50"/>
    <s v="MP1050"/>
    <x v="2"/>
    <x v="0"/>
    <x v="82"/>
    <n v="3000"/>
    <x v="0"/>
    <n v="150000"/>
  </r>
  <r>
    <n v="111"/>
    <x v="3"/>
    <n v="450"/>
    <s v="MP1090"/>
    <x v="1"/>
    <x v="1"/>
    <x v="41"/>
    <n v="800"/>
    <x v="0"/>
    <n v="360000"/>
  </r>
  <r>
    <n v="112"/>
    <x v="7"/>
    <n v="500"/>
    <s v="MP1070"/>
    <x v="3"/>
    <x v="1"/>
    <x v="83"/>
    <n v="1500"/>
    <x v="2"/>
    <n v="750000"/>
  </r>
  <r>
    <n v="113"/>
    <x v="8"/>
    <n v="300"/>
    <s v="MP1060"/>
    <x v="1"/>
    <x v="3"/>
    <x v="84"/>
    <n v="300"/>
    <x v="3"/>
    <n v="90000"/>
  </r>
  <r>
    <n v="114"/>
    <x v="6"/>
    <n v="200"/>
    <s v="MP1040"/>
    <x v="1"/>
    <x v="1"/>
    <x v="43"/>
    <n v="500"/>
    <x v="3"/>
    <n v="100000"/>
  </r>
  <r>
    <n v="115"/>
    <x v="0"/>
    <n v="50"/>
    <s v="MP1050"/>
    <x v="1"/>
    <x v="3"/>
    <x v="85"/>
    <n v="3000"/>
    <x v="0"/>
    <n v="150000"/>
  </r>
  <r>
    <n v="116"/>
    <x v="3"/>
    <n v="450"/>
    <s v="MP1090"/>
    <x v="3"/>
    <x v="1"/>
    <x v="9"/>
    <n v="800"/>
    <x v="0"/>
    <n v="360000"/>
  </r>
  <r>
    <n v="117"/>
    <x v="6"/>
    <n v="450"/>
    <s v="MP1040"/>
    <x v="2"/>
    <x v="0"/>
    <x v="86"/>
    <n v="500"/>
    <x v="3"/>
    <n v="225000"/>
  </r>
  <r>
    <n v="118"/>
    <x v="6"/>
    <n v="400"/>
    <s v="MP1040"/>
    <x v="1"/>
    <x v="3"/>
    <x v="86"/>
    <n v="500"/>
    <x v="3"/>
    <n v="200000"/>
  </r>
  <r>
    <n v="119"/>
    <x v="4"/>
    <n v="300"/>
    <s v="MP7075"/>
    <x v="2"/>
    <x v="3"/>
    <x v="13"/>
    <n v="3500"/>
    <x v="1"/>
    <n v="1050000"/>
  </r>
  <r>
    <n v="120"/>
    <x v="0"/>
    <n v="400"/>
    <s v="MP1050"/>
    <x v="3"/>
    <x v="2"/>
    <x v="87"/>
    <n v="3000"/>
    <x v="0"/>
    <n v="1200000"/>
  </r>
  <r>
    <n v="121"/>
    <x v="5"/>
    <n v="100"/>
    <s v="MP1080"/>
    <x v="0"/>
    <x v="0"/>
    <x v="61"/>
    <n v="500"/>
    <x v="2"/>
    <n v="50000"/>
  </r>
  <r>
    <n v="122"/>
    <x v="7"/>
    <n v="200"/>
    <s v="MP1070"/>
    <x v="0"/>
    <x v="1"/>
    <x v="88"/>
    <n v="1500"/>
    <x v="2"/>
    <n v="300000"/>
  </r>
  <r>
    <n v="123"/>
    <x v="3"/>
    <n v="300"/>
    <s v="MP1090"/>
    <x v="1"/>
    <x v="1"/>
    <x v="61"/>
    <n v="800"/>
    <x v="0"/>
    <n v="240000"/>
  </r>
  <r>
    <n v="124"/>
    <x v="7"/>
    <n v="500"/>
    <s v="MP1070"/>
    <x v="2"/>
    <x v="1"/>
    <x v="17"/>
    <n v="1500"/>
    <x v="2"/>
    <n v="750000"/>
  </r>
  <r>
    <n v="125"/>
    <x v="8"/>
    <n v="450"/>
    <s v="MP1060"/>
    <x v="0"/>
    <x v="1"/>
    <x v="9"/>
    <n v="300"/>
    <x v="3"/>
    <n v="135000"/>
  </r>
  <r>
    <n v="126"/>
    <x v="4"/>
    <n v="100"/>
    <s v="MP7075"/>
    <x v="1"/>
    <x v="0"/>
    <x v="89"/>
    <n v="3500"/>
    <x v="1"/>
    <n v="350000"/>
  </r>
  <r>
    <n v="127"/>
    <x v="4"/>
    <n v="350"/>
    <s v="MP7075"/>
    <x v="0"/>
    <x v="1"/>
    <x v="90"/>
    <n v="3500"/>
    <x v="1"/>
    <n v="1225000"/>
  </r>
  <r>
    <n v="128"/>
    <x v="3"/>
    <n v="200"/>
    <s v="MP1090"/>
    <x v="2"/>
    <x v="1"/>
    <x v="91"/>
    <n v="800"/>
    <x v="0"/>
    <n v="160000"/>
  </r>
  <r>
    <n v="129"/>
    <x v="8"/>
    <n v="250"/>
    <s v="MP1060"/>
    <x v="3"/>
    <x v="2"/>
    <x v="92"/>
    <n v="300"/>
    <x v="3"/>
    <n v="75000"/>
  </r>
  <r>
    <n v="130"/>
    <x v="7"/>
    <n v="450"/>
    <s v="MP1070"/>
    <x v="1"/>
    <x v="0"/>
    <x v="28"/>
    <n v="1500"/>
    <x v="2"/>
    <n v="675000"/>
  </r>
  <r>
    <n v="131"/>
    <x v="5"/>
    <n v="100"/>
    <s v="MP1080"/>
    <x v="1"/>
    <x v="2"/>
    <x v="91"/>
    <n v="500"/>
    <x v="2"/>
    <n v="50000"/>
  </r>
  <r>
    <n v="132"/>
    <x v="7"/>
    <n v="500"/>
    <s v="MP1070"/>
    <x v="0"/>
    <x v="2"/>
    <x v="93"/>
    <n v="1500"/>
    <x v="2"/>
    <n v="750000"/>
  </r>
  <r>
    <n v="133"/>
    <x v="0"/>
    <n v="250"/>
    <s v="MP1050"/>
    <x v="0"/>
    <x v="0"/>
    <x v="94"/>
    <n v="3000"/>
    <x v="0"/>
    <n v="750000"/>
  </r>
  <r>
    <n v="134"/>
    <x v="4"/>
    <n v="150"/>
    <s v="MP7075"/>
    <x v="3"/>
    <x v="2"/>
    <x v="52"/>
    <n v="3500"/>
    <x v="1"/>
    <n v="525000"/>
  </r>
  <r>
    <n v="135"/>
    <x v="3"/>
    <n v="100"/>
    <s v="MP1090"/>
    <x v="2"/>
    <x v="3"/>
    <x v="47"/>
    <n v="800"/>
    <x v="0"/>
    <n v="80000"/>
  </r>
  <r>
    <n v="136"/>
    <x v="1"/>
    <n v="200"/>
    <s v="MP1020"/>
    <x v="0"/>
    <x v="2"/>
    <x v="41"/>
    <n v="1000"/>
    <x v="1"/>
    <n v="200000"/>
  </r>
  <r>
    <n v="137"/>
    <x v="5"/>
    <n v="150"/>
    <s v="MP1080"/>
    <x v="3"/>
    <x v="0"/>
    <x v="95"/>
    <n v="500"/>
    <x v="2"/>
    <n v="75000"/>
  </r>
  <r>
    <n v="138"/>
    <x v="2"/>
    <n v="500"/>
    <s v="MP1030"/>
    <x v="0"/>
    <x v="2"/>
    <x v="96"/>
    <n v="2000"/>
    <x v="0"/>
    <n v="1000000"/>
  </r>
  <r>
    <n v="139"/>
    <x v="5"/>
    <n v="100"/>
    <s v="MP1080"/>
    <x v="0"/>
    <x v="0"/>
    <x v="93"/>
    <n v="500"/>
    <x v="2"/>
    <n v="50000"/>
  </r>
  <r>
    <n v="140"/>
    <x v="8"/>
    <n v="350"/>
    <s v="MP1060"/>
    <x v="3"/>
    <x v="2"/>
    <x v="97"/>
    <n v="300"/>
    <x v="3"/>
    <n v="105000"/>
  </r>
  <r>
    <n v="141"/>
    <x v="5"/>
    <n v="350"/>
    <s v="MP1080"/>
    <x v="0"/>
    <x v="0"/>
    <x v="38"/>
    <n v="500"/>
    <x v="2"/>
    <n v="175000"/>
  </r>
  <r>
    <n v="142"/>
    <x v="8"/>
    <n v="100"/>
    <s v="MP1060"/>
    <x v="0"/>
    <x v="1"/>
    <x v="98"/>
    <n v="300"/>
    <x v="3"/>
    <n v="30000"/>
  </r>
  <r>
    <n v="143"/>
    <x v="2"/>
    <n v="100"/>
    <s v="MP1030"/>
    <x v="0"/>
    <x v="1"/>
    <x v="23"/>
    <n v="2000"/>
    <x v="0"/>
    <n v="200000"/>
  </r>
  <r>
    <n v="144"/>
    <x v="1"/>
    <n v="350"/>
    <s v="MP1020"/>
    <x v="1"/>
    <x v="1"/>
    <x v="99"/>
    <n v="1000"/>
    <x v="1"/>
    <n v="350000"/>
  </r>
  <r>
    <n v="145"/>
    <x v="8"/>
    <n v="300"/>
    <s v="MP1060"/>
    <x v="3"/>
    <x v="2"/>
    <x v="62"/>
    <n v="300"/>
    <x v="3"/>
    <n v="90000"/>
  </r>
  <r>
    <n v="146"/>
    <x v="6"/>
    <n v="250"/>
    <s v="MP1040"/>
    <x v="2"/>
    <x v="3"/>
    <x v="84"/>
    <n v="500"/>
    <x v="3"/>
    <n v="125000"/>
  </r>
  <r>
    <n v="147"/>
    <x v="8"/>
    <n v="50"/>
    <s v="MP1060"/>
    <x v="0"/>
    <x v="0"/>
    <x v="100"/>
    <n v="300"/>
    <x v="3"/>
    <n v="15000"/>
  </r>
  <r>
    <n v="148"/>
    <x v="0"/>
    <n v="500"/>
    <s v="MP1050"/>
    <x v="2"/>
    <x v="0"/>
    <x v="101"/>
    <n v="3000"/>
    <x v="0"/>
    <n v="1500000"/>
  </r>
  <r>
    <n v="149"/>
    <x v="3"/>
    <n v="150"/>
    <s v="MP1090"/>
    <x v="2"/>
    <x v="0"/>
    <x v="102"/>
    <n v="800"/>
    <x v="0"/>
    <n v="120000"/>
  </r>
  <r>
    <n v="150"/>
    <x v="0"/>
    <n v="150"/>
    <s v="MP1050"/>
    <x v="3"/>
    <x v="1"/>
    <x v="103"/>
    <n v="3000"/>
    <x v="0"/>
    <n v="450000"/>
  </r>
  <r>
    <n v="151"/>
    <x v="8"/>
    <n v="100"/>
    <s v="MP1060"/>
    <x v="1"/>
    <x v="3"/>
    <x v="13"/>
    <n v="300"/>
    <x v="3"/>
    <n v="30000"/>
  </r>
  <r>
    <n v="152"/>
    <x v="1"/>
    <n v="250"/>
    <s v="MP1020"/>
    <x v="0"/>
    <x v="2"/>
    <x v="92"/>
    <n v="1000"/>
    <x v="1"/>
    <n v="250000"/>
  </r>
  <r>
    <n v="153"/>
    <x v="5"/>
    <n v="50"/>
    <s v="MP1080"/>
    <x v="3"/>
    <x v="1"/>
    <x v="42"/>
    <n v="500"/>
    <x v="2"/>
    <n v="25000"/>
  </r>
  <r>
    <n v="154"/>
    <x v="5"/>
    <n v="400"/>
    <s v="MP1080"/>
    <x v="2"/>
    <x v="2"/>
    <x v="47"/>
    <n v="500"/>
    <x v="2"/>
    <n v="200000"/>
  </r>
  <r>
    <n v="155"/>
    <x v="1"/>
    <n v="350"/>
    <s v="MP1020"/>
    <x v="2"/>
    <x v="1"/>
    <x v="104"/>
    <n v="1000"/>
    <x v="1"/>
    <n v="350000"/>
  </r>
  <r>
    <n v="156"/>
    <x v="4"/>
    <n v="150"/>
    <s v="MP7075"/>
    <x v="3"/>
    <x v="3"/>
    <x v="42"/>
    <n v="3500"/>
    <x v="1"/>
    <n v="525000"/>
  </r>
  <r>
    <n v="157"/>
    <x v="1"/>
    <n v="200"/>
    <s v="MP1020"/>
    <x v="1"/>
    <x v="0"/>
    <x v="105"/>
    <n v="1000"/>
    <x v="1"/>
    <n v="200000"/>
  </r>
  <r>
    <n v="158"/>
    <x v="3"/>
    <n v="500"/>
    <s v="MP1090"/>
    <x v="1"/>
    <x v="2"/>
    <x v="18"/>
    <n v="800"/>
    <x v="0"/>
    <n v="400000"/>
  </r>
  <r>
    <n v="159"/>
    <x v="0"/>
    <n v="100"/>
    <s v="MP1050"/>
    <x v="1"/>
    <x v="0"/>
    <x v="13"/>
    <n v="3000"/>
    <x v="0"/>
    <n v="300000"/>
  </r>
  <r>
    <n v="160"/>
    <x v="6"/>
    <n v="100"/>
    <s v="MP1040"/>
    <x v="0"/>
    <x v="2"/>
    <x v="56"/>
    <n v="500"/>
    <x v="3"/>
    <n v="50000"/>
  </r>
  <r>
    <n v="161"/>
    <x v="8"/>
    <n v="500"/>
    <s v="MP1060"/>
    <x v="3"/>
    <x v="0"/>
    <x v="106"/>
    <n v="300"/>
    <x v="3"/>
    <n v="150000"/>
  </r>
  <r>
    <n v="162"/>
    <x v="6"/>
    <n v="100"/>
    <s v="MP1040"/>
    <x v="0"/>
    <x v="3"/>
    <x v="107"/>
    <n v="500"/>
    <x v="3"/>
    <n v="50000"/>
  </r>
  <r>
    <n v="163"/>
    <x v="7"/>
    <n v="150"/>
    <s v="MP1070"/>
    <x v="0"/>
    <x v="0"/>
    <x v="108"/>
    <n v="1500"/>
    <x v="2"/>
    <n v="225000"/>
  </r>
  <r>
    <n v="164"/>
    <x v="1"/>
    <n v="300"/>
    <s v="MP1020"/>
    <x v="1"/>
    <x v="2"/>
    <x v="42"/>
    <n v="1000"/>
    <x v="1"/>
    <n v="300000"/>
  </r>
  <r>
    <n v="165"/>
    <x v="3"/>
    <n v="100"/>
    <s v="MP1090"/>
    <x v="1"/>
    <x v="3"/>
    <x v="109"/>
    <n v="800"/>
    <x v="0"/>
    <n v="80000"/>
  </r>
  <r>
    <n v="166"/>
    <x v="4"/>
    <n v="500"/>
    <s v="MP7075"/>
    <x v="1"/>
    <x v="0"/>
    <x v="110"/>
    <n v="3500"/>
    <x v="1"/>
    <n v="1750000"/>
  </r>
  <r>
    <n v="167"/>
    <x v="3"/>
    <n v="250"/>
    <s v="MP1090"/>
    <x v="2"/>
    <x v="2"/>
    <x v="42"/>
    <n v="800"/>
    <x v="0"/>
    <n v="200000"/>
  </r>
  <r>
    <n v="168"/>
    <x v="3"/>
    <n v="350"/>
    <s v="MP1090"/>
    <x v="3"/>
    <x v="0"/>
    <x v="61"/>
    <n v="800"/>
    <x v="0"/>
    <n v="280000"/>
  </r>
  <r>
    <n v="169"/>
    <x v="6"/>
    <n v="400"/>
    <s v="MP1040"/>
    <x v="0"/>
    <x v="0"/>
    <x v="111"/>
    <n v="500"/>
    <x v="3"/>
    <n v="200000"/>
  </r>
  <r>
    <n v="170"/>
    <x v="8"/>
    <n v="500"/>
    <s v="MP1060"/>
    <x v="0"/>
    <x v="3"/>
    <x v="16"/>
    <n v="300"/>
    <x v="3"/>
    <n v="150000"/>
  </r>
  <r>
    <n v="171"/>
    <x v="3"/>
    <n v="350"/>
    <s v="MP1090"/>
    <x v="3"/>
    <x v="0"/>
    <x v="34"/>
    <n v="800"/>
    <x v="0"/>
    <n v="280000"/>
  </r>
  <r>
    <n v="172"/>
    <x v="4"/>
    <n v="150"/>
    <s v="MP7075"/>
    <x v="2"/>
    <x v="3"/>
    <x v="80"/>
    <n v="3500"/>
    <x v="1"/>
    <n v="525000"/>
  </r>
  <r>
    <n v="173"/>
    <x v="0"/>
    <n v="200"/>
    <s v="MP1050"/>
    <x v="2"/>
    <x v="2"/>
    <x v="46"/>
    <n v="3000"/>
    <x v="0"/>
    <n v="600000"/>
  </r>
  <r>
    <n v="174"/>
    <x v="4"/>
    <n v="300"/>
    <s v="MP7075"/>
    <x v="3"/>
    <x v="1"/>
    <x v="47"/>
    <n v="3500"/>
    <x v="1"/>
    <n v="1050000"/>
  </r>
  <r>
    <n v="175"/>
    <x v="5"/>
    <n v="200"/>
    <s v="MP1080"/>
    <x v="1"/>
    <x v="1"/>
    <x v="30"/>
    <n v="500"/>
    <x v="2"/>
    <n v="100000"/>
  </r>
  <r>
    <n v="176"/>
    <x v="2"/>
    <n v="250"/>
    <s v="MP1030"/>
    <x v="3"/>
    <x v="1"/>
    <x v="112"/>
    <n v="2000"/>
    <x v="0"/>
    <n v="500000"/>
  </r>
  <r>
    <n v="177"/>
    <x v="4"/>
    <n v="150"/>
    <s v="MP7075"/>
    <x v="1"/>
    <x v="2"/>
    <x v="113"/>
    <n v="3500"/>
    <x v="1"/>
    <n v="525000"/>
  </r>
  <r>
    <n v="178"/>
    <x v="6"/>
    <n v="250"/>
    <s v="MP1040"/>
    <x v="3"/>
    <x v="2"/>
    <x v="38"/>
    <n v="500"/>
    <x v="3"/>
    <n v="125000"/>
  </r>
  <r>
    <n v="179"/>
    <x v="8"/>
    <n v="200"/>
    <s v="MP1060"/>
    <x v="0"/>
    <x v="2"/>
    <x v="88"/>
    <n v="300"/>
    <x v="3"/>
    <n v="60000"/>
  </r>
  <r>
    <n v="180"/>
    <x v="3"/>
    <n v="50"/>
    <s v="MP1090"/>
    <x v="3"/>
    <x v="3"/>
    <x v="114"/>
    <n v="800"/>
    <x v="0"/>
    <n v="40000"/>
  </r>
  <r>
    <n v="181"/>
    <x v="6"/>
    <n v="400"/>
    <s v="MP1040"/>
    <x v="1"/>
    <x v="1"/>
    <x v="56"/>
    <n v="500"/>
    <x v="3"/>
    <n v="200000"/>
  </r>
  <r>
    <n v="182"/>
    <x v="2"/>
    <n v="500"/>
    <s v="MP1030"/>
    <x v="3"/>
    <x v="3"/>
    <x v="115"/>
    <n v="2000"/>
    <x v="0"/>
    <n v="1000000"/>
  </r>
  <r>
    <n v="183"/>
    <x v="7"/>
    <n v="50"/>
    <s v="MP1070"/>
    <x v="2"/>
    <x v="1"/>
    <x v="71"/>
    <n v="1500"/>
    <x v="2"/>
    <n v="75000"/>
  </r>
  <r>
    <n v="184"/>
    <x v="6"/>
    <n v="350"/>
    <s v="MP1040"/>
    <x v="2"/>
    <x v="3"/>
    <x v="48"/>
    <n v="500"/>
    <x v="3"/>
    <n v="175000"/>
  </r>
  <r>
    <n v="185"/>
    <x v="6"/>
    <n v="400"/>
    <s v="MP1040"/>
    <x v="1"/>
    <x v="3"/>
    <x v="116"/>
    <n v="500"/>
    <x v="3"/>
    <n v="200000"/>
  </r>
  <r>
    <n v="186"/>
    <x v="2"/>
    <n v="500"/>
    <s v="MP1030"/>
    <x v="1"/>
    <x v="1"/>
    <x v="117"/>
    <n v="2000"/>
    <x v="0"/>
    <n v="1000000"/>
  </r>
  <r>
    <n v="187"/>
    <x v="6"/>
    <n v="250"/>
    <s v="MP1040"/>
    <x v="1"/>
    <x v="0"/>
    <x v="40"/>
    <n v="500"/>
    <x v="3"/>
    <n v="125000"/>
  </r>
  <r>
    <n v="188"/>
    <x v="6"/>
    <n v="350"/>
    <s v="MP1040"/>
    <x v="1"/>
    <x v="3"/>
    <x v="97"/>
    <n v="500"/>
    <x v="3"/>
    <n v="175000"/>
  </r>
  <r>
    <n v="189"/>
    <x v="7"/>
    <n v="250"/>
    <s v="MP1070"/>
    <x v="3"/>
    <x v="0"/>
    <x v="118"/>
    <n v="1500"/>
    <x v="2"/>
    <n v="375000"/>
  </r>
  <r>
    <n v="190"/>
    <x v="4"/>
    <n v="200"/>
    <s v="MP7075"/>
    <x v="3"/>
    <x v="1"/>
    <x v="47"/>
    <n v="3500"/>
    <x v="1"/>
    <n v="700000"/>
  </r>
  <r>
    <n v="191"/>
    <x v="1"/>
    <n v="250"/>
    <s v="MP1020"/>
    <x v="1"/>
    <x v="2"/>
    <x v="42"/>
    <n v="1000"/>
    <x v="1"/>
    <n v="250000"/>
  </r>
  <r>
    <n v="192"/>
    <x v="0"/>
    <n v="350"/>
    <s v="MP1050"/>
    <x v="1"/>
    <x v="0"/>
    <x v="19"/>
    <n v="3000"/>
    <x v="0"/>
    <n v="1050000"/>
  </r>
  <r>
    <n v="193"/>
    <x v="5"/>
    <n v="250"/>
    <s v="MP1080"/>
    <x v="0"/>
    <x v="0"/>
    <x v="44"/>
    <n v="500"/>
    <x v="2"/>
    <n v="125000"/>
  </r>
  <r>
    <n v="194"/>
    <x v="7"/>
    <n v="350"/>
    <s v="MP1070"/>
    <x v="0"/>
    <x v="0"/>
    <x v="119"/>
    <n v="1500"/>
    <x v="2"/>
    <n v="525000"/>
  </r>
  <r>
    <n v="195"/>
    <x v="6"/>
    <n v="250"/>
    <s v="MP1040"/>
    <x v="0"/>
    <x v="3"/>
    <x v="120"/>
    <n v="500"/>
    <x v="3"/>
    <n v="125000"/>
  </r>
  <r>
    <n v="196"/>
    <x v="5"/>
    <n v="250"/>
    <s v="MP1080"/>
    <x v="3"/>
    <x v="1"/>
    <x v="31"/>
    <n v="500"/>
    <x v="2"/>
    <n v="125000"/>
  </r>
  <r>
    <n v="197"/>
    <x v="6"/>
    <n v="100"/>
    <s v="MP1040"/>
    <x v="3"/>
    <x v="1"/>
    <x v="121"/>
    <n v="500"/>
    <x v="3"/>
    <n v="50000"/>
  </r>
  <r>
    <n v="198"/>
    <x v="6"/>
    <n v="250"/>
    <s v="MP1040"/>
    <x v="1"/>
    <x v="0"/>
    <x v="122"/>
    <n v="500"/>
    <x v="3"/>
    <n v="125000"/>
  </r>
  <r>
    <n v="199"/>
    <x v="2"/>
    <n v="300"/>
    <s v="MP1030"/>
    <x v="0"/>
    <x v="3"/>
    <x v="24"/>
    <n v="2000"/>
    <x v="0"/>
    <n v="600000"/>
  </r>
  <r>
    <n v="200"/>
    <x v="0"/>
    <n v="300"/>
    <s v="MP1050"/>
    <x v="3"/>
    <x v="2"/>
    <x v="18"/>
    <n v="3000"/>
    <x v="0"/>
    <n v="9000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37170677565"/>
  </r>
  <r>
    <x v="1"/>
    <n v="2795270475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</r>
  <r>
    <x v="1"/>
    <x v="1"/>
    <x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37106950000"/>
    <x v="0"/>
    <n v="850"/>
    <x v="0"/>
  </r>
  <r>
    <x v="1"/>
    <n v="27890950000"/>
    <x v="1"/>
    <n v="627"/>
    <x v="1"/>
  </r>
  <r>
    <x v="2"/>
    <n v="64997900000"/>
    <x v="2"/>
    <n v="1477"/>
    <x v="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n v="1"/>
    <x v="0"/>
    <s v="AE190"/>
    <n v="1"/>
    <x v="0"/>
    <x v="0"/>
    <x v="0"/>
    <n v="55300000"/>
    <n v="55300000"/>
  </r>
  <r>
    <n v="2"/>
    <x v="1"/>
    <s v="AE314"/>
    <n v="1"/>
    <x v="1"/>
    <x v="1"/>
    <x v="1"/>
    <n v="28500000"/>
    <n v="28500000"/>
  </r>
  <r>
    <n v="3"/>
    <x v="2"/>
    <s v="AE600"/>
    <n v="1"/>
    <x v="2"/>
    <x v="0"/>
    <x v="2"/>
    <n v="49900000"/>
    <n v="49900000"/>
  </r>
  <r>
    <n v="4"/>
    <x v="1"/>
    <s v="AE314"/>
    <n v="1"/>
    <x v="1"/>
    <x v="1"/>
    <x v="3"/>
    <n v="28500000"/>
    <n v="28500000"/>
  </r>
  <r>
    <n v="5"/>
    <x v="3"/>
    <s v="AE195"/>
    <n v="1"/>
    <x v="2"/>
    <x v="0"/>
    <x v="1"/>
    <n v="58500000"/>
    <n v="58500000"/>
  </r>
  <r>
    <n v="6"/>
    <x v="0"/>
    <s v="AE190"/>
    <n v="1"/>
    <x v="3"/>
    <x v="0"/>
    <x v="4"/>
    <n v="55300000"/>
    <n v="55300000"/>
  </r>
  <r>
    <n v="7"/>
    <x v="2"/>
    <s v="AE600"/>
    <n v="1"/>
    <x v="3"/>
    <x v="2"/>
    <x v="2"/>
    <n v="49900000"/>
    <n v="49900000"/>
  </r>
  <r>
    <n v="8"/>
    <x v="1"/>
    <s v="AE314"/>
    <n v="1"/>
    <x v="0"/>
    <x v="0"/>
    <x v="5"/>
    <n v="28500000"/>
    <n v="28500000"/>
  </r>
  <r>
    <n v="9"/>
    <x v="4"/>
    <s v="AE390"/>
    <n v="1"/>
    <x v="3"/>
    <x v="0"/>
    <x v="6"/>
    <n v="46300000"/>
    <n v="46300000"/>
  </r>
  <r>
    <n v="10"/>
    <x v="2"/>
    <s v="AE600"/>
    <n v="1"/>
    <x v="0"/>
    <x v="3"/>
    <x v="7"/>
    <n v="49900000"/>
    <n v="49900000"/>
  </r>
  <r>
    <n v="11"/>
    <x v="5"/>
    <s v="AE600"/>
    <n v="1"/>
    <x v="3"/>
    <x v="0"/>
    <x v="8"/>
    <n v="47700000"/>
    <n v="47700000"/>
  </r>
  <r>
    <n v="12"/>
    <x v="6"/>
    <s v="AE100"/>
    <n v="1"/>
    <x v="2"/>
    <x v="0"/>
    <x v="8"/>
    <n v="37850000"/>
    <n v="37850000"/>
  </r>
  <r>
    <n v="13"/>
    <x v="0"/>
    <s v="AE190"/>
    <n v="1"/>
    <x v="3"/>
    <x v="1"/>
    <x v="3"/>
    <n v="55300000"/>
    <n v="55300000"/>
  </r>
  <r>
    <n v="14"/>
    <x v="0"/>
    <s v="AE190"/>
    <n v="10"/>
    <x v="1"/>
    <x v="1"/>
    <x v="9"/>
    <n v="55300000"/>
    <n v="553000000"/>
  </r>
  <r>
    <n v="15"/>
    <x v="7"/>
    <s v="AE14X"/>
    <n v="1"/>
    <x v="1"/>
    <x v="0"/>
    <x v="10"/>
    <n v="38500000"/>
    <n v="38500000"/>
  </r>
  <r>
    <n v="16"/>
    <x v="4"/>
    <s v="AE390"/>
    <n v="10"/>
    <x v="0"/>
    <x v="3"/>
    <x v="8"/>
    <n v="46300000"/>
    <n v="463000000"/>
  </r>
  <r>
    <n v="17"/>
    <x v="4"/>
    <s v="AE390"/>
    <n v="1"/>
    <x v="2"/>
    <x v="0"/>
    <x v="11"/>
    <n v="46300000"/>
    <n v="46300000"/>
  </r>
  <r>
    <n v="18"/>
    <x v="7"/>
    <s v="AE14X"/>
    <n v="30"/>
    <x v="3"/>
    <x v="3"/>
    <x v="1"/>
    <n v="38500000"/>
    <n v="1155000000"/>
  </r>
  <r>
    <n v="19"/>
    <x v="3"/>
    <s v="AE195"/>
    <n v="1"/>
    <x v="1"/>
    <x v="2"/>
    <x v="12"/>
    <n v="58500000"/>
    <n v="58500000"/>
  </r>
  <r>
    <n v="20"/>
    <x v="5"/>
    <s v="AE600"/>
    <n v="1"/>
    <x v="3"/>
    <x v="1"/>
    <x v="11"/>
    <n v="47700000"/>
    <n v="47700000"/>
  </r>
  <r>
    <n v="21"/>
    <x v="1"/>
    <s v="AE314"/>
    <n v="1"/>
    <x v="1"/>
    <x v="0"/>
    <x v="2"/>
    <n v="28500000"/>
    <n v="28500000"/>
  </r>
  <r>
    <n v="22"/>
    <x v="7"/>
    <s v="AE14X"/>
    <n v="30"/>
    <x v="3"/>
    <x v="3"/>
    <x v="7"/>
    <n v="38500000"/>
    <n v="1155000000"/>
  </r>
  <r>
    <n v="23"/>
    <x v="8"/>
    <s v="AE145"/>
    <n v="20"/>
    <x v="0"/>
    <x v="1"/>
    <x v="8"/>
    <n v="33300000"/>
    <n v="666000000"/>
  </r>
  <r>
    <n v="24"/>
    <x v="7"/>
    <s v="AE14X"/>
    <n v="20"/>
    <x v="3"/>
    <x v="1"/>
    <x v="9"/>
    <n v="38500000"/>
    <n v="770000000"/>
  </r>
  <r>
    <n v="25"/>
    <x v="1"/>
    <s v="AE314"/>
    <n v="20"/>
    <x v="2"/>
    <x v="1"/>
    <x v="8"/>
    <n v="28500000"/>
    <n v="570000000"/>
  </r>
  <r>
    <n v="26"/>
    <x v="1"/>
    <s v="AE314"/>
    <n v="20"/>
    <x v="2"/>
    <x v="1"/>
    <x v="5"/>
    <n v="28500000"/>
    <n v="570000000"/>
  </r>
  <r>
    <n v="27"/>
    <x v="3"/>
    <s v="AE195"/>
    <n v="1"/>
    <x v="2"/>
    <x v="2"/>
    <x v="13"/>
    <n v="58500000"/>
    <n v="58500000"/>
  </r>
  <r>
    <n v="28"/>
    <x v="5"/>
    <s v="AE600"/>
    <n v="2"/>
    <x v="0"/>
    <x v="1"/>
    <x v="8"/>
    <n v="47700000"/>
    <n v="95400000"/>
  </r>
  <r>
    <n v="29"/>
    <x v="0"/>
    <s v="AE190"/>
    <n v="10"/>
    <x v="2"/>
    <x v="1"/>
    <x v="4"/>
    <n v="55300000"/>
    <n v="553000000"/>
  </r>
  <r>
    <n v="30"/>
    <x v="7"/>
    <s v="AE14X"/>
    <n v="30"/>
    <x v="2"/>
    <x v="1"/>
    <x v="6"/>
    <n v="38500000"/>
    <n v="1155000000"/>
  </r>
  <r>
    <n v="31"/>
    <x v="6"/>
    <s v="AE100"/>
    <n v="20"/>
    <x v="0"/>
    <x v="3"/>
    <x v="14"/>
    <n v="37850000"/>
    <n v="757000000"/>
  </r>
  <r>
    <n v="32"/>
    <x v="7"/>
    <s v="AE14X"/>
    <n v="1"/>
    <x v="3"/>
    <x v="2"/>
    <x v="5"/>
    <n v="38500000"/>
    <n v="38500000"/>
  </r>
  <r>
    <n v="33"/>
    <x v="5"/>
    <s v="AE600"/>
    <n v="20"/>
    <x v="0"/>
    <x v="3"/>
    <x v="12"/>
    <n v="47700000"/>
    <n v="954000000"/>
  </r>
  <r>
    <n v="34"/>
    <x v="0"/>
    <s v="AE190"/>
    <n v="1"/>
    <x v="2"/>
    <x v="3"/>
    <x v="15"/>
    <n v="55300000"/>
    <n v="55300000"/>
  </r>
  <r>
    <n v="35"/>
    <x v="6"/>
    <s v="AE100"/>
    <n v="1"/>
    <x v="0"/>
    <x v="2"/>
    <x v="14"/>
    <n v="37850000"/>
    <n v="37850000"/>
  </r>
  <r>
    <n v="36"/>
    <x v="7"/>
    <s v="AE14X"/>
    <n v="1"/>
    <x v="1"/>
    <x v="2"/>
    <x v="16"/>
    <n v="38500000"/>
    <n v="38500000"/>
  </r>
  <r>
    <n v="37"/>
    <x v="4"/>
    <s v="AE390"/>
    <n v="10"/>
    <x v="2"/>
    <x v="3"/>
    <x v="5"/>
    <n v="46300000"/>
    <n v="463000000"/>
  </r>
  <r>
    <n v="38"/>
    <x v="2"/>
    <s v="AE600"/>
    <n v="1"/>
    <x v="3"/>
    <x v="0"/>
    <x v="14"/>
    <n v="49900000"/>
    <n v="49900000"/>
  </r>
  <r>
    <n v="39"/>
    <x v="6"/>
    <s v="AE100"/>
    <n v="20"/>
    <x v="3"/>
    <x v="3"/>
    <x v="8"/>
    <n v="37850000"/>
    <n v="757000000"/>
  </r>
  <r>
    <n v="40"/>
    <x v="0"/>
    <s v="AE190"/>
    <n v="10"/>
    <x v="3"/>
    <x v="3"/>
    <x v="9"/>
    <n v="55300000"/>
    <n v="553000000"/>
  </r>
  <r>
    <n v="41"/>
    <x v="4"/>
    <s v="AE390"/>
    <n v="1"/>
    <x v="0"/>
    <x v="0"/>
    <x v="9"/>
    <n v="46300000"/>
    <n v="46300000"/>
  </r>
  <r>
    <n v="42"/>
    <x v="3"/>
    <s v="AE195"/>
    <n v="1"/>
    <x v="0"/>
    <x v="1"/>
    <x v="14"/>
    <n v="58500000"/>
    <n v="58500000"/>
  </r>
  <r>
    <n v="43"/>
    <x v="7"/>
    <s v="AE14X"/>
    <n v="1"/>
    <x v="2"/>
    <x v="0"/>
    <x v="15"/>
    <n v="38500000"/>
    <n v="38500000"/>
  </r>
  <r>
    <n v="44"/>
    <x v="6"/>
    <s v="AE100"/>
    <n v="1"/>
    <x v="1"/>
    <x v="2"/>
    <x v="1"/>
    <n v="37850000"/>
    <n v="37850000"/>
  </r>
  <r>
    <n v="45"/>
    <x v="1"/>
    <s v="AE314"/>
    <n v="2"/>
    <x v="3"/>
    <x v="1"/>
    <x v="14"/>
    <n v="28500000"/>
    <n v="57000000"/>
  </r>
  <r>
    <n v="46"/>
    <x v="5"/>
    <s v="AE600"/>
    <n v="1"/>
    <x v="2"/>
    <x v="2"/>
    <x v="9"/>
    <n v="47700000"/>
    <n v="47700000"/>
  </r>
  <r>
    <n v="47"/>
    <x v="0"/>
    <s v="AE190"/>
    <n v="1"/>
    <x v="1"/>
    <x v="3"/>
    <x v="2"/>
    <n v="55300000"/>
    <n v="55300000"/>
  </r>
  <r>
    <n v="48"/>
    <x v="7"/>
    <s v="AE14X"/>
    <n v="1"/>
    <x v="1"/>
    <x v="2"/>
    <x v="13"/>
    <n v="38500000"/>
    <n v="38500000"/>
  </r>
  <r>
    <n v="49"/>
    <x v="3"/>
    <s v="AE195"/>
    <n v="30"/>
    <x v="1"/>
    <x v="3"/>
    <x v="4"/>
    <n v="58500000"/>
    <n v="1755000000"/>
  </r>
  <r>
    <n v="50"/>
    <x v="3"/>
    <s v="AE195"/>
    <n v="1"/>
    <x v="2"/>
    <x v="2"/>
    <x v="12"/>
    <n v="58500000"/>
    <n v="58500000"/>
  </r>
  <r>
    <n v="51"/>
    <x v="0"/>
    <s v="AE190"/>
    <n v="20"/>
    <x v="3"/>
    <x v="1"/>
    <x v="1"/>
    <n v="55300000"/>
    <n v="1106000000"/>
  </r>
  <r>
    <n v="52"/>
    <x v="3"/>
    <s v="AE195"/>
    <n v="1"/>
    <x v="0"/>
    <x v="0"/>
    <x v="8"/>
    <n v="58500000"/>
    <n v="58500000"/>
  </r>
  <r>
    <n v="53"/>
    <x v="7"/>
    <s v="AE14X"/>
    <n v="1"/>
    <x v="1"/>
    <x v="0"/>
    <x v="14"/>
    <n v="38500000"/>
    <n v="38500000"/>
  </r>
  <r>
    <n v="54"/>
    <x v="0"/>
    <s v="AE190"/>
    <n v="2"/>
    <x v="0"/>
    <x v="3"/>
    <x v="17"/>
    <n v="55300000"/>
    <n v="110600000"/>
  </r>
  <r>
    <n v="55"/>
    <x v="4"/>
    <s v="AE390"/>
    <n v="1"/>
    <x v="1"/>
    <x v="2"/>
    <x v="3"/>
    <n v="46300000"/>
    <n v="46300000"/>
  </r>
  <r>
    <n v="56"/>
    <x v="0"/>
    <s v="AE190"/>
    <n v="1"/>
    <x v="3"/>
    <x v="0"/>
    <x v="2"/>
    <n v="55300000"/>
    <n v="55300000"/>
  </r>
  <r>
    <n v="57"/>
    <x v="7"/>
    <s v="AE14X"/>
    <n v="1"/>
    <x v="3"/>
    <x v="0"/>
    <x v="14"/>
    <n v="38500000"/>
    <n v="38500000"/>
  </r>
  <r>
    <n v="58"/>
    <x v="3"/>
    <s v="AE195"/>
    <n v="30"/>
    <x v="3"/>
    <x v="1"/>
    <x v="2"/>
    <n v="58500000"/>
    <n v="1755000000"/>
  </r>
  <r>
    <n v="59"/>
    <x v="8"/>
    <s v="AE145"/>
    <n v="1"/>
    <x v="3"/>
    <x v="2"/>
    <x v="12"/>
    <n v="33300000"/>
    <n v="33300000"/>
  </r>
  <r>
    <n v="60"/>
    <x v="5"/>
    <s v="AE600"/>
    <n v="1"/>
    <x v="3"/>
    <x v="3"/>
    <x v="14"/>
    <n v="47700000"/>
    <n v="47700000"/>
  </r>
  <r>
    <n v="61"/>
    <x v="6"/>
    <s v="AE100"/>
    <n v="10"/>
    <x v="3"/>
    <x v="1"/>
    <x v="1"/>
    <n v="37850000"/>
    <n v="378500000"/>
  </r>
  <r>
    <n v="62"/>
    <x v="8"/>
    <s v="AE145"/>
    <n v="1"/>
    <x v="1"/>
    <x v="2"/>
    <x v="15"/>
    <n v="33300000"/>
    <n v="33300000"/>
  </r>
  <r>
    <n v="63"/>
    <x v="8"/>
    <s v="AE145"/>
    <n v="20"/>
    <x v="0"/>
    <x v="3"/>
    <x v="5"/>
    <n v="33300000"/>
    <n v="666000000"/>
  </r>
  <r>
    <n v="64"/>
    <x v="3"/>
    <s v="AE195"/>
    <n v="10"/>
    <x v="3"/>
    <x v="1"/>
    <x v="15"/>
    <n v="58500000"/>
    <n v="585000000"/>
  </r>
  <r>
    <n v="65"/>
    <x v="3"/>
    <s v="AE195"/>
    <n v="1"/>
    <x v="3"/>
    <x v="2"/>
    <x v="10"/>
    <n v="58500000"/>
    <n v="58500000"/>
  </r>
  <r>
    <n v="66"/>
    <x v="0"/>
    <s v="AE190"/>
    <n v="2"/>
    <x v="2"/>
    <x v="3"/>
    <x v="10"/>
    <n v="55300000"/>
    <n v="110600000"/>
  </r>
  <r>
    <n v="67"/>
    <x v="7"/>
    <s v="AE14X"/>
    <n v="10"/>
    <x v="1"/>
    <x v="1"/>
    <x v="2"/>
    <n v="38500000"/>
    <n v="385000000"/>
  </r>
  <r>
    <n v="68"/>
    <x v="2"/>
    <s v="AE600"/>
    <n v="20"/>
    <x v="1"/>
    <x v="1"/>
    <x v="1"/>
    <n v="49900000"/>
    <n v="998000000"/>
  </r>
  <r>
    <n v="69"/>
    <x v="2"/>
    <s v="AE600"/>
    <n v="1"/>
    <x v="2"/>
    <x v="2"/>
    <x v="10"/>
    <n v="49900000"/>
    <n v="49900000"/>
  </r>
  <r>
    <n v="70"/>
    <x v="1"/>
    <s v="AE314"/>
    <n v="1"/>
    <x v="0"/>
    <x v="3"/>
    <x v="14"/>
    <n v="28500000"/>
    <n v="28500000"/>
  </r>
  <r>
    <n v="71"/>
    <x v="7"/>
    <s v="AE14X"/>
    <n v="30"/>
    <x v="3"/>
    <x v="1"/>
    <x v="9"/>
    <n v="38500000"/>
    <n v="1155000000"/>
  </r>
  <r>
    <n v="72"/>
    <x v="4"/>
    <s v="AE390"/>
    <n v="1"/>
    <x v="3"/>
    <x v="3"/>
    <x v="14"/>
    <n v="46300000"/>
    <n v="46300000"/>
  </r>
  <r>
    <n v="73"/>
    <x v="5"/>
    <s v="AE600"/>
    <n v="30"/>
    <x v="2"/>
    <x v="1"/>
    <x v="13"/>
    <n v="47700000"/>
    <n v="1431000000"/>
  </r>
  <r>
    <n v="74"/>
    <x v="4"/>
    <s v="AE390"/>
    <n v="1"/>
    <x v="3"/>
    <x v="2"/>
    <x v="17"/>
    <n v="46300000"/>
    <n v="46300000"/>
  </r>
  <r>
    <n v="75"/>
    <x v="6"/>
    <s v="AE100"/>
    <n v="30"/>
    <x v="2"/>
    <x v="1"/>
    <x v="13"/>
    <n v="37850000"/>
    <n v="1135500000"/>
  </r>
  <r>
    <n v="76"/>
    <x v="4"/>
    <s v="AE390"/>
    <n v="1"/>
    <x v="0"/>
    <x v="2"/>
    <x v="10"/>
    <n v="46300000"/>
    <n v="46300000"/>
  </r>
  <r>
    <n v="77"/>
    <x v="7"/>
    <s v="AE14X"/>
    <n v="1"/>
    <x v="1"/>
    <x v="1"/>
    <x v="10"/>
    <n v="38500000"/>
    <n v="38500000"/>
  </r>
  <r>
    <n v="78"/>
    <x v="4"/>
    <s v="AE390"/>
    <n v="1"/>
    <x v="2"/>
    <x v="2"/>
    <x v="12"/>
    <n v="46300000"/>
    <n v="46300000"/>
  </r>
  <r>
    <n v="79"/>
    <x v="8"/>
    <s v="AE145"/>
    <n v="1"/>
    <x v="3"/>
    <x v="2"/>
    <x v="6"/>
    <n v="33300000"/>
    <n v="33300000"/>
  </r>
  <r>
    <n v="80"/>
    <x v="8"/>
    <s v="AE145"/>
    <n v="1"/>
    <x v="2"/>
    <x v="0"/>
    <x v="18"/>
    <n v="33300000"/>
    <n v="33300000"/>
  </r>
  <r>
    <n v="81"/>
    <x v="4"/>
    <s v="AE390"/>
    <n v="1"/>
    <x v="0"/>
    <x v="3"/>
    <x v="1"/>
    <n v="46300000"/>
    <n v="46300000"/>
  </r>
  <r>
    <n v="82"/>
    <x v="4"/>
    <s v="AE390"/>
    <n v="1"/>
    <x v="0"/>
    <x v="2"/>
    <x v="5"/>
    <n v="46300000"/>
    <n v="46300000"/>
  </r>
  <r>
    <n v="83"/>
    <x v="0"/>
    <s v="AE190"/>
    <n v="1"/>
    <x v="2"/>
    <x v="0"/>
    <x v="11"/>
    <n v="55300000"/>
    <n v="55300000"/>
  </r>
  <r>
    <n v="84"/>
    <x v="0"/>
    <s v="AE190"/>
    <n v="1"/>
    <x v="2"/>
    <x v="1"/>
    <x v="6"/>
    <n v="55300000"/>
    <n v="55300000"/>
  </r>
  <r>
    <n v="85"/>
    <x v="8"/>
    <s v="AE145"/>
    <n v="1"/>
    <x v="3"/>
    <x v="2"/>
    <x v="9"/>
    <n v="33300000"/>
    <n v="33300000"/>
  </r>
  <r>
    <n v="86"/>
    <x v="5"/>
    <s v="AE600"/>
    <n v="1"/>
    <x v="2"/>
    <x v="2"/>
    <x v="19"/>
    <n v="47700000"/>
    <n v="47700000"/>
  </r>
  <r>
    <n v="87"/>
    <x v="3"/>
    <s v="AE195"/>
    <n v="1"/>
    <x v="0"/>
    <x v="1"/>
    <x v="4"/>
    <n v="58500000"/>
    <n v="58500000"/>
  </r>
  <r>
    <n v="88"/>
    <x v="4"/>
    <s v="AE390"/>
    <n v="1"/>
    <x v="2"/>
    <x v="2"/>
    <x v="13"/>
    <n v="46300000"/>
    <n v="46300000"/>
  </r>
  <r>
    <n v="89"/>
    <x v="8"/>
    <s v="AE145"/>
    <n v="10"/>
    <x v="0"/>
    <x v="1"/>
    <x v="6"/>
    <n v="33300000"/>
    <n v="333000000"/>
  </r>
  <r>
    <n v="90"/>
    <x v="8"/>
    <s v="AE145"/>
    <n v="20"/>
    <x v="3"/>
    <x v="1"/>
    <x v="11"/>
    <n v="33300000"/>
    <n v="666000000"/>
  </r>
  <r>
    <n v="91"/>
    <x v="6"/>
    <s v="AE100"/>
    <n v="1"/>
    <x v="0"/>
    <x v="2"/>
    <x v="14"/>
    <n v="37850000"/>
    <n v="37850000"/>
  </r>
  <r>
    <n v="92"/>
    <x v="4"/>
    <s v="AE390"/>
    <n v="30"/>
    <x v="3"/>
    <x v="1"/>
    <x v="16"/>
    <n v="46300000"/>
    <n v="1389000000"/>
  </r>
  <r>
    <n v="93"/>
    <x v="2"/>
    <s v="AE600"/>
    <n v="10"/>
    <x v="2"/>
    <x v="1"/>
    <x v="19"/>
    <n v="49900000"/>
    <n v="499000000"/>
  </r>
  <r>
    <n v="94"/>
    <x v="1"/>
    <s v="AE314"/>
    <n v="30"/>
    <x v="0"/>
    <x v="1"/>
    <x v="13"/>
    <n v="28500000"/>
    <n v="855000000"/>
  </r>
  <r>
    <n v="95"/>
    <x v="4"/>
    <s v="AE390"/>
    <n v="20"/>
    <x v="3"/>
    <x v="1"/>
    <x v="18"/>
    <n v="46300000"/>
    <n v="926000000"/>
  </r>
  <r>
    <n v="96"/>
    <x v="3"/>
    <s v="AE195"/>
    <n v="1"/>
    <x v="2"/>
    <x v="3"/>
    <x v="15"/>
    <n v="58500000"/>
    <n v="58500000"/>
  </r>
  <r>
    <n v="97"/>
    <x v="4"/>
    <s v="AE390"/>
    <n v="1"/>
    <x v="2"/>
    <x v="3"/>
    <x v="9"/>
    <n v="46300000"/>
    <n v="46300000"/>
  </r>
  <r>
    <n v="98"/>
    <x v="1"/>
    <s v="AE314"/>
    <n v="2"/>
    <x v="3"/>
    <x v="3"/>
    <x v="18"/>
    <n v="28500000"/>
    <n v="57000000"/>
  </r>
  <r>
    <n v="99"/>
    <x v="5"/>
    <s v="AE600"/>
    <n v="30"/>
    <x v="0"/>
    <x v="1"/>
    <x v="5"/>
    <n v="47700000"/>
    <n v="1431000000"/>
  </r>
  <r>
    <n v="100"/>
    <x v="0"/>
    <s v="AE190"/>
    <n v="1"/>
    <x v="2"/>
    <x v="2"/>
    <x v="8"/>
    <n v="55300000"/>
    <n v="55300000"/>
  </r>
  <r>
    <n v="101"/>
    <x v="7"/>
    <s v="AE14X"/>
    <n v="1"/>
    <x v="3"/>
    <x v="0"/>
    <x v="1"/>
    <n v="38500000"/>
    <n v="38500000"/>
  </r>
  <r>
    <n v="102"/>
    <x v="7"/>
    <s v="AE14X"/>
    <n v="20"/>
    <x v="0"/>
    <x v="3"/>
    <x v="15"/>
    <n v="38500000"/>
    <n v="770000000"/>
  </r>
  <r>
    <n v="103"/>
    <x v="2"/>
    <s v="AE600"/>
    <n v="1"/>
    <x v="2"/>
    <x v="2"/>
    <x v="2"/>
    <n v="49900000"/>
    <n v="49900000"/>
  </r>
  <r>
    <n v="104"/>
    <x v="5"/>
    <s v="AE600"/>
    <n v="1"/>
    <x v="0"/>
    <x v="0"/>
    <x v="17"/>
    <n v="47700000"/>
    <n v="47700000"/>
  </r>
  <r>
    <n v="105"/>
    <x v="2"/>
    <s v="AE600"/>
    <n v="30"/>
    <x v="0"/>
    <x v="1"/>
    <x v="11"/>
    <n v="49900000"/>
    <n v="1497000000"/>
  </r>
  <r>
    <n v="106"/>
    <x v="5"/>
    <s v="AE600"/>
    <n v="1"/>
    <x v="1"/>
    <x v="0"/>
    <x v="17"/>
    <n v="47700000"/>
    <n v="47700000"/>
  </r>
  <r>
    <n v="107"/>
    <x v="3"/>
    <s v="AE195"/>
    <n v="1"/>
    <x v="3"/>
    <x v="0"/>
    <x v="17"/>
    <n v="58500000"/>
    <n v="58500000"/>
  </r>
  <r>
    <n v="108"/>
    <x v="8"/>
    <s v="AE145"/>
    <n v="1"/>
    <x v="1"/>
    <x v="0"/>
    <x v="19"/>
    <n v="33300000"/>
    <n v="33300000"/>
  </r>
  <r>
    <n v="109"/>
    <x v="4"/>
    <s v="AE390"/>
    <n v="1"/>
    <x v="2"/>
    <x v="2"/>
    <x v="15"/>
    <n v="46300000"/>
    <n v="46300000"/>
  </r>
  <r>
    <n v="110"/>
    <x v="0"/>
    <s v="AE190"/>
    <n v="1"/>
    <x v="2"/>
    <x v="1"/>
    <x v="18"/>
    <n v="55300000"/>
    <n v="55300000"/>
  </r>
  <r>
    <n v="111"/>
    <x v="7"/>
    <s v="AE14X"/>
    <n v="1"/>
    <x v="2"/>
    <x v="0"/>
    <x v="0"/>
    <n v="38500000"/>
    <n v="38500000"/>
  </r>
  <r>
    <n v="112"/>
    <x v="4"/>
    <s v="AE390"/>
    <n v="1"/>
    <x v="3"/>
    <x v="0"/>
    <x v="10"/>
    <n v="46300000"/>
    <n v="46300000"/>
  </r>
  <r>
    <n v="113"/>
    <x v="7"/>
    <s v="AE14X"/>
    <n v="30"/>
    <x v="3"/>
    <x v="1"/>
    <x v="5"/>
    <n v="38500000"/>
    <n v="1155000000"/>
  </r>
  <r>
    <n v="114"/>
    <x v="7"/>
    <s v="AE14X"/>
    <n v="1"/>
    <x v="2"/>
    <x v="0"/>
    <x v="10"/>
    <n v="38500000"/>
    <n v="38500000"/>
  </r>
  <r>
    <n v="115"/>
    <x v="3"/>
    <s v="AE195"/>
    <n v="10"/>
    <x v="0"/>
    <x v="3"/>
    <x v="10"/>
    <n v="58500000"/>
    <n v="585000000"/>
  </r>
  <r>
    <n v="116"/>
    <x v="2"/>
    <s v="AE600"/>
    <n v="2"/>
    <x v="0"/>
    <x v="1"/>
    <x v="8"/>
    <n v="49900000"/>
    <n v="99800000"/>
  </r>
  <r>
    <n v="117"/>
    <x v="6"/>
    <s v="AE100"/>
    <n v="20"/>
    <x v="0"/>
    <x v="3"/>
    <x v="8"/>
    <n v="37850000"/>
    <n v="757000000"/>
  </r>
  <r>
    <n v="118"/>
    <x v="8"/>
    <s v="AE145"/>
    <n v="20"/>
    <x v="0"/>
    <x v="1"/>
    <x v="19"/>
    <n v="33300000"/>
    <n v="666000000"/>
  </r>
  <r>
    <n v="119"/>
    <x v="4"/>
    <s v="AE390"/>
    <n v="1"/>
    <x v="1"/>
    <x v="0"/>
    <x v="19"/>
    <n v="46300000"/>
    <n v="46300000"/>
  </r>
  <r>
    <n v="120"/>
    <x v="2"/>
    <s v="AE600"/>
    <n v="1"/>
    <x v="2"/>
    <x v="1"/>
    <x v="16"/>
    <n v="49900000"/>
    <n v="49900000"/>
  </r>
  <r>
    <n v="121"/>
    <x v="5"/>
    <s v="AE600"/>
    <n v="1"/>
    <x v="1"/>
    <x v="0"/>
    <x v="8"/>
    <n v="47700000"/>
    <n v="47700000"/>
  </r>
  <r>
    <n v="122"/>
    <x v="3"/>
    <s v="AE195"/>
    <n v="10"/>
    <x v="1"/>
    <x v="1"/>
    <x v="0"/>
    <n v="58500000"/>
    <n v="585000000"/>
  </r>
  <r>
    <n v="123"/>
    <x v="8"/>
    <s v="AE145"/>
    <n v="1"/>
    <x v="2"/>
    <x v="0"/>
    <x v="1"/>
    <n v="33300000"/>
    <n v="33300000"/>
  </r>
  <r>
    <n v="124"/>
    <x v="0"/>
    <s v="AE190"/>
    <n v="1"/>
    <x v="2"/>
    <x v="0"/>
    <x v="9"/>
    <n v="55300000"/>
    <n v="55300000"/>
  </r>
  <r>
    <n v="125"/>
    <x v="5"/>
    <s v="AE600"/>
    <n v="1"/>
    <x v="0"/>
    <x v="2"/>
    <x v="13"/>
    <n v="47700000"/>
    <n v="47700000"/>
  </r>
  <r>
    <n v="126"/>
    <x v="0"/>
    <s v="AE190"/>
    <n v="1"/>
    <x v="0"/>
    <x v="2"/>
    <x v="0"/>
    <n v="55300000"/>
    <n v="55300000"/>
  </r>
  <r>
    <n v="127"/>
    <x v="6"/>
    <s v="AE100"/>
    <n v="1"/>
    <x v="2"/>
    <x v="0"/>
    <x v="16"/>
    <n v="37850000"/>
    <n v="37850000"/>
  </r>
  <r>
    <n v="128"/>
    <x v="5"/>
    <s v="AE600"/>
    <n v="10"/>
    <x v="1"/>
    <x v="3"/>
    <x v="16"/>
    <n v="47700000"/>
    <n v="477000000"/>
  </r>
  <r>
    <n v="129"/>
    <x v="5"/>
    <s v="AE600"/>
    <n v="1"/>
    <x v="1"/>
    <x v="2"/>
    <x v="2"/>
    <n v="47700000"/>
    <n v="47700000"/>
  </r>
  <r>
    <n v="130"/>
    <x v="8"/>
    <s v="AE145"/>
    <n v="1"/>
    <x v="1"/>
    <x v="0"/>
    <x v="16"/>
    <n v="33300000"/>
    <n v="33300000"/>
  </r>
  <r>
    <n v="131"/>
    <x v="7"/>
    <s v="AE14X"/>
    <n v="1"/>
    <x v="0"/>
    <x v="2"/>
    <x v="17"/>
    <n v="38500000"/>
    <n v="38500000"/>
  </r>
  <r>
    <n v="132"/>
    <x v="3"/>
    <s v="AE195"/>
    <n v="2"/>
    <x v="2"/>
    <x v="1"/>
    <x v="6"/>
    <n v="58500000"/>
    <n v="117000000"/>
  </r>
  <r>
    <n v="133"/>
    <x v="1"/>
    <s v="AE314"/>
    <n v="1"/>
    <x v="3"/>
    <x v="1"/>
    <x v="9"/>
    <n v="28500000"/>
    <n v="28500000"/>
  </r>
  <r>
    <n v="134"/>
    <x v="5"/>
    <s v="AE600"/>
    <n v="2"/>
    <x v="0"/>
    <x v="3"/>
    <x v="15"/>
    <n v="47700000"/>
    <n v="95400000"/>
  </r>
  <r>
    <n v="135"/>
    <x v="4"/>
    <s v="AE390"/>
    <n v="2"/>
    <x v="0"/>
    <x v="1"/>
    <x v="8"/>
    <n v="46300000"/>
    <n v="92600000"/>
  </r>
  <r>
    <n v="136"/>
    <x v="6"/>
    <s v="AE100"/>
    <n v="1"/>
    <x v="2"/>
    <x v="1"/>
    <x v="5"/>
    <n v="37850000"/>
    <n v="37850000"/>
  </r>
  <r>
    <n v="137"/>
    <x v="6"/>
    <s v="AE100"/>
    <n v="30"/>
    <x v="2"/>
    <x v="3"/>
    <x v="13"/>
    <n v="37850000"/>
    <n v="1135500000"/>
  </r>
  <r>
    <n v="138"/>
    <x v="8"/>
    <s v="AE145"/>
    <n v="1"/>
    <x v="1"/>
    <x v="3"/>
    <x v="19"/>
    <n v="33300000"/>
    <n v="33300000"/>
  </r>
  <r>
    <n v="139"/>
    <x v="3"/>
    <s v="AE195"/>
    <n v="1"/>
    <x v="1"/>
    <x v="3"/>
    <x v="9"/>
    <n v="58500000"/>
    <n v="58500000"/>
  </r>
  <r>
    <n v="140"/>
    <x v="8"/>
    <s v="AE145"/>
    <n v="1"/>
    <x v="1"/>
    <x v="0"/>
    <x v="16"/>
    <n v="33300000"/>
    <n v="33300000"/>
  </r>
  <r>
    <n v="141"/>
    <x v="7"/>
    <s v="AE14X"/>
    <n v="1"/>
    <x v="3"/>
    <x v="0"/>
    <x v="15"/>
    <n v="38500000"/>
    <n v="38500000"/>
  </r>
  <r>
    <n v="142"/>
    <x v="4"/>
    <s v="AE390"/>
    <n v="1"/>
    <x v="2"/>
    <x v="1"/>
    <x v="5"/>
    <n v="46300000"/>
    <n v="46300000"/>
  </r>
  <r>
    <n v="143"/>
    <x v="7"/>
    <s v="AE14X"/>
    <n v="30"/>
    <x v="1"/>
    <x v="1"/>
    <x v="4"/>
    <n v="38500000"/>
    <n v="1155000000"/>
  </r>
  <r>
    <n v="144"/>
    <x v="1"/>
    <s v="AE314"/>
    <n v="1"/>
    <x v="0"/>
    <x v="2"/>
    <x v="8"/>
    <n v="28500000"/>
    <n v="28500000"/>
  </r>
  <r>
    <n v="145"/>
    <x v="8"/>
    <s v="AE145"/>
    <n v="1"/>
    <x v="0"/>
    <x v="0"/>
    <x v="4"/>
    <n v="33300000"/>
    <n v="33300000"/>
  </r>
  <r>
    <n v="146"/>
    <x v="6"/>
    <s v="AE100"/>
    <n v="2"/>
    <x v="3"/>
    <x v="1"/>
    <x v="9"/>
    <n v="37850000"/>
    <n v="75700000"/>
  </r>
  <r>
    <n v="147"/>
    <x v="1"/>
    <s v="AE314"/>
    <n v="2"/>
    <x v="0"/>
    <x v="1"/>
    <x v="14"/>
    <n v="28500000"/>
    <n v="57000000"/>
  </r>
  <r>
    <n v="148"/>
    <x v="3"/>
    <s v="AE195"/>
    <n v="30"/>
    <x v="3"/>
    <x v="1"/>
    <x v="18"/>
    <n v="58500000"/>
    <n v="1755000000"/>
  </r>
  <r>
    <n v="149"/>
    <x v="6"/>
    <s v="AE100"/>
    <n v="1"/>
    <x v="1"/>
    <x v="3"/>
    <x v="7"/>
    <n v="37850000"/>
    <n v="37850000"/>
  </r>
  <r>
    <n v="150"/>
    <x v="7"/>
    <s v="AE14X"/>
    <n v="20"/>
    <x v="2"/>
    <x v="1"/>
    <x v="16"/>
    <n v="38500000"/>
    <n v="770000000"/>
  </r>
  <r>
    <n v="151"/>
    <x v="0"/>
    <s v="AE190"/>
    <n v="1"/>
    <x v="2"/>
    <x v="2"/>
    <x v="5"/>
    <n v="55300000"/>
    <n v="55300000"/>
  </r>
  <r>
    <n v="152"/>
    <x v="6"/>
    <s v="AE100"/>
    <n v="1"/>
    <x v="1"/>
    <x v="0"/>
    <x v="2"/>
    <n v="37850000"/>
    <n v="37850000"/>
  </r>
  <r>
    <n v="153"/>
    <x v="6"/>
    <s v="AE100"/>
    <n v="2"/>
    <x v="3"/>
    <x v="1"/>
    <x v="19"/>
    <n v="37850000"/>
    <n v="75700000"/>
  </r>
  <r>
    <n v="154"/>
    <x v="8"/>
    <s v="AE145"/>
    <n v="1"/>
    <x v="3"/>
    <x v="0"/>
    <x v="15"/>
    <n v="33300000"/>
    <n v="33300000"/>
  </r>
  <r>
    <n v="155"/>
    <x v="6"/>
    <s v="AE100"/>
    <n v="1"/>
    <x v="3"/>
    <x v="2"/>
    <x v="4"/>
    <n v="37850000"/>
    <n v="37850000"/>
  </r>
  <r>
    <n v="156"/>
    <x v="7"/>
    <s v="AE14X"/>
    <n v="1"/>
    <x v="2"/>
    <x v="2"/>
    <x v="14"/>
    <n v="38500000"/>
    <n v="38500000"/>
  </r>
  <r>
    <n v="157"/>
    <x v="4"/>
    <s v="AE390"/>
    <n v="1"/>
    <x v="2"/>
    <x v="2"/>
    <x v="16"/>
    <n v="46300000"/>
    <n v="46300000"/>
  </r>
  <r>
    <n v="158"/>
    <x v="7"/>
    <s v="AE14X"/>
    <n v="30"/>
    <x v="3"/>
    <x v="1"/>
    <x v="1"/>
    <n v="38500000"/>
    <n v="1155000000"/>
  </r>
  <r>
    <n v="159"/>
    <x v="8"/>
    <s v="AE145"/>
    <n v="2"/>
    <x v="0"/>
    <x v="1"/>
    <x v="1"/>
    <n v="33300000"/>
    <n v="66600000"/>
  </r>
  <r>
    <n v="160"/>
    <x v="3"/>
    <s v="AE195"/>
    <n v="20"/>
    <x v="3"/>
    <x v="1"/>
    <x v="0"/>
    <n v="58500000"/>
    <n v="1170000000"/>
  </r>
  <r>
    <n v="161"/>
    <x v="7"/>
    <s v="AE14X"/>
    <n v="2"/>
    <x v="2"/>
    <x v="1"/>
    <x v="14"/>
    <n v="38500000"/>
    <n v="77000000"/>
  </r>
  <r>
    <n v="162"/>
    <x v="3"/>
    <s v="AE195"/>
    <n v="30"/>
    <x v="0"/>
    <x v="1"/>
    <x v="1"/>
    <n v="58500000"/>
    <n v="1755000000"/>
  </r>
  <r>
    <n v="163"/>
    <x v="0"/>
    <s v="AE190"/>
    <n v="1"/>
    <x v="3"/>
    <x v="2"/>
    <x v="9"/>
    <n v="55300000"/>
    <n v="55300000"/>
  </r>
  <r>
    <n v="164"/>
    <x v="4"/>
    <s v="AE390"/>
    <n v="30"/>
    <x v="3"/>
    <x v="3"/>
    <x v="10"/>
    <n v="46300000"/>
    <n v="1389000000"/>
  </r>
  <r>
    <n v="165"/>
    <x v="0"/>
    <s v="AE190"/>
    <n v="1"/>
    <x v="2"/>
    <x v="0"/>
    <x v="2"/>
    <n v="55300000"/>
    <n v="55300000"/>
  </r>
  <r>
    <n v="166"/>
    <x v="2"/>
    <s v="AE600"/>
    <n v="1"/>
    <x v="0"/>
    <x v="2"/>
    <x v="19"/>
    <n v="49900000"/>
    <n v="49900000"/>
  </r>
  <r>
    <n v="167"/>
    <x v="6"/>
    <s v="AE100"/>
    <n v="1"/>
    <x v="0"/>
    <x v="2"/>
    <x v="14"/>
    <n v="37850000"/>
    <n v="37850000"/>
  </r>
  <r>
    <n v="168"/>
    <x v="8"/>
    <s v="AE145"/>
    <n v="1"/>
    <x v="2"/>
    <x v="2"/>
    <x v="8"/>
    <n v="33300000"/>
    <n v="33300000"/>
  </r>
  <r>
    <n v="169"/>
    <x v="1"/>
    <s v="AE314"/>
    <n v="1"/>
    <x v="0"/>
    <x v="2"/>
    <x v="10"/>
    <n v="28500000"/>
    <n v="28500000"/>
  </r>
  <r>
    <n v="170"/>
    <x v="1"/>
    <s v="AE314"/>
    <n v="30"/>
    <x v="0"/>
    <x v="3"/>
    <x v="8"/>
    <n v="28500000"/>
    <n v="855000000"/>
  </r>
  <r>
    <n v="171"/>
    <x v="4"/>
    <s v="AE390"/>
    <n v="1"/>
    <x v="3"/>
    <x v="0"/>
    <x v="19"/>
    <n v="46300000"/>
    <n v="46300000"/>
  </r>
  <r>
    <n v="172"/>
    <x v="5"/>
    <s v="AE600"/>
    <n v="1"/>
    <x v="3"/>
    <x v="3"/>
    <x v="8"/>
    <n v="47700000"/>
    <n v="47700000"/>
  </r>
  <r>
    <n v="173"/>
    <x v="4"/>
    <s v="AE390"/>
    <n v="1"/>
    <x v="2"/>
    <x v="2"/>
    <x v="0"/>
    <n v="46300000"/>
    <n v="46300000"/>
  </r>
  <r>
    <n v="174"/>
    <x v="1"/>
    <s v="AE314"/>
    <n v="1"/>
    <x v="3"/>
    <x v="0"/>
    <x v="5"/>
    <n v="28500000"/>
    <n v="28500000"/>
  </r>
  <r>
    <n v="175"/>
    <x v="2"/>
    <s v="AE600"/>
    <n v="1"/>
    <x v="1"/>
    <x v="2"/>
    <x v="15"/>
    <n v="49900000"/>
    <n v="49900000"/>
  </r>
  <r>
    <n v="176"/>
    <x v="4"/>
    <s v="AE390"/>
    <n v="1"/>
    <x v="1"/>
    <x v="0"/>
    <x v="15"/>
    <n v="46300000"/>
    <n v="46300000"/>
  </r>
  <r>
    <n v="177"/>
    <x v="5"/>
    <s v="AE600"/>
    <n v="2"/>
    <x v="1"/>
    <x v="1"/>
    <x v="11"/>
    <n v="47700000"/>
    <n v="95400000"/>
  </r>
  <r>
    <n v="178"/>
    <x v="2"/>
    <s v="AE600"/>
    <n v="1"/>
    <x v="1"/>
    <x v="2"/>
    <x v="17"/>
    <n v="49900000"/>
    <n v="49900000"/>
  </r>
  <r>
    <n v="179"/>
    <x v="8"/>
    <s v="AE145"/>
    <n v="30"/>
    <x v="2"/>
    <x v="1"/>
    <x v="9"/>
    <n v="33300000"/>
    <n v="999000000"/>
  </r>
  <r>
    <n v="180"/>
    <x v="0"/>
    <s v="AE190"/>
    <n v="2"/>
    <x v="3"/>
    <x v="3"/>
    <x v="12"/>
    <n v="55300000"/>
    <n v="110600000"/>
  </r>
  <r>
    <n v="181"/>
    <x v="5"/>
    <s v="AE600"/>
    <n v="30"/>
    <x v="0"/>
    <x v="3"/>
    <x v="8"/>
    <n v="47700000"/>
    <n v="1431000000"/>
  </r>
  <r>
    <n v="182"/>
    <x v="3"/>
    <s v="AE195"/>
    <n v="30"/>
    <x v="0"/>
    <x v="3"/>
    <x v="4"/>
    <n v="58500000"/>
    <n v="1755000000"/>
  </r>
  <r>
    <n v="183"/>
    <x v="5"/>
    <s v="AE600"/>
    <n v="1"/>
    <x v="1"/>
    <x v="1"/>
    <x v="0"/>
    <n v="47700000"/>
    <n v="47700000"/>
  </r>
  <r>
    <n v="184"/>
    <x v="3"/>
    <s v="AE195"/>
    <n v="20"/>
    <x v="0"/>
    <x v="1"/>
    <x v="2"/>
    <n v="58500000"/>
    <n v="1170000000"/>
  </r>
  <r>
    <n v="185"/>
    <x v="3"/>
    <s v="AE195"/>
    <n v="1"/>
    <x v="1"/>
    <x v="0"/>
    <x v="7"/>
    <n v="58500000"/>
    <n v="58500000"/>
  </r>
  <r>
    <n v="186"/>
    <x v="6"/>
    <s v="AE100"/>
    <n v="2"/>
    <x v="3"/>
    <x v="3"/>
    <x v="14"/>
    <n v="37850000"/>
    <n v="75700000"/>
  </r>
  <r>
    <n v="187"/>
    <x v="8"/>
    <s v="AE145"/>
    <n v="1"/>
    <x v="3"/>
    <x v="2"/>
    <x v="6"/>
    <n v="33300000"/>
    <n v="33300000"/>
  </r>
  <r>
    <n v="188"/>
    <x v="4"/>
    <s v="AE390"/>
    <n v="20"/>
    <x v="0"/>
    <x v="3"/>
    <x v="17"/>
    <n v="46300000"/>
    <n v="926000000"/>
  </r>
  <r>
    <n v="189"/>
    <x v="5"/>
    <s v="AE600"/>
    <n v="1"/>
    <x v="3"/>
    <x v="2"/>
    <x v="13"/>
    <n v="47700000"/>
    <n v="47700000"/>
  </r>
  <r>
    <n v="190"/>
    <x v="5"/>
    <s v="AE600"/>
    <n v="20"/>
    <x v="0"/>
    <x v="3"/>
    <x v="5"/>
    <n v="47700000"/>
    <n v="954000000"/>
  </r>
  <r>
    <n v="191"/>
    <x v="2"/>
    <s v="AE600"/>
    <n v="1"/>
    <x v="0"/>
    <x v="1"/>
    <x v="0"/>
    <n v="49900000"/>
    <n v="49900000"/>
  </r>
  <r>
    <n v="192"/>
    <x v="8"/>
    <s v="AE145"/>
    <n v="20"/>
    <x v="2"/>
    <x v="1"/>
    <x v="18"/>
    <n v="33300000"/>
    <n v="666000000"/>
  </r>
  <r>
    <n v="193"/>
    <x v="6"/>
    <s v="AE100"/>
    <n v="2"/>
    <x v="1"/>
    <x v="1"/>
    <x v="0"/>
    <n v="37850000"/>
    <n v="75700000"/>
  </r>
  <r>
    <n v="194"/>
    <x v="2"/>
    <s v="AE600"/>
    <n v="30"/>
    <x v="3"/>
    <x v="3"/>
    <x v="11"/>
    <n v="49900000"/>
    <n v="1497000000"/>
  </r>
  <r>
    <n v="195"/>
    <x v="7"/>
    <s v="AE14X"/>
    <n v="20"/>
    <x v="0"/>
    <x v="1"/>
    <x v="10"/>
    <n v="38500000"/>
    <n v="770000000"/>
  </r>
  <r>
    <n v="196"/>
    <x v="5"/>
    <s v="AE600"/>
    <n v="1"/>
    <x v="2"/>
    <x v="0"/>
    <x v="1"/>
    <n v="47700000"/>
    <n v="47700000"/>
  </r>
  <r>
    <n v="197"/>
    <x v="0"/>
    <s v="AE190"/>
    <n v="1"/>
    <x v="0"/>
    <x v="2"/>
    <x v="19"/>
    <n v="55300000"/>
    <n v="55300000"/>
  </r>
  <r>
    <n v="198"/>
    <x v="3"/>
    <s v="AE195"/>
    <n v="10"/>
    <x v="0"/>
    <x v="1"/>
    <x v="0"/>
    <n v="58500000"/>
    <n v="585000000"/>
  </r>
  <r>
    <n v="199"/>
    <x v="2"/>
    <s v="AE600"/>
    <n v="1"/>
    <x v="2"/>
    <x v="2"/>
    <x v="8"/>
    <n v="49900000"/>
    <n v="49900000"/>
  </r>
  <r>
    <n v="200"/>
    <x v="0"/>
    <s v="AE190"/>
    <n v="20"/>
    <x v="0"/>
    <x v="3"/>
    <x v="10"/>
    <n v="55300000"/>
    <n v="1106000000"/>
  </r>
  <r>
    <m/>
    <x v="9"/>
    <m/>
    <m/>
    <x v="4"/>
    <x v="4"/>
    <x v="2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64536-BCB6-4421-8F9D-7E7C47D06EBF}" name="Tabela dinâmica10" cacheId="1" dataPosition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0">
  <location ref="A60:C70" firstHeaderRow="0" firstDataRow="1" firstDataCol="1"/>
  <pivotFields count="12">
    <pivotField showAll="0"/>
    <pivotField showAll="0">
      <items count="10">
        <item x="0"/>
        <item x="3"/>
        <item x="8"/>
        <item x="1"/>
        <item x="7"/>
        <item x="4"/>
        <item x="5"/>
        <item x="6"/>
        <item x="2"/>
        <item t="default"/>
      </items>
    </pivotField>
    <pivotField showAll="0"/>
    <pivotField dataField="1" showAll="0"/>
    <pivotField showAll="0">
      <items count="5">
        <item x="3"/>
        <item x="2"/>
        <item x="1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4" showAll="0"/>
    <pivotField numFmtId="44" showAll="0"/>
    <pivotField numFmtId="4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1"/>
    <field x="10"/>
    <field x="6"/>
  </rowFields>
  <rowItems count="10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uantidade" fld="3" baseField="0" baseItem="0" numFmtId="1"/>
    <dataField name="Soma de Valor" fld="7" baseField="0" baseItem="0"/>
  </dataFields>
  <formats count="2">
    <format dxfId="38">
      <pivotArea outline="0" collapsedLevelsAreSubtotals="1" fieldPosition="0"/>
    </format>
    <format dxfId="37">
      <pivotArea dataOnly="0" labelOnly="1" outline="0" axis="axisValues" fieldPosition="0"/>
    </format>
  </formats>
  <chartFormats count="9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1" count="1" selected="0">
            <x v="1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2"/>
          </reference>
        </references>
      </pivotArea>
    </chartFormat>
    <chartFormat chart="5" format="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1" count="1" selected="0">
            <x v="2"/>
          </reference>
        </references>
      </pivotArea>
    </chartFormat>
    <chartFormat chart="5" format="6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1" count="1" selected="0">
            <x v="2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1" count="1" selected="0">
            <x v="1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1"/>
          </reference>
          <reference field="10" count="1" selected="0">
            <x v="4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DA06D-DEA0-48FB-998B-CCB02FE81628}" name="Tabela dinâmica5" cacheId="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3">
  <location ref="A32:B42" firstHeaderRow="1" firstDataRow="1" firstDataCol="1"/>
  <pivotFields count="12">
    <pivotField showAll="0"/>
    <pivotField axis="axisRow" showAll="0" sortType="descending">
      <items count="10">
        <item x="5"/>
        <item x="0"/>
        <item x="6"/>
        <item x="3"/>
        <item x="1"/>
        <item x="4"/>
        <item x="2"/>
        <item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0">
    <i>
      <x v="5"/>
    </i>
    <i>
      <x v="1"/>
    </i>
    <i>
      <x v="6"/>
    </i>
    <i>
      <x v="8"/>
    </i>
    <i>
      <x v="3"/>
    </i>
    <i>
      <x v="2"/>
    </i>
    <i>
      <x v="4"/>
    </i>
    <i>
      <x/>
    </i>
    <i>
      <x v="7"/>
    </i>
    <i t="grand">
      <x/>
    </i>
  </rowItems>
  <colItems count="1">
    <i/>
  </colItems>
  <dataFields count="1">
    <dataField name="Soma de Total" fld="9" baseField="0" baseItem="0"/>
  </dataFields>
  <formats count="1">
    <format dxfId="30">
      <pivotArea outline="0" collapsedLevelsAreSubtotals="1" fieldPosition="0"/>
    </format>
  </formats>
  <chartFormats count="5"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32619A-B460-4885-B53D-7E0BE0FFEC34}" name="Tabela dinâmica1" cacheId="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A55:D61" firstHeaderRow="1" firstDataRow="2" firstDataCol="1"/>
  <pivotFields count="12">
    <pivotField showAll="0"/>
    <pivotField showAll="0">
      <items count="10">
        <item x="5"/>
        <item x="0"/>
        <item x="6"/>
        <item x="3"/>
        <item x="1"/>
        <item x="4"/>
        <item x="2"/>
        <item x="8"/>
        <item x="7"/>
        <item t="default"/>
      </items>
    </pivotField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dataField="1" numFmtId="16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 sortType="ascending">
      <items count="5">
        <item sd="0" x="0"/>
        <item sd="0" x="3"/>
        <item x="1"/>
        <item sd="0" x="2"/>
        <item t="default"/>
      </items>
    </pivotField>
  </pivotFields>
  <rowFields count="1">
    <field x="10"/>
  </rowFields>
  <rowItems count="5">
    <i>
      <x v="1"/>
    </i>
    <i>
      <x v="2"/>
    </i>
    <i>
      <x v="3"/>
    </i>
    <i>
      <x v="4"/>
    </i>
    <i t="grand">
      <x/>
    </i>
  </rowItems>
  <colFields count="1">
    <field x="11"/>
  </colFields>
  <colItems count="3">
    <i>
      <x v="2"/>
    </i>
    <i>
      <x v="3"/>
    </i>
    <i t="grand">
      <x/>
    </i>
  </colItems>
  <dataFields count="1">
    <dataField name="Soma de Total" fld="9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34497-4F8D-4032-BA77-E6DEE2AA87C1}" name="Tabela dinâmica3" cacheId="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2">
  <location ref="A64:B69" firstHeaderRow="1" firstDataRow="1" firstDataCol="1"/>
  <pivotFields count="12">
    <pivotField showAll="0"/>
    <pivotField showAll="0">
      <items count="10">
        <item x="5"/>
        <item x="0"/>
        <item x="6"/>
        <item x="3"/>
        <item x="1"/>
        <item x="4"/>
        <item x="2"/>
        <item x="8"/>
        <item x="7"/>
        <item t="default"/>
      </items>
    </pivotField>
    <pivotField dataField="1" showAll="0"/>
    <pivotField showAll="0"/>
    <pivotField axis="axisRow" showAll="0" sortType="a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2"/>
        <item x="0"/>
        <item x="3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5">
        <item x="0"/>
        <item x="1"/>
        <item x="2"/>
        <item x="3"/>
        <item t="default"/>
      </items>
    </pivotField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3"/>
    </i>
    <i>
      <x v="2"/>
    </i>
    <i>
      <x v="1"/>
    </i>
    <i t="grand">
      <x/>
    </i>
  </rowItems>
  <colItems count="1">
    <i/>
  </colItems>
  <dataFields count="1">
    <dataField name="Soma de Quantidade" fld="2" baseField="0" baseItem="0"/>
  </dataFields>
  <formats count="1">
    <format dxfId="31">
      <pivotArea outline="0" collapsedLevelsAreSubtotals="1" fieldPosition="0"/>
    </format>
  </formats>
  <chartFormats count="2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B0D52-1A5D-4447-8103-F765D80F0F9E}" name="Tabela dinâmica7" cacheId="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9">
  <location ref="A46:B51" firstHeaderRow="1" firstDataRow="1" firstDataCol="1"/>
  <pivotFields count="12">
    <pivotField showAll="0"/>
    <pivotField showAll="0">
      <items count="10">
        <item x="5"/>
        <item x="0"/>
        <item x="6"/>
        <item x="3"/>
        <item x="1"/>
        <item x="4"/>
        <item x="2"/>
        <item x="8"/>
        <item x="7"/>
        <item t="default"/>
      </items>
    </pivotField>
    <pivotField showAll="0"/>
    <pivotField showAll="0"/>
    <pivotField axis="axisRow" showAll="0" sortType="a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2"/>
        <item x="0"/>
        <item x="3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5">
        <item x="0"/>
        <item x="1"/>
        <item x="2"/>
        <item x="3"/>
        <item t="default"/>
      </items>
    </pivotField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3"/>
    </i>
    <i>
      <x v="1"/>
    </i>
    <i>
      <x v="2"/>
    </i>
    <i t="grand">
      <x/>
    </i>
  </rowItems>
  <colItems count="1">
    <i/>
  </colItems>
  <dataFields count="1">
    <dataField name="Soma de Total" fld="9" baseField="0" baseItem="0" numFmtId="44"/>
  </dataFields>
  <formats count="1">
    <format dxfId="32">
      <pivotArea outline="0" collapsedLevelsAreSubtotals="1" fieldPosition="0"/>
    </format>
  </formats>
  <chartFormats count="15"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6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8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8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8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C7998-8E11-4002-974F-2DD58FD5D735}" name="Tabela dinâmica4" cacheId="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3">
  <location ref="A18:B23" firstHeaderRow="1" firstDataRow="1" firstDataCol="1"/>
  <pivotFields count="12">
    <pivotField showAll="0"/>
    <pivotField showAll="0" sortType="descending">
      <items count="10">
        <item x="5"/>
        <item x="0"/>
        <item x="6"/>
        <item x="3"/>
        <item x="1"/>
        <item x="4"/>
        <item x="2"/>
        <item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>
      <items count="5">
        <item x="2"/>
        <item x="1"/>
        <item x="3"/>
        <item x="0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Quantidade" fld="2" baseField="0" baseItem="0"/>
  </dataFields>
  <chartFormats count="8"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8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8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8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1D58C-49E7-4CFA-BD19-4B4A545A933A}" name="Tabela dinâmica2" cacheId="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3:B13" firstHeaderRow="1" firstDataRow="1" firstDataCol="1"/>
  <pivotFields count="12">
    <pivotField showAll="0"/>
    <pivotField axis="axisRow" showAll="0">
      <items count="10">
        <item x="5"/>
        <item x="0"/>
        <item x="6"/>
        <item x="3"/>
        <item x="1"/>
        <item x="4"/>
        <item x="2"/>
        <item x="8"/>
        <item x="7"/>
        <item t="default"/>
      </items>
    </pivotField>
    <pivotField dataField="1" showAll="0"/>
    <pivotField showAll="0"/>
    <pivotField showAll="0">
      <items count="5">
        <item x="2"/>
        <item x="1"/>
        <item x="3"/>
        <item x="0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Quantidad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37829-D77C-40C6-B2D2-02F512EA3810}" name="Tabela dinâmica10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3">
  <location ref="A118:B127" firstHeaderRow="1" firstDataRow="1" firstDataCol="1"/>
  <pivotFields count="11">
    <pivotField showAll="0"/>
    <pivotField axis="axisRow" showAll="0">
      <items count="9">
        <item x="6"/>
        <item x="5"/>
        <item x="4"/>
        <item x="3"/>
        <item x="2"/>
        <item x="0"/>
        <item x="1"/>
        <item x="7"/>
        <item t="default"/>
      </items>
    </pivotField>
    <pivotField showAll="0"/>
    <pivotField dataField="1" showAll="0">
      <items count="6">
        <item x="3"/>
        <item x="0"/>
        <item x="4"/>
        <item x="1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9">
        <item x="3"/>
        <item x="4"/>
        <item x="5"/>
        <item x="7"/>
        <item x="0"/>
        <item x="1"/>
        <item x="2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4" showAll="0"/>
    <pivotField numFmtId="4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Quantidade" fld="3" baseField="0" baseItem="0"/>
  </dataFields>
  <formats count="1">
    <format dxfId="21">
      <pivotArea outline="0" collapsedLevelsAreSubtotals="1" fieldPosition="0"/>
    </format>
  </formats>
  <chartFormats count="18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2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9856F-3927-41A5-B325-EDB4574F38D2}" name="Tabela dinâmica9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3">
  <location ref="A109:B114" firstHeaderRow="1" firstDataRow="1" firstDataCol="1"/>
  <pivotFields count="11">
    <pivotField showAll="0"/>
    <pivotField showAll="0">
      <items count="9">
        <item x="6"/>
        <item x="5"/>
        <item x="4"/>
        <item x="3"/>
        <item x="2"/>
        <item x="0"/>
        <item x="1"/>
        <item x="7"/>
        <item t="default"/>
      </items>
    </pivotField>
    <pivotField showAll="0"/>
    <pivotField dataField="1" showAll="0">
      <items count="6">
        <item x="3"/>
        <item x="0"/>
        <item x="4"/>
        <item x="1"/>
        <item x="2"/>
        <item t="default"/>
      </items>
    </pivotField>
    <pivotField axis="axisRow" showAll="0" sortType="a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3"/>
        <item x="4"/>
        <item x="5"/>
        <item x="7"/>
        <item x="0"/>
        <item x="1"/>
        <item x="2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4" showAll="0"/>
    <pivotField numFmtId="4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5">
    <i>
      <x v="2"/>
    </i>
    <i>
      <x v="1"/>
    </i>
    <i>
      <x v="3"/>
    </i>
    <i>
      <x/>
    </i>
    <i t="grand">
      <x/>
    </i>
  </rowItems>
  <colItems count="1">
    <i/>
  </colItems>
  <dataFields count="1">
    <dataField name="Soma de Quantidade" fld="3" baseField="0" baseItem="0"/>
  </dataFields>
  <formats count="1">
    <format dxfId="22">
      <pivotArea outline="0" collapsedLevelsAreSubtotals="1" fieldPosition="0"/>
    </format>
  </format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CEE71-A4D3-458E-97F2-6E2991492E63}" name="Tabela dinâmica19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8">
  <location ref="A51:B88" firstHeaderRow="1" firstDataRow="1" firstDataCol="1"/>
  <pivotFields count="11">
    <pivotField showAll="0"/>
    <pivotField axis="axisRow" showAll="0">
      <items count="9">
        <item x="6"/>
        <item x="5"/>
        <item x="4"/>
        <item x="3"/>
        <item x="2"/>
        <item x="0"/>
        <item x="1"/>
        <item x="7"/>
        <item t="default"/>
      </items>
    </pivotField>
    <pivotField showAll="0"/>
    <pivotField showAll="0">
      <items count="6">
        <item x="3"/>
        <item x="0"/>
        <item x="4"/>
        <item x="1"/>
        <item x="2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>
      <items count="9">
        <item x="3"/>
        <item x="4"/>
        <item x="5"/>
        <item x="7"/>
        <item x="0"/>
        <item x="1"/>
        <item x="2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4" showAll="0"/>
    <pivotField numFmtId="4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4"/>
    <field x="1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Soma de Valor" fld="7" baseField="0" baseItem="0" numFmtId="165"/>
  </dataFields>
  <formats count="1">
    <format dxfId="23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47D7E-56A4-46FF-944F-BF6BCE788AA7}" name="Tabela dinâmica5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0">
  <location ref="A94:B103" firstHeaderRow="1" firstDataRow="1" firstDataCol="1"/>
  <pivotFields count="11">
    <pivotField showAll="0"/>
    <pivotField dataField="1" showAll="0">
      <items count="9">
        <item x="6"/>
        <item x="5"/>
        <item x="4"/>
        <item x="3"/>
        <item x="2"/>
        <item x="0"/>
        <item x="1"/>
        <item x="7"/>
        <item t="default"/>
      </items>
    </pivotField>
    <pivotField showAll="0"/>
    <pivotField showAll="0">
      <items count="6">
        <item x="3"/>
        <item x="0"/>
        <item x="4"/>
        <item x="1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Row" showAll="0">
      <items count="9">
        <item x="3"/>
        <item x="4"/>
        <item x="5"/>
        <item x="7"/>
        <item x="0"/>
        <item x="1"/>
        <item x="2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4" showAll="0"/>
    <pivotField numFmtId="4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Custo" fld="1" subtotal="count" baseField="1" baseItem="0"/>
  </dataFields>
  <formats count="1">
    <format dxfId="24">
      <pivotArea outline="0" collapsedLevelsAreSubtotals="1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96296-E4EC-4D20-812D-5BC506FE8A57}" name="Tabela dinâmica9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3">
  <location ref="A47:D53" firstHeaderRow="1" firstDataRow="2" firstDataCol="1"/>
  <pivotFields count="12">
    <pivotField showAll="0"/>
    <pivotField showAll="0">
      <items count="10">
        <item x="0"/>
        <item x="3"/>
        <item x="8"/>
        <item x="1"/>
        <item x="7"/>
        <item x="4"/>
        <item x="5"/>
        <item x="6"/>
        <item x="2"/>
        <item t="default"/>
      </items>
    </pivotField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4" showAll="0"/>
    <pivotField dataField="1" numFmtId="44" showAll="0"/>
    <pivotField numFmtId="4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x="1"/>
        <item x="2"/>
        <item sd="0" x="3"/>
        <item t="default"/>
      </items>
    </pivotField>
  </pivotFields>
  <rowFields count="1">
    <field x="10"/>
  </rowFields>
  <rowItems count="5">
    <i>
      <x v="1"/>
    </i>
    <i>
      <x v="2"/>
    </i>
    <i>
      <x v="3"/>
    </i>
    <i>
      <x v="4"/>
    </i>
    <i t="grand">
      <x/>
    </i>
  </rowItems>
  <colFields count="1">
    <field x="11"/>
  </colFields>
  <colItems count="3">
    <i>
      <x v="1"/>
    </i>
    <i>
      <x v="2"/>
    </i>
    <i t="grand">
      <x/>
    </i>
  </colItems>
  <dataFields count="1">
    <dataField name="Soma de Total" fld="8" baseField="0" baseItem="0" numFmtId="44"/>
  </dataFields>
  <formats count="1">
    <format dxfId="39">
      <pivotArea outline="0" collapsedLevelsAreSubtotals="1" fieldPosition="0"/>
    </format>
  </formats>
  <chartFormats count="1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8A7CA-4EBF-4B16-B4D4-BF42DDADE811}" name="Tabela dinâmica15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A31:B40" firstHeaderRow="1" firstDataRow="1" firstDataCol="1"/>
  <pivotFields count="11">
    <pivotField showAll="0"/>
    <pivotField showAll="0">
      <items count="9">
        <item x="6"/>
        <item x="5"/>
        <item x="4"/>
        <item x="3"/>
        <item x="2"/>
        <item x="0"/>
        <item x="1"/>
        <item x="7"/>
        <item t="default"/>
      </items>
    </pivotField>
    <pivotField showAll="0"/>
    <pivotField showAll="0">
      <items count="6">
        <item x="3"/>
        <item x="0"/>
        <item x="4"/>
        <item x="1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Row" showAll="0" sortType="descending">
      <items count="9">
        <item x="3"/>
        <item x="4"/>
        <item x="5"/>
        <item x="7"/>
        <item x="0"/>
        <item x="1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4" showAll="0"/>
    <pivotField numFmtId="4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5"/>
  </rowFields>
  <rowItems count="9">
    <i>
      <x/>
    </i>
    <i>
      <x v="7"/>
    </i>
    <i>
      <x v="6"/>
    </i>
    <i>
      <x v="2"/>
    </i>
    <i>
      <x v="4"/>
    </i>
    <i>
      <x v="5"/>
    </i>
    <i>
      <x v="3"/>
    </i>
    <i>
      <x v="1"/>
    </i>
    <i t="grand">
      <x/>
    </i>
  </rowItems>
  <colItems count="1">
    <i/>
  </colItems>
  <dataFields count="1">
    <dataField name="Soma de Valor" fld="7" baseField="0" baseItem="0" numFmtId="44"/>
  </dataFields>
  <formats count="1">
    <format dxfId="25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D3486E-C069-45C8-B592-D2D982BA330F}" name="Tabela dinâmica14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A24:D30" firstHeaderRow="1" firstDataRow="2" firstDataCol="1"/>
  <pivotFields count="11">
    <pivotField showAll="0"/>
    <pivotField showAll="0">
      <items count="9">
        <item x="6"/>
        <item x="5"/>
        <item x="4"/>
        <item x="3"/>
        <item x="2"/>
        <item x="0"/>
        <item x="1"/>
        <item x="7"/>
        <item t="default"/>
      </items>
    </pivotField>
    <pivotField showAll="0"/>
    <pivotField showAll="0">
      <items count="6">
        <item x="3"/>
        <item x="0"/>
        <item x="4"/>
        <item x="1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9">
        <item x="3"/>
        <item x="4"/>
        <item x="5"/>
        <item x="7"/>
        <item x="0"/>
        <item x="1"/>
        <item x="2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4" showAll="0"/>
    <pivotField numFmtId="4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9"/>
  </rowFields>
  <rowItems count="5">
    <i>
      <x v="1"/>
    </i>
    <i>
      <x v="2"/>
    </i>
    <i>
      <x v="3"/>
    </i>
    <i>
      <x v="4"/>
    </i>
    <i t="grand">
      <x/>
    </i>
  </rowItems>
  <colFields count="1">
    <field x="10"/>
  </colFields>
  <colItems count="3">
    <i>
      <x v="1"/>
    </i>
    <i>
      <x v="2"/>
    </i>
    <i t="grand">
      <x/>
    </i>
  </colItems>
  <dataFields count="1">
    <dataField name="Soma de Valor" fld="7" baseField="0" baseItem="0"/>
  </dataFields>
  <chartFormats count="6">
    <chartFormat chart="0" format="2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1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9EE06-2C72-4652-B89E-B89FCAD29863}" name="Tabela dinâmica13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0">
  <location ref="A16:B21" firstHeaderRow="1" firstDataRow="1" firstDataCol="1"/>
  <pivotFields count="11">
    <pivotField showAll="0"/>
    <pivotField showAll="0">
      <items count="9">
        <item x="6"/>
        <item x="5"/>
        <item x="4"/>
        <item x="3"/>
        <item x="2"/>
        <item x="0"/>
        <item x="1"/>
        <item x="7"/>
        <item t="default"/>
      </items>
    </pivotField>
    <pivotField showAll="0"/>
    <pivotField showAll="0"/>
    <pivotField axis="axisRow" showAll="0" sortType="a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3"/>
        <item x="4"/>
        <item x="5"/>
        <item x="7"/>
        <item x="0"/>
        <item x="1"/>
        <item x="2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4" showAll="0"/>
    <pivotField numFmtId="4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 v="1"/>
    </i>
    <i>
      <x v="2"/>
    </i>
    <i>
      <x v="3"/>
    </i>
    <i>
      <x/>
    </i>
    <i t="grand">
      <x/>
    </i>
  </rowItems>
  <colItems count="1">
    <i/>
  </colItems>
  <dataFields count="1">
    <dataField name="Soma de Valor" fld="7" baseField="0" baseItem="0" numFmtId="44"/>
  </dataFields>
  <formats count="1">
    <format dxfId="26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AADFF-A29F-4AA1-9E34-2F7D19947866}" name="Tabela dinâmica12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3">
  <location ref="A3:B12" firstHeaderRow="1" firstDataRow="1" firstDataCol="1"/>
  <pivotFields count="11">
    <pivotField showAll="0"/>
    <pivotField axis="axisRow" showAll="0" sortType="descending">
      <items count="9">
        <item x="6"/>
        <item x="5"/>
        <item x="4"/>
        <item x="3"/>
        <item x="2"/>
        <item x="0"/>
        <item x="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5">
        <item x="3"/>
        <item x="1"/>
        <item x="0"/>
        <item x="2"/>
        <item t="default"/>
      </items>
    </pivotField>
    <pivotField showAll="0">
      <items count="9">
        <item x="3"/>
        <item x="4"/>
        <item x="5"/>
        <item x="7"/>
        <item x="0"/>
        <item x="1"/>
        <item x="2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4" showAll="0"/>
    <pivotField numFmtId="4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9">
    <i>
      <x v="3"/>
    </i>
    <i>
      <x/>
    </i>
    <i>
      <x v="4"/>
    </i>
    <i>
      <x v="1"/>
    </i>
    <i>
      <x v="5"/>
    </i>
    <i>
      <x v="6"/>
    </i>
    <i>
      <x v="7"/>
    </i>
    <i>
      <x v="2"/>
    </i>
    <i t="grand">
      <x/>
    </i>
  </rowItems>
  <colItems count="1">
    <i/>
  </colItems>
  <dataFields count="1">
    <dataField name="Soma de Valor" fld="7" baseField="0" baseItem="0" numFmtId="44"/>
  </dataFields>
  <formats count="1">
    <format dxfId="27">
      <pivotArea outline="0" collapsedLevelsAreSubtotals="1" fieldPosition="0"/>
    </format>
  </formats>
  <chartFormats count="1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2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B2699-D6D1-4EC0-8578-B3EBCE6631C1}" name="Tabela dinâmica24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A10:B15" firstHeaderRow="1" firstDataRow="1" firstDataCol="1"/>
  <pivotFields count="11">
    <pivotField showAll="0"/>
    <pivotField showAll="0"/>
    <pivotField showAll="0">
      <items count="10">
        <item x="2"/>
        <item x="8"/>
        <item x="7"/>
        <item x="4"/>
        <item x="5"/>
        <item x="3"/>
        <item x="0"/>
        <item x="1"/>
        <item x="6"/>
        <item t="default"/>
      </items>
    </pivotField>
    <pivotField axis="axisRow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4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Soma de Valor" fld="6" baseField="0" baseItem="0" numFmtId="44"/>
  </dataFields>
  <formats count="1">
    <format dxfId="16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6F91A-7E0B-45AC-816D-AB950CF3CCAE}" name="Tabela dinâmica7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A170:D181" firstHeaderRow="1" firstDataRow="2" firstDataCol="1"/>
  <pivotFields count="11">
    <pivotField showAll="0"/>
    <pivotField showAll="0"/>
    <pivotField axis="axisRow" dataField="1" showAll="0">
      <items count="10">
        <item x="2"/>
        <item x="8"/>
        <item x="7"/>
        <item x="4"/>
        <item x="5"/>
        <item x="3"/>
        <item x="0"/>
        <item x="1"/>
        <item x="6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4" showAll="0"/>
    <pivotField showAll="0">
      <items count="9">
        <item x="6"/>
        <item x="2"/>
        <item x="1"/>
        <item x="3"/>
        <item x="0"/>
        <item x="7"/>
        <item x="5"/>
        <item x="4"/>
        <item t="default"/>
      </items>
    </pivotField>
    <pivotField showAll="0">
      <items count="11">
        <item x="5"/>
        <item x="9"/>
        <item x="0"/>
        <item x="4"/>
        <item x="6"/>
        <item x="8"/>
        <item x="7"/>
        <item x="1"/>
        <item x="3"/>
        <item x="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0"/>
  </colFields>
  <colItems count="3">
    <i>
      <x v="1"/>
    </i>
    <i>
      <x v="2"/>
    </i>
    <i t="grand">
      <x/>
    </i>
  </colItems>
  <dataFields count="1">
    <dataField name="Contagem de Equipament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B484D-C62D-4658-AF83-D031598607B9}" name="Tabela dinâmica2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A55:B59" firstHeaderRow="1" firstDataRow="1" firstDataCol="1"/>
  <pivotFields count="11">
    <pivotField showAll="0"/>
    <pivotField showAll="0"/>
    <pivotField dataField="1" showAll="0">
      <items count="10">
        <item x="2"/>
        <item x="8"/>
        <item x="7"/>
        <item x="4"/>
        <item x="5"/>
        <item x="3"/>
        <item x="0"/>
        <item x="1"/>
        <item x="6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4" showAll="0"/>
    <pivotField showAll="0">
      <items count="9">
        <item x="6"/>
        <item x="2"/>
        <item x="1"/>
        <item x="3"/>
        <item x="0"/>
        <item x="7"/>
        <item x="5"/>
        <item x="4"/>
        <item t="default"/>
      </items>
    </pivotField>
    <pivotField showAll="0">
      <items count="11">
        <item x="5"/>
        <item x="9"/>
        <item x="0"/>
        <item x="4"/>
        <item x="6"/>
        <item x="8"/>
        <item x="7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Equipamento" fld="2" subtotal="count" baseField="0" baseItem="0"/>
  </dataFields>
  <chartFormats count="8">
    <chartFormat chart="6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13CE3-13C6-4F34-B362-DA4E8B3B4A7B}" name="Tabela dinâmica1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45:D51" firstHeaderRow="1" firstDataRow="2" firstDataCol="1"/>
  <pivotFields count="11">
    <pivotField showAll="0"/>
    <pivotField showAll="0"/>
    <pivotField showAll="0">
      <items count="10">
        <item x="2"/>
        <item x="8"/>
        <item x="7"/>
        <item x="4"/>
        <item x="5"/>
        <item x="3"/>
        <item x="0"/>
        <item x="1"/>
        <item x="6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4" showAll="0"/>
    <pivotField showAll="0">
      <items count="9">
        <item x="6"/>
        <item x="2"/>
        <item x="1"/>
        <item x="3"/>
        <item x="0"/>
        <item x="7"/>
        <item x="5"/>
        <item x="4"/>
        <item t="default"/>
      </items>
    </pivotField>
    <pivotField showAll="0">
      <items count="11">
        <item x="5"/>
        <item x="9"/>
        <item x="0"/>
        <item x="4"/>
        <item x="6"/>
        <item x="8"/>
        <item x="7"/>
        <item x="1"/>
        <item x="3"/>
        <item x="2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9"/>
  </rowFields>
  <rowItems count="5">
    <i>
      <x v="1"/>
    </i>
    <i>
      <x v="2"/>
    </i>
    <i>
      <x v="3"/>
    </i>
    <i>
      <x v="4"/>
    </i>
    <i t="grand">
      <x/>
    </i>
  </rowItems>
  <colFields count="1">
    <field x="10"/>
  </colFields>
  <colItems count="3">
    <i>
      <x v="1"/>
    </i>
    <i>
      <x v="2"/>
    </i>
    <i t="grand">
      <x/>
    </i>
  </colItems>
  <dataFields count="1">
    <dataField name="Soma de Valor" fld="6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ACA6AE-AC15-4550-8F0F-3165ED16F9E6}" name="Tabela dinâmica25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30:B41" firstHeaderRow="1" firstDataRow="1" firstDataCol="1"/>
  <pivotFields count="11">
    <pivotField showAll="0"/>
    <pivotField showAll="0"/>
    <pivotField showAll="0">
      <items count="10">
        <item x="2"/>
        <item x="8"/>
        <item x="7"/>
        <item x="4"/>
        <item x="5"/>
        <item x="3"/>
        <item x="0"/>
        <item x="1"/>
        <item x="6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4" showAll="0"/>
    <pivotField dataField="1" showAll="0">
      <items count="9">
        <item x="6"/>
        <item x="2"/>
        <item x="1"/>
        <item x="3"/>
        <item x="0"/>
        <item x="7"/>
        <item x="5"/>
        <item x="4"/>
        <item t="default"/>
      </items>
    </pivotField>
    <pivotField axis="axisRow" showAll="0">
      <items count="11">
        <item x="5"/>
        <item x="9"/>
        <item x="0"/>
        <item x="4"/>
        <item x="6"/>
        <item x="8"/>
        <item x="7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ntagem de Fornecedor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729F7-64E2-4809-8551-E7CD41BF726B}" name="Tabela dinâmica3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A63:A153" firstHeaderRow="1" firstDataRow="1" firstDataCol="1"/>
  <pivotFields count="11">
    <pivotField showAll="0"/>
    <pivotField showAll="0"/>
    <pivotField axis="axisRow" showAll="0">
      <items count="10">
        <item x="2"/>
        <item x="8"/>
        <item x="7"/>
        <item x="4"/>
        <item x="5"/>
        <item x="3"/>
        <item x="0"/>
        <item x="1"/>
        <item x="6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4" showAll="0"/>
    <pivotField showAll="0">
      <items count="9">
        <item x="6"/>
        <item x="2"/>
        <item x="1"/>
        <item x="3"/>
        <item x="0"/>
        <item x="7"/>
        <item x="5"/>
        <item x="4"/>
        <item t="default"/>
      </items>
    </pivotField>
    <pivotField axis="axisRow" showAll="0">
      <items count="11">
        <item x="5"/>
        <item x="9"/>
        <item x="0"/>
        <item x="4"/>
        <item x="6"/>
        <item x="8"/>
        <item x="7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8"/>
    <field x="2"/>
  </rowFields>
  <rowItems count="90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1"/>
    </i>
    <i r="1">
      <x v="2"/>
    </i>
    <i r="1">
      <x v="3"/>
    </i>
    <i r="1">
      <x v="4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>
      <x v="6"/>
    </i>
    <i r="1">
      <x/>
    </i>
    <i r="1">
      <x v="2"/>
    </i>
    <i r="1">
      <x v="3"/>
    </i>
    <i r="1">
      <x v="4"/>
    </i>
    <i r="1">
      <x v="5"/>
    </i>
    <i r="1">
      <x v="7"/>
    </i>
    <i r="1">
      <x v="8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B754E0-4597-4212-873C-9E42EFC46A1A}" name="Tabela dinâmica7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 fieldListSortAscending="1">
  <location ref="A28:B33" firstHeaderRow="1" firstDataRow="1" firstDataCol="1"/>
  <pivotFields count="12">
    <pivotField showAll="0"/>
    <pivotField showAll="0">
      <items count="10">
        <item x="0"/>
        <item x="3"/>
        <item x="8"/>
        <item x="1"/>
        <item x="7"/>
        <item x="4"/>
        <item x="5"/>
        <item x="6"/>
        <item x="2"/>
        <item t="default"/>
      </items>
    </pivotField>
    <pivotField showAll="0"/>
    <pivotField showAll="0"/>
    <pivotField axis="axisRow" showAll="0" sortType="a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2"/>
        <item x="1"/>
        <item x="3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4" showAll="0"/>
    <pivotField dataField="1" numFmtId="44" showAll="0"/>
    <pivotField numFmtId="4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Soma de Total" fld="8" baseField="0" baseItem="0" numFmtId="44"/>
  </dataFields>
  <formats count="1">
    <format dxfId="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89F33-F712-4E5A-AAEA-A89CB893A4A7}" name="Tabela dinâmica23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A3:B7" firstHeaderRow="1" firstDataRow="1" firstDataCol="1"/>
  <pivotFields count="11">
    <pivotField showAll="0"/>
    <pivotField showAll="0"/>
    <pivotField showAll="0">
      <items count="10">
        <item x="2"/>
        <item x="8"/>
        <item x="7"/>
        <item x="4"/>
        <item x="5"/>
        <item x="3"/>
        <item x="0"/>
        <item x="1"/>
        <item x="6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4" showAll="0"/>
    <pivotField showAll="0">
      <items count="9">
        <item x="6"/>
        <item x="2"/>
        <item x="1"/>
        <item x="3"/>
        <item x="0"/>
        <item x="7"/>
        <item x="5"/>
        <item x="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oma de Valor" fld="6" baseField="0" baseItem="0" numFmtId="44"/>
  </dataFields>
  <formats count="1">
    <format dxfId="17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862B39-7EFD-4D16-BFF1-98F10E3202F5}" name="Tabela dinâmica4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A156:B166" firstHeaderRow="1" firstDataRow="1" firstDataCol="1"/>
  <pivotFields count="11">
    <pivotField showAll="0"/>
    <pivotField showAll="0"/>
    <pivotField axis="axisRow" dataField="1" showAll="0">
      <items count="10">
        <item x="2"/>
        <item x="8"/>
        <item x="7"/>
        <item x="4"/>
        <item x="5"/>
        <item x="3"/>
        <item x="0"/>
        <item x="1"/>
        <item x="6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4" showAll="0"/>
    <pivotField showAll="0">
      <items count="9">
        <item x="6"/>
        <item x="2"/>
        <item x="1"/>
        <item x="3"/>
        <item x="0"/>
        <item x="7"/>
        <item x="5"/>
        <item x="4"/>
        <item t="default"/>
      </items>
    </pivotField>
    <pivotField showAll="0">
      <items count="11">
        <item x="5"/>
        <item x="9"/>
        <item x="0"/>
        <item x="4"/>
        <item x="6"/>
        <item x="8"/>
        <item x="7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ntagem de Equipament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FCC58-88CB-4855-92B9-2F250376D19E}" name="Tabela dinâmica22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A17:B27" firstHeaderRow="1" firstDataRow="1" firstDataCol="1"/>
  <pivotFields count="11">
    <pivotField showAll="0"/>
    <pivotField showAll="0"/>
    <pivotField axis="axisRow" showAll="0" sortType="descending">
      <items count="10">
        <item x="2"/>
        <item x="8"/>
        <item x="7"/>
        <item x="4"/>
        <item x="5"/>
        <item x="3"/>
        <item x="0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2"/>
        <item x="1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4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0">
    <i>
      <x/>
    </i>
    <i>
      <x v="8"/>
    </i>
    <i>
      <x v="1"/>
    </i>
    <i>
      <x v="7"/>
    </i>
    <i>
      <x v="3"/>
    </i>
    <i>
      <x v="6"/>
    </i>
    <i>
      <x v="2"/>
    </i>
    <i>
      <x v="5"/>
    </i>
    <i>
      <x v="4"/>
    </i>
    <i t="grand">
      <x/>
    </i>
  </rowItems>
  <colItems count="1">
    <i/>
  </colItems>
  <dataFields count="1">
    <dataField name="Soma de Valor" fld="6" baseField="0" baseItem="0" numFmtId="44"/>
  </dataFields>
  <formats count="1">
    <format dxfId="18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B2EC6-6C08-41A4-971C-06A99E4E0055}" name="Tabela dinâmica11" cacheId="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1">
  <location ref="A57:B62" firstHeaderRow="1" firstDataRow="1" firstDataCol="1"/>
  <pivotFields count="11">
    <pivotField showAll="0"/>
    <pivotField showAll="0">
      <items count="7">
        <item x="3"/>
        <item x="5"/>
        <item x="4"/>
        <item x="0"/>
        <item x="2"/>
        <item x="1"/>
        <item t="default"/>
      </items>
    </pivotField>
    <pivotField showAll="0"/>
    <pivotField dataField="1" showAll="0"/>
    <pivotField axis="axisRow" showAll="0" sortType="a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21">
        <item x="9"/>
        <item x="2"/>
        <item x="13"/>
        <item x="14"/>
        <item x="15"/>
        <item x="5"/>
        <item x="18"/>
        <item x="6"/>
        <item x="8"/>
        <item x="1"/>
        <item x="7"/>
        <item x="19"/>
        <item x="11"/>
        <item x="3"/>
        <item x="17"/>
        <item x="12"/>
        <item x="4"/>
        <item x="0"/>
        <item x="10"/>
        <item x="16"/>
        <item t="default"/>
      </items>
    </pivotField>
    <pivotField numFmtId="44"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 v="2"/>
    </i>
    <i>
      <x/>
    </i>
    <i>
      <x v="3"/>
    </i>
    <i>
      <x v="1"/>
    </i>
    <i t="grand">
      <x/>
    </i>
  </rowItems>
  <colItems count="1">
    <i/>
  </colItems>
  <dataFields count="1">
    <dataField name="Soma de Quantidade" fld="3" baseField="0" baseItem="0"/>
  </dataFields>
  <formats count="1">
    <format dxfId="7">
      <pivotArea outline="0" collapsedLevelsAreSubtotals="1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9E0A9-21C6-41BE-9047-C56E8C5217D5}" name="Tabela dinâmica10" cacheId="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2">
  <location ref="A43:D51" firstHeaderRow="1" firstDataRow="2" firstDataCol="1"/>
  <pivotFields count="11">
    <pivotField showAll="0"/>
    <pivotField axis="axisRow" showAll="0" sortType="descending">
      <items count="7">
        <item x="3"/>
        <item x="5"/>
        <item x="4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5">
        <item x="3"/>
        <item x="2"/>
        <item x="1"/>
        <item x="0"/>
        <item t="default"/>
      </items>
    </pivotField>
    <pivotField numFmtId="14" showAll="0">
      <items count="21">
        <item x="9"/>
        <item x="2"/>
        <item x="13"/>
        <item x="14"/>
        <item x="15"/>
        <item x="5"/>
        <item x="18"/>
        <item x="6"/>
        <item x="8"/>
        <item x="1"/>
        <item x="7"/>
        <item x="19"/>
        <item x="11"/>
        <item x="3"/>
        <item x="17"/>
        <item x="12"/>
        <item x="4"/>
        <item x="0"/>
        <item x="10"/>
        <item x="16"/>
        <item t="default"/>
      </items>
    </pivotField>
    <pivotField numFmtId="44" showAll="0"/>
    <pivotField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7">
    <i>
      <x v="3"/>
    </i>
    <i>
      <x v="1"/>
    </i>
    <i>
      <x v="4"/>
    </i>
    <i>
      <x v="5"/>
    </i>
    <i>
      <x v="2"/>
    </i>
    <i>
      <x/>
    </i>
    <i t="grand">
      <x/>
    </i>
  </rowItems>
  <colFields count="1">
    <field x="10"/>
  </colFields>
  <colItems count="3">
    <i>
      <x v="1"/>
    </i>
    <i>
      <x v="2"/>
    </i>
    <i t="grand">
      <x/>
    </i>
  </colItems>
  <dataFields count="1">
    <dataField name="Soma de Quantidade" fld="3" baseField="0" baseItem="0"/>
  </dataField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1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1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BB071-0577-4C6A-8EF7-21C6A47840D0}" name="Tabela dinâmica3" cacheId="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2">
  <location ref="A3:B10" firstHeaderRow="1" firstDataRow="1" firstDataCol="1"/>
  <pivotFields count="11">
    <pivotField showAll="0"/>
    <pivotField axis="axisRow" showAll="0" sortType="descending">
      <items count="7">
        <item x="3"/>
        <item x="5"/>
        <item x="4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5">
        <item x="3"/>
        <item x="2"/>
        <item x="1"/>
        <item x="0"/>
        <item t="default"/>
      </items>
    </pivotField>
    <pivotField numFmtId="14" showAll="0">
      <items count="21">
        <item x="9"/>
        <item x="2"/>
        <item x="13"/>
        <item x="14"/>
        <item x="15"/>
        <item x="5"/>
        <item x="18"/>
        <item x="6"/>
        <item x="8"/>
        <item x="1"/>
        <item x="7"/>
        <item x="19"/>
        <item x="11"/>
        <item x="3"/>
        <item x="17"/>
        <item x="12"/>
        <item x="4"/>
        <item x="0"/>
        <item x="10"/>
        <item x="16"/>
        <item t="default"/>
      </items>
    </pivotField>
    <pivotField numFmtId="44"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7">
    <i>
      <x v="3"/>
    </i>
    <i>
      <x v="1"/>
    </i>
    <i>
      <x v="4"/>
    </i>
    <i>
      <x v="5"/>
    </i>
    <i>
      <x v="2"/>
    </i>
    <i>
      <x/>
    </i>
    <i t="grand">
      <x/>
    </i>
  </rowItems>
  <colItems count="1">
    <i/>
  </colItems>
  <dataFields count="1">
    <dataField name="Soma de Quantidade" fld="3" baseField="0" baseItem="0"/>
  </dataField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1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1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5587E-5196-4E57-A853-9F8B507F9D15}" name="Tabela dinâmica9" cacheId="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8">
  <location ref="A24:B29" firstHeaderRow="1" firstDataRow="1" firstDataCol="1"/>
  <pivotFields count="11">
    <pivotField showAll="0"/>
    <pivotField showAll="0">
      <items count="7">
        <item x="3"/>
        <item x="5"/>
        <item x="4"/>
        <item x="0"/>
        <item x="2"/>
        <item x="1"/>
        <item t="default"/>
      </items>
    </pivotField>
    <pivotField showAll="0"/>
    <pivotField showAll="0"/>
    <pivotField axis="axisRow" showAll="0" sortType="a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21">
        <item x="9"/>
        <item x="2"/>
        <item x="13"/>
        <item x="14"/>
        <item x="15"/>
        <item x="5"/>
        <item x="18"/>
        <item x="6"/>
        <item x="8"/>
        <item x="1"/>
        <item x="7"/>
        <item x="19"/>
        <item x="11"/>
        <item x="3"/>
        <item x="17"/>
        <item x="12"/>
        <item x="4"/>
        <item x="0"/>
        <item x="10"/>
        <item x="16"/>
        <item t="default"/>
      </items>
    </pivotField>
    <pivotField numFmtId="4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 v="2"/>
    </i>
    <i>
      <x v="3"/>
    </i>
    <i>
      <x/>
    </i>
    <i>
      <x v="1"/>
    </i>
    <i t="grand">
      <x/>
    </i>
  </rowItems>
  <colItems count="1">
    <i/>
  </colItems>
  <dataFields count="1">
    <dataField name="Soma de Total" fld="7" baseField="0" baseItem="0"/>
  </dataFields>
  <formats count="1">
    <format dxfId="8">
      <pivotArea outline="0" collapsedLevelsAreSubtotals="1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EEFF6-F42A-4198-86C4-4A9A96FC53D3}" name="Tabela dinâmica6" cacheId="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1">
  <location ref="A33:D39" firstHeaderRow="1" firstDataRow="2" firstDataCol="1"/>
  <pivotFields count="11">
    <pivotField showAll="0"/>
    <pivotField showAll="0">
      <items count="7">
        <item x="3"/>
        <item x="5"/>
        <item x="4"/>
        <item x="0"/>
        <item x="2"/>
        <item x="1"/>
        <item t="default"/>
      </items>
    </pivotField>
    <pivotField showAll="0"/>
    <pivotField showAll="0"/>
    <pivotField showAll="0" sortType="descending">
      <items count="5">
        <item sd="0" x="3"/>
        <item sd="0" x="2"/>
        <item sd="0" x="1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21">
        <item x="9"/>
        <item x="2"/>
        <item x="13"/>
        <item x="14"/>
        <item x="15"/>
        <item x="5"/>
        <item x="18"/>
        <item x="6"/>
        <item x="8"/>
        <item x="1"/>
        <item x="7"/>
        <item x="19"/>
        <item x="11"/>
        <item x="3"/>
        <item x="17"/>
        <item x="12"/>
        <item x="4"/>
        <item x="0"/>
        <item x="10"/>
        <item x="16"/>
        <item t="default"/>
      </items>
    </pivotField>
    <pivotField numFmtId="44" showAll="0"/>
    <pivotField dataField="1"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5">
    <i>
      <x v="1"/>
    </i>
    <i>
      <x v="2"/>
    </i>
    <i>
      <x v="3"/>
    </i>
    <i>
      <x v="4"/>
    </i>
    <i t="grand">
      <x/>
    </i>
  </rowItems>
  <colFields count="1">
    <field x="10"/>
  </colFields>
  <colItems count="3">
    <i>
      <x v="1"/>
    </i>
    <i>
      <x v="2"/>
    </i>
    <i t="grand">
      <x/>
    </i>
  </colItems>
  <dataFields count="1">
    <dataField name="Soma de Total" fld="7" baseField="0" baseItem="0"/>
  </dataFields>
  <formats count="1">
    <format dxfId="9">
      <pivotArea outline="0" collapsedLevelsAreSubtotals="1" fieldPosition="0"/>
    </format>
  </format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09EC12-87FA-4472-BF31-7F881F8EDD5B}" name="Tabela dinâmica8" cacheId="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2">
  <location ref="A14:B21" firstHeaderRow="1" firstDataRow="1" firstDataCol="1"/>
  <pivotFields count="11">
    <pivotField showAll="0"/>
    <pivotField axis="axisRow" showAll="0" sortType="descending">
      <items count="7">
        <item x="3"/>
        <item x="5"/>
        <item x="4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numFmtId="14" showAll="0">
      <items count="21">
        <item x="9"/>
        <item x="2"/>
        <item x="13"/>
        <item x="14"/>
        <item x="15"/>
        <item x="5"/>
        <item x="18"/>
        <item x="6"/>
        <item x="8"/>
        <item x="1"/>
        <item x="7"/>
        <item x="19"/>
        <item x="11"/>
        <item x="3"/>
        <item x="17"/>
        <item x="12"/>
        <item x="4"/>
        <item x="0"/>
        <item x="10"/>
        <item x="16"/>
        <item t="default"/>
      </items>
    </pivotField>
    <pivotField numFmtId="4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7">
    <i>
      <x/>
    </i>
    <i>
      <x v="3"/>
    </i>
    <i>
      <x v="1"/>
    </i>
    <i>
      <x v="2"/>
    </i>
    <i>
      <x v="5"/>
    </i>
    <i>
      <x v="4"/>
    </i>
    <i t="grand">
      <x/>
    </i>
  </rowItems>
  <colItems count="1">
    <i/>
  </colItems>
  <dataFields count="1">
    <dataField name="Soma de Total" fld="7" baseField="0" baseItem="0"/>
  </dataFields>
  <formats count="1">
    <format dxfId="10">
      <pivotArea outline="0" collapsedLevelsAreSubtotals="1" fieldPosition="0"/>
    </format>
  </format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F00FC-6C76-4010-AB0E-3FCFFC2BE6DE}" name="Tabela dinâmica1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26:O35" firstHeaderRow="1" firstDataRow="3" firstDataCol="1"/>
  <pivotFields count="5">
    <pivotField axis="axisCol" showAll="0">
      <items count="4">
        <item x="2"/>
        <item x="0"/>
        <item x="1"/>
        <item t="default"/>
      </items>
    </pivotField>
    <pivotField dataField="1" numFmtId="44" showAll="0"/>
    <pivotField axis="axisRow" numFmtId="9" showAll="0">
      <items count="4">
        <item x="1"/>
        <item x="0"/>
        <item x="2"/>
        <item t="default"/>
      </items>
    </pivotField>
    <pivotField dataField="1" showAll="0"/>
    <pivotField axis="axisRow" numFmtId="9" showAll="0">
      <items count="4">
        <item x="1"/>
        <item x="0"/>
        <item x="2"/>
        <item t="default"/>
      </items>
    </pivotField>
  </pivotFields>
  <rowFields count="2">
    <field x="2"/>
    <field x="4"/>
  </rowFields>
  <rowItems count="7">
    <i>
      <x/>
    </i>
    <i r="1">
      <x/>
    </i>
    <i>
      <x v="1"/>
    </i>
    <i r="1">
      <x v="1"/>
    </i>
    <i>
      <x v="2"/>
    </i>
    <i r="1">
      <x v="2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oma de TOTAL" fld="1" baseField="0" baseItem="0"/>
    <dataField name="Soma de QUANTIDAD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FFB35-79F5-4202-9E81-40AD3A12D599}" name="Tabela dinâmica1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8" fieldListSortAscending="1">
  <location ref="A18:B23" firstHeaderRow="1" firstDataRow="1" firstDataCol="1"/>
  <pivotFields count="12">
    <pivotField showAll="0"/>
    <pivotField showAll="0">
      <items count="10">
        <item x="0"/>
        <item x="3"/>
        <item x="8"/>
        <item x="1"/>
        <item x="7"/>
        <item x="4"/>
        <item x="5"/>
        <item x="6"/>
        <item x="2"/>
        <item t="default"/>
      </items>
    </pivotField>
    <pivotField showAll="0"/>
    <pivotField dataField="1" showAll="0"/>
    <pivotField axis="axisRow" showAll="0" sortType="a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2"/>
        <item x="1"/>
        <item x="3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4" showAll="0"/>
    <pivotField numFmtId="44" showAll="0"/>
    <pivotField numFmtId="4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Soma de Quantidade" fld="3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898389-9BB4-466B-B1EF-1D5A4B7C06E1}" name="Tabela dinâmica16" cacheId="5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16:B19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3"/>
    <field x="2"/>
    <field x="0"/>
  </rowFields>
  <rowItems count="3">
    <i>
      <x v="1"/>
    </i>
    <i>
      <x v="2"/>
    </i>
    <i t="grand">
      <x/>
    </i>
  </rowItems>
  <colItems count="1">
    <i/>
  </colItems>
  <dataFields count="1">
    <dataField name="Soma de Total do Cust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B684D-AD91-49C7-B5E4-8E6BAF7FAAC0}" name="Tabela dinâmica19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5:C28" firstHeaderRow="0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9" showAll="0">
      <items count="3">
        <item x="1"/>
        <item x="0"/>
        <item t="default"/>
      </items>
    </pivotField>
    <pivotField dataField="1" numFmtId="9" showAll="0">
      <items count="3">
        <item x="1"/>
        <item x="0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4"/>
    <field x="3"/>
    <field x="0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% PARTICIPAÇÃO" fld="1" baseField="0" baseItem="0"/>
    <dataField name="Soma de % PARTICIPAÇÃO2" fld="2" baseField="0" baseItem="0"/>
  </dataFields>
  <formats count="3">
    <format dxfId="6">
      <pivotArea collapsedLevelsAreSubtotals="1" fieldPosition="0">
        <references count="1">
          <reference field="4" count="1">
            <x v="1"/>
          </reference>
        </references>
      </pivotArea>
    </format>
    <format dxfId="5">
      <pivotArea collapsedLevelsAreSubtotals="1" fieldPosition="0">
        <references count="1">
          <reference field="4" count="1">
            <x v="2"/>
          </reference>
        </references>
      </pivotArea>
    </format>
    <format dxfId="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F67C0-F04D-4755-8D82-D4CA56BD8C3B}" name="Tabela dinâmica6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8">
  <location ref="A3:B13" firstHeaderRow="1" firstDataRow="1" firstDataCol="1"/>
  <pivotFields count="12">
    <pivotField showAll="0"/>
    <pivotField axis="axisRow" showAll="0" sortType="descending">
      <items count="10">
        <item x="0"/>
        <item x="3"/>
        <item x="8"/>
        <item x="1"/>
        <item x="7"/>
        <item x="4"/>
        <item x="5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4" showAll="0"/>
    <pivotField dataField="1" numFmtId="44" showAll="0"/>
    <pivotField numFmtId="4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0">
    <i>
      <x v="1"/>
    </i>
    <i>
      <x v="4"/>
    </i>
    <i>
      <x v="6"/>
    </i>
    <i>
      <x v="5"/>
    </i>
    <i>
      <x v="7"/>
    </i>
    <i>
      <x v="2"/>
    </i>
    <i>
      <x v="8"/>
    </i>
    <i>
      <x/>
    </i>
    <i>
      <x v="3"/>
    </i>
    <i t="grand">
      <x/>
    </i>
  </rowItems>
  <colItems count="1">
    <i/>
  </colItems>
  <dataFields count="1">
    <dataField name="Soma de Total" fld="8" baseField="0" baseItem="0" numFmtId="44"/>
  </dataFields>
  <formats count="1">
    <format dxfId="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6C800-0AA7-4939-A598-197919E69277}" name="Tabela dinâmica8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4">
  <location ref="A38:B43" firstHeaderRow="1" firstDataRow="1" firstDataCol="1"/>
  <pivotFields count="12">
    <pivotField showAll="0"/>
    <pivotField showAll="0">
      <items count="10">
        <item x="0"/>
        <item x="3"/>
        <item x="8"/>
        <item x="1"/>
        <item x="7"/>
        <item x="4"/>
        <item x="5"/>
        <item x="6"/>
        <item x="2"/>
        <item t="default"/>
      </items>
    </pivotField>
    <pivotField showAll="0"/>
    <pivotField dataField="1" showAll="0"/>
    <pivotField showAll="0">
      <items count="5">
        <item x="3"/>
        <item x="2"/>
        <item x="1"/>
        <item x="0"/>
        <item t="default"/>
      </items>
    </pivotField>
    <pivotField axis="axisRow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4" showAll="0"/>
    <pivotField numFmtId="44" showAll="0"/>
    <pivotField numFmtId="4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Soma de Quantidade" fld="3" baseField="0" baseItem="0"/>
  </dataField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F64D0-5E54-43FA-9AD2-5A2EF15754E8}" name="Tabela dinâmica2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5">
  <location ref="A80:B85" firstHeaderRow="1" firstDataRow="1" firstDataCol="1"/>
  <pivotFields count="12">
    <pivotField showAll="0"/>
    <pivotField showAll="0">
      <items count="10">
        <item x="0"/>
        <item x="3"/>
        <item x="8"/>
        <item x="1"/>
        <item x="7"/>
        <item x="4"/>
        <item x="5"/>
        <item x="6"/>
        <item x="2"/>
        <item t="default"/>
      </items>
    </pivotField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4" showAll="0"/>
    <pivotField dataField="1" numFmtId="44" showAll="0"/>
    <pivotField numFmtId="4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Total" fld="8" baseField="0" baseItem="0" numFmtId="44"/>
  </dataFields>
  <formats count="1">
    <format dxfId="42">
      <pivotArea outline="0" collapsedLevelsAreSubtotals="1" fieldPosition="0"/>
    </format>
  </formats>
  <chartFormats count="15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9758E-4D46-4AEA-8A34-78297594D74E}" name="Tabela dinâmica8" cacheId="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2">
  <location ref="A85:B90" firstHeaderRow="1" firstDataRow="1" firstDataCol="1"/>
  <pivotFields count="12">
    <pivotField showAll="0"/>
    <pivotField showAll="0">
      <items count="10">
        <item x="5"/>
        <item x="0"/>
        <item x="6"/>
        <item x="3"/>
        <item x="1"/>
        <item x="4"/>
        <item x="2"/>
        <item x="8"/>
        <item x="7"/>
        <item t="default"/>
      </items>
    </pivotField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Total" fld="9" baseField="0" baseItem="0" numFmtId="44"/>
  </dataFields>
  <formats count="1">
    <format dxfId="28">
      <pivotArea outline="0" collapsedLevelsAreSubtotals="1" fieldPosition="0"/>
    </format>
  </formats>
  <chartFormats count="10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1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1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1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9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9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9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9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34590-F8E6-4D9E-A531-F9612600F13D}" name="Tabela dinâmica6" cacheId="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2">
  <location ref="A72:D78" firstHeaderRow="1" firstDataRow="2" firstDataCol="1"/>
  <pivotFields count="12">
    <pivotField showAll="0"/>
    <pivotField showAll="0">
      <items count="10">
        <item x="5"/>
        <item x="0"/>
        <item x="6"/>
        <item x="3"/>
        <item x="1"/>
        <item x="4"/>
        <item x="2"/>
        <item x="8"/>
        <item x="7"/>
        <item t="default"/>
      </items>
    </pivotField>
    <pivotField dataField="1" showAll="0"/>
    <pivotField showAll="0"/>
    <pivotField axis="axisRow" showAll="0" sortType="a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2"/>
        <item x="0"/>
        <item x="3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5">
        <item x="0"/>
        <item x="1"/>
        <item x="2"/>
        <item x="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5">
    <i>
      <x/>
    </i>
    <i>
      <x v="3"/>
    </i>
    <i>
      <x v="2"/>
    </i>
    <i>
      <x v="1"/>
    </i>
    <i t="grand">
      <x/>
    </i>
  </rowItems>
  <colFields count="1">
    <field x="11"/>
  </colFields>
  <colItems count="3">
    <i>
      <x v="1"/>
    </i>
    <i>
      <x v="2"/>
    </i>
    <i t="grand">
      <x/>
    </i>
  </colItems>
  <dataFields count="1">
    <dataField name="Soma de Quantidade" fld="2" baseField="0" baseItem="0"/>
  </dataFields>
  <formats count="1">
    <format dxfId="29">
      <pivotArea outline="0" collapsedLevelsAreSubtotals="1" fieldPosition="0"/>
    </format>
  </formats>
  <chartFormats count="2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6354F869-E48C-400B-A329-12B0EF66CCCD}" sourceName="Produto">
  <pivotTables>
    <pivotTable tabId="2" name="Tabela dinâmica6"/>
    <pivotTable tabId="2" name="Tabela dinâmica10"/>
    <pivotTable tabId="2" name="Tabela dinâmica7"/>
    <pivotTable tabId="2" name="Tabela dinâmica8"/>
    <pivotTable tabId="2" name="Tabela dinâmica9"/>
    <pivotTable tabId="2" name="Tabela dinâmica1"/>
    <pivotTable tabId="2" name="Tabela dinâmica2"/>
  </pivotTables>
  <data>
    <tabular pivotCacheId="899030881">
      <items count="9">
        <i x="0" s="1"/>
        <i x="3" s="1"/>
        <i x="8" s="1"/>
        <i x="1" s="1"/>
        <i x="7" s="1"/>
        <i x="4" s="1"/>
        <i x="5" s="1"/>
        <i x="6" s="1"/>
        <i x="2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calizacao2" xr10:uid="{2754CF6C-6902-4F05-898E-A68FFA25CD73}" sourceName="Localizacao">
  <pivotTables>
    <pivotTable tabId="12" name="Tabela dinâmica23"/>
    <pivotTable tabId="12" name="Tabela dinâmica1"/>
    <pivotTable tabId="12" name="Tabela dinâmica2"/>
    <pivotTable tabId="12" name="Tabela dinâmica22"/>
    <pivotTable tabId="12" name="Tabela dinâmica24"/>
    <pivotTable tabId="12" name="Tabela dinâmica25"/>
    <pivotTable tabId="12" name="Tabela dinâmica3"/>
    <pivotTable tabId="12" name="Tabela dinâmica4"/>
    <pivotTable tabId="12" name="Tabela dinâmica7"/>
  </pivotTables>
  <data>
    <tabular pivotCacheId="1475751306">
      <items count="4">
        <i x="2" s="1"/>
        <i x="1" s="1"/>
        <i x="3" s="1"/>
        <i x="0" s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necedor" xr10:uid="{DB0F0D8E-ED4A-4E73-A4BB-E8472C2D2C8B}" sourceName="Fornecedor">
  <pivotTables>
    <pivotTable tabId="12" name="Tabela dinâmica23"/>
  </pivotTables>
  <data>
    <tabular pivotCacheId="1475751306">
      <items count="8">
        <i x="6" s="1"/>
        <i x="2" s="1"/>
        <i x="1" s="1"/>
        <i x="3" s="1"/>
        <i x="0" s="1"/>
        <i x="7" s="1"/>
        <i x="5" s="1"/>
        <i x="4" s="1"/>
      </items>
    </tabular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usto1" xr10:uid="{FE4A5513-D957-4556-8073-AF5DA7ACC2F4}" sourceName="Custo">
  <pivotTables>
    <pivotTable tabId="11" name="Tabela dinâmica12"/>
    <pivotTable tabId="11" name="Tabela dinâmica13"/>
    <pivotTable tabId="11" name="Tabela dinâmica14"/>
    <pivotTable tabId="11" name="Tabela dinâmica15"/>
    <pivotTable tabId="11" name="Tabela dinâmica19"/>
    <pivotTable tabId="11" name="Tabela dinâmica5"/>
    <pivotTable tabId="11" name="Tabela dinâmica9"/>
    <pivotTable tabId="11" name="Tabela dinâmica10"/>
  </pivotTables>
  <data>
    <tabular pivotCacheId="1293327423">
      <items count="8">
        <i x="6" s="1"/>
        <i x="5" s="1"/>
        <i x="4" s="1"/>
        <i x="3" s="1"/>
        <i x="2" s="1"/>
        <i x="0" s="1"/>
        <i x="1" s="1"/>
        <i x="7" s="1"/>
      </items>
    </tabular>
  </data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calizacao3" xr10:uid="{B79640F1-2B09-43E2-A178-9CBB58203C23}" sourceName="Localizacao">
  <pivotTables>
    <pivotTable tabId="11" name="Tabela dinâmica12"/>
    <pivotTable tabId="11" name="Tabela dinâmica13"/>
    <pivotTable tabId="11" name="Tabela dinâmica14"/>
    <pivotTable tabId="11" name="Tabela dinâmica15"/>
    <pivotTable tabId="11" name="Tabela dinâmica19"/>
    <pivotTable tabId="11" name="Tabela dinâmica5"/>
    <pivotTable tabId="11" name="Tabela dinâmica9"/>
    <pivotTable tabId="11" name="Tabela dinâmica10"/>
  </pivotTables>
  <data>
    <tabular pivotCacheId="1293327423">
      <items count="4">
        <i x="3" s="1"/>
        <i x="1" s="1"/>
        <i x="0" s="1"/>
        <i x="2" s="1"/>
      </items>
    </tabular>
  </data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necedor1" xr10:uid="{45F13A0E-7DB6-41A3-BFB0-536C81BD3579}" sourceName="Fornecedor">
  <pivotTables>
    <pivotTable tabId="11" name="Tabela dinâmica12"/>
    <pivotTable tabId="11" name="Tabela dinâmica13"/>
    <pivotTable tabId="11" name="Tabela dinâmica14"/>
    <pivotTable tabId="11" name="Tabela dinâmica15"/>
    <pivotTable tabId="11" name="Tabela dinâmica19"/>
    <pivotTable tabId="11" name="Tabela dinâmica5"/>
    <pivotTable tabId="11" name="Tabela dinâmica9"/>
    <pivotTable tabId="11" name="Tabela dinâmica10"/>
  </pivotTables>
  <data>
    <tabular pivotCacheId="1293327423">
      <items count="8">
        <i x="3" s="1"/>
        <i x="4" s="1"/>
        <i x="5" s="1"/>
        <i x="7" s="1"/>
        <i x="0" s="1"/>
        <i x="1" s="1"/>
        <i x="2" s="1"/>
        <i x="6" s="1"/>
      </items>
    </tabular>
  </data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calizacao4" xr10:uid="{740F2A4C-025E-4D54-A7BF-3C0A312C2B57}" sourceName="Localizacao">
  <pivotTables>
    <pivotTable tabId="14" name="Tabela dinâmica3"/>
    <pivotTable tabId="14" name="Tabela dinâmica6"/>
    <pivotTable tabId="14" name="Tabela dinâmica8"/>
    <pivotTable tabId="14" name="Tabela dinâmica9"/>
    <pivotTable tabId="14" name="Tabela dinâmica10"/>
    <pivotTable tabId="14" name="Tabela dinâmica11"/>
  </pivotTables>
  <data>
    <tabular pivotCacheId="1007624338">
      <items count="4">
        <i x="3" s="1"/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calizacao" xr10:uid="{92BB5731-D0B5-4CEE-8E6B-E2F996DFE300}" sourceName="Localizacao">
  <pivotTables>
    <pivotTable tabId="2" name="Tabela dinâmica6"/>
    <pivotTable tabId="2" name="Tabela dinâmica10"/>
    <pivotTable tabId="2" name="Tabela dinâmica7"/>
    <pivotTable tabId="2" name="Tabela dinâmica8"/>
    <pivotTable tabId="2" name="Tabela dinâmica9"/>
    <pivotTable tabId="2" name="Tabela dinâmica1"/>
    <pivotTable tabId="2" name="Tabela dinâmica2"/>
  </pivotTables>
  <data>
    <tabular pivotCacheId="899030881">
      <items count="4">
        <i x="3" s="1"/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ituacao" xr10:uid="{FBAE0598-D90A-4509-87CA-8A46540236C2}" sourceName="Situacao">
  <pivotTables>
    <pivotTable tabId="2" name="Tabela dinâmica6"/>
    <pivotTable tabId="2" name="Tabela dinâmica10"/>
    <pivotTable tabId="2" name="Tabela dinâmica7"/>
    <pivotTable tabId="2" name="Tabela dinâmica8"/>
    <pivotTable tabId="2" name="Tabela dinâmica9"/>
    <pivotTable tabId="2" name="Tabela dinâmica1"/>
    <pivotTable tabId="2" name="Tabela dinâmica2"/>
  </pivotTables>
  <data>
    <tabular pivotCacheId="899030881">
      <items count="4">
        <i x="2" s="1"/>
        <i x="1" s="1"/>
        <i x="3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teriaPrima" xr10:uid="{93A15E73-4344-4D52-A4D6-F25172B41726}" sourceName="MateriaPrima">
  <pivotTables>
    <pivotTable tabId="13" name="Tabela dinâmica2"/>
    <pivotTable tabId="13" name="Tabela dinâmica1"/>
    <pivotTable tabId="13" name="Tabela dinâmica3"/>
    <pivotTable tabId="13" name="Tabela dinâmica4"/>
    <pivotTable tabId="13" name="Tabela dinâmica5"/>
    <pivotTable tabId="13" name="Tabela dinâmica7"/>
    <pivotTable tabId="13" name="Tabela dinâmica6"/>
    <pivotTable tabId="13" name="Tabela dinâmica8"/>
  </pivotTables>
  <data>
    <tabular pivotCacheId="743611944">
      <items count="9">
        <i x="5" s="1"/>
        <i x="0" s="1"/>
        <i x="6" s="1"/>
        <i x="3" s="1"/>
        <i x="1" s="1"/>
        <i x="4" s="1"/>
        <i x="2" s="1"/>
        <i x="8" s="1"/>
        <i x="7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calizacao1" xr10:uid="{4E2C2C00-E9D4-4519-97BA-8917F81CCB03}" sourceName="Localizacao">
  <pivotTables>
    <pivotTable tabId="13" name="Tabela dinâmica2"/>
    <pivotTable tabId="13" name="Tabela dinâmica1"/>
    <pivotTable tabId="13" name="Tabela dinâmica3"/>
    <pivotTable tabId="13" name="Tabela dinâmica4"/>
    <pivotTable tabId="13" name="Tabela dinâmica5"/>
    <pivotTable tabId="13" name="Tabela dinâmica7"/>
    <pivotTable tabId="13" name="Tabela dinâmica6"/>
    <pivotTable tabId="13" name="Tabela dinâmica8"/>
  </pivotTables>
  <data>
    <tabular pivotCacheId="743611944">
      <items count="4">
        <i x="2" s="1"/>
        <i x="1" s="1"/>
        <i x="3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ituacao1" xr10:uid="{E715D9E3-B1F2-4FFD-A37E-92CED0038D26}" sourceName="Situacao">
  <pivotTables>
    <pivotTable tabId="13" name="Tabela dinâmica2"/>
    <pivotTable tabId="13" name="Tabela dinâmica1"/>
    <pivotTable tabId="13" name="Tabela dinâmica3"/>
    <pivotTable tabId="13" name="Tabela dinâmica4"/>
    <pivotTable tabId="13" name="Tabela dinâmica5"/>
    <pivotTable tabId="13" name="Tabela dinâmica7"/>
    <pivotTable tabId="13" name="Tabela dinâmica6"/>
    <pivotTable tabId="13" name="Tabela dinâmica8"/>
  </pivotTables>
  <data>
    <tabular pivotCacheId="743611944">
      <items count="4">
        <i x="2" s="1"/>
        <i x="0" s="1"/>
        <i x="3" s="1"/>
        <i x="1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usto" xr10:uid="{CDF4717D-0FAC-42B8-A70A-18B6834CC47B}" sourceName="Custo">
  <pivotTables>
    <pivotTable tabId="14" name="Tabela dinâmica3"/>
    <pivotTable tabId="14" name="Tabela dinâmica6"/>
    <pivotTable tabId="14" name="Tabela dinâmica8"/>
    <pivotTable tabId="14" name="Tabela dinâmica9"/>
    <pivotTable tabId="14" name="Tabela dinâmica10"/>
    <pivotTable tabId="14" name="Tabela dinâmica11"/>
  </pivotTables>
  <data>
    <tabular pivotCacheId="1007624338">
      <items count="6">
        <i x="3" s="1"/>
        <i x="5" s="1"/>
        <i x="4" s="1"/>
        <i x="0" s="1"/>
        <i x="2" s="1"/>
        <i x="1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quipamento" xr10:uid="{74ADDA97-852D-41B8-B8DB-BED3EEEAB9DF}" sourceName="Equipamento">
  <pivotTables>
    <pivotTable tabId="12" name="Tabela dinâmica23"/>
    <pivotTable tabId="12" name="Tabela dinâmica1"/>
    <pivotTable tabId="12" name="Tabela dinâmica2"/>
    <pivotTable tabId="12" name="Tabela dinâmica22"/>
    <pivotTable tabId="12" name="Tabela dinâmica24"/>
    <pivotTable tabId="12" name="Tabela dinâmica25"/>
    <pivotTable tabId="12" name="Tabela dinâmica3"/>
    <pivotTable tabId="12" name="Tabela dinâmica4"/>
    <pivotTable tabId="12" name="Tabela dinâmica7"/>
  </pivotTables>
  <data>
    <tabular pivotCacheId="1475751306">
      <items count="9">
        <i x="2" s="1"/>
        <i x="8" s="1"/>
        <i x="7" s="1"/>
        <i x="4" s="1"/>
        <i x="5" s="1"/>
        <i x="3" s="1"/>
        <i x="0" s="1"/>
        <i x="1" s="1"/>
        <i x="6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DeManutencao" xr10:uid="{6838AC22-BDD2-4751-9531-02B19549FC5F}" sourceName="TipoDeManutencao">
  <pivotTables>
    <pivotTable tabId="12" name="Tabela dinâmica23"/>
    <pivotTable tabId="12" name="Tabela dinâmica1"/>
    <pivotTable tabId="12" name="Tabela dinâmica2"/>
    <pivotTable tabId="12" name="Tabela dinâmica22"/>
    <pivotTable tabId="12" name="Tabela dinâmica24"/>
    <pivotTable tabId="12" name="Tabela dinâmica25"/>
    <pivotTable tabId="12" name="Tabela dinâmica3"/>
    <pivotTable tabId="12" name="Tabela dinâmica4"/>
    <pivotTable tabId="12" name="Tabela dinâmica7"/>
  </pivotTables>
  <data>
    <tabular pivotCacheId="1475751306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A1D647C1-751D-462C-ACC9-EB1015B99619}" cache="SegmentaçãodeDados_Produto" caption="Produto" startItem="1" rowHeight="241300"/>
  <slicer name="Localizacao" xr10:uid="{96AD307F-AE46-460A-A4F8-E2EE1280EDE3}" cache="SegmentaçãodeDados_Localizacao" caption="Localizacao" rowHeight="241300"/>
  <slicer name="Situacao" xr10:uid="{8B9E9E8F-E6D7-42CB-A650-DECB6B7B1504}" cache="SegmentaçãodeDados_Situacao" caption="Situacao" rowHeight="241300"/>
</slicers>
</file>

<file path=xl/slicers/slicer10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sto 3" xr10:uid="{A0809A8B-7659-45D2-B7E3-B2CD4007C9F4}" cache="SegmentaçãodeDados_Custo" caption="Custo" columnCount="3" style="SlicerStyleDark1" rowHeight="432000"/>
  <slicer name="Localizacao 9" xr10:uid="{E7C8FD18-A781-4CED-9F26-C6347531BC79}" cache="SegmentaçãodeDados_Localizacao4" caption="Localizacao" columnCount="2" style="SlicerStyleDark1" rowHeight="468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teriaPrima" xr10:uid="{3FBC579E-3163-403F-90BD-CEFEE8FCBB56}" cache="SegmentaçãodeDados_MateriaPrima" caption="MateriaPrima" startItem="2" rowHeight="241300"/>
  <slicer name="Localizacao 1" xr10:uid="{6EDF8D4B-4CCB-4454-B125-E1ADB3582678}" cache="SegmentaçãodeDados_Localizacao1" caption="Localizacao" rowHeight="241300"/>
  <slicer name="Situacao 1" xr10:uid="{EADE9119-89DB-41CF-93E5-E4AA88A72756}" cache="SegmentaçãodeDados_Situacao1" caption="Situacao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sto 1" xr10:uid="{DDF1D88F-B1E3-48CF-BCF1-8809BAD6F358}" cache="SegmentaçãodeDados_Custo1" caption="Custo" rowHeight="241300"/>
  <slicer name="Localizacao 3" xr10:uid="{256AD5B5-AA27-4A34-9168-61E0B449833D}" cache="SegmentaçãodeDados_Localizacao3" caption="Localizacao" rowHeight="241300"/>
  <slicer name="Fornecedor 1" xr10:uid="{AC4E17B2-A2A6-484A-8B44-7D05B29E1492}" cache="SegmentaçãodeDados_Fornecedor1" caption="Fornecedor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quipamento" xr10:uid="{EA402513-B372-49C0-AF1A-F326DAC84E68}" cache="SegmentaçãodeDados_Equipamento" caption="Equipamento" startItem="1" rowHeight="241300"/>
  <slicer name="TipoDeManutencao" xr10:uid="{1AAF11E8-18FA-4973-9A48-28DA67EEB410}" cache="SegmentaçãodeDados_TipoDeManutencao" caption="TipoDeManutencao" rowHeight="241300"/>
  <slicer name="Localizacao 2" xr10:uid="{F3863CE4-2CE3-492E-9C5D-E218CE30D8C1}" cache="SegmentaçãodeDados_Localizacao2" caption="Localizacao" rowHeight="241300"/>
  <slicer name="Fornecedor" xr10:uid="{A224CEE8-E907-436B-B4F9-8F63492D3F1F}" cache="SegmentaçãodeDados_Fornecedor" caption="Fornecedor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sto" xr10:uid="{98AC26FA-F928-45F3-960E-2B7FF284395D}" cache="SegmentaçãodeDados_Custo" caption="Custo" rowHeight="241300"/>
  <slicer name="Localizacao 4" xr10:uid="{D21E3095-C202-4EFC-9AE3-C7A37E2C40BA}" cache="SegmentaçãodeDados_Localizacao4" caption="Localizacao" rowHeight="24130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 1" xr10:uid="{E10404D0-9774-4EA0-A265-79C62870A6C3}" cache="SegmentaçãodeDados_Produto" caption="Produto" columnCount="3" style="SlicerStyleDark1" rowHeight="324000"/>
  <slicer name="Localizacao 5" xr10:uid="{47A36FB5-A8C0-4DBD-AB9D-B162BAF4E943}" cache="SegmentaçãodeDados_Localizacao" caption="Localizacao" style="SlicerStyleDark1" rowHeight="252000"/>
  <slicer name="Situacao 2" xr10:uid="{1A10CD88-67A3-4E73-A8BD-6452C9DA115F}" cache="SegmentaçãodeDados_Situacao" caption="Situacao" style="SlicerStyleDark1" rowHeight="25200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teriaPrima 2" xr10:uid="{32F81F3A-4E4A-4892-99AA-FFA9B6C7F5F6}" cache="SegmentaçãodeDados_MateriaPrima" caption="MateriaPrima" columnCount="4" style="SlicerStyleDark1" rowHeight="360000"/>
  <slicer name="Localizacao 7" xr10:uid="{D02691DB-501B-42E1-96A4-5E9E37B1EFF4}" cache="SegmentaçãodeDados_Localizacao1" caption="Localizacao" style="SlicerStyleDark1" rowHeight="216000"/>
  <slicer name="Situacao 4" xr10:uid="{4FBEE63F-D5CA-4D72-B943-F962ABC5D33F}" cache="SegmentaçãodeDados_Situacao1" caption="Situacao" style="SlicerStyleDark1" rowHeight="241300"/>
</slicers>
</file>

<file path=xl/slicers/slicer8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sto 2" xr10:uid="{BEB5A5EB-39B4-4349-B368-D0D482F298D6}" cache="SegmentaçãodeDados_Custo1" caption="Custo" columnCount="2" style="SlicerStyleDark1" rowHeight="241300"/>
  <slicer name="Localizacao 6" xr10:uid="{FF7F672C-C7DC-4247-97B0-DE085FD2C455}" cache="SegmentaçãodeDados_Localizacao3" caption="Localizacao" style="SlicerStyleDark1" rowHeight="241300"/>
  <slicer name="Fornecedor 2" xr10:uid="{B28F06B1-2ECD-4F51-90B7-4DBBCCBF8AAF}" cache="SegmentaçãodeDados_Fornecedor1" caption="Fornecedor" columnCount="2" style="SlicerStyleDark1" rowHeight="241300"/>
</slicers>
</file>

<file path=xl/slicers/slicer9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quipamento 1" xr10:uid="{DCD758B7-79F4-4310-B09D-ED0B49505AD6}" cache="SegmentaçãodeDados_Equipamento" caption="Equipamento" columnCount="3" style="SlicerStyleDark1" rowHeight="288000"/>
  <slicer name="TipoDeManutencao 1" xr10:uid="{542E434E-1955-4C81-A0C4-F38822555165}" cache="SegmentaçãodeDados_TipoDeManutencao" caption="TipoDeManutencao" style="SlicerStyleDark1" rowHeight="288000"/>
  <slicer name="Localizacao 8" xr10:uid="{7CDE4E7A-B54C-47AF-8CB5-FCE5B4257B8A}" cache="SegmentaçãodeDados_Localizacao2" caption="Localizacao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ela2" displayName="Tabela2" ref="A1:J201" totalsRowShown="0">
  <autoFilter ref="A1:J201" xr:uid="{00000000-0009-0000-0100-000002000000}"/>
  <tableColumns count="10">
    <tableColumn id="1" xr3:uid="{00000000-0010-0000-0300-000001000000}" name="Id"/>
    <tableColumn id="2" xr3:uid="{00000000-0010-0000-0300-000002000000}" name="Produto"/>
    <tableColumn id="3" xr3:uid="{00000000-0010-0000-0300-000003000000}" name="Codigo"/>
    <tableColumn id="4" xr3:uid="{00000000-0010-0000-0300-000004000000}" name="Quantidade"/>
    <tableColumn id="5" xr3:uid="{00000000-0010-0000-0300-000005000000}" name="Localizacao"/>
    <tableColumn id="6" xr3:uid="{00000000-0010-0000-0300-000006000000}" name="Situacao"/>
    <tableColumn id="7" xr3:uid="{00000000-0010-0000-0300-000007000000}" name="Data" dataDxfId="46"/>
    <tableColumn id="8" xr3:uid="{00000000-0010-0000-0300-000008000000}" name="Valor" dataDxfId="45" dataCellStyle="Moeda"/>
    <tableColumn id="9" xr3:uid="{00000000-0010-0000-0300-000009000000}" name="Total" dataDxfId="44">
      <calculatedColumnFormula>D2*H2</calculatedColumnFormula>
    </tableColumn>
    <tableColumn id="10" xr3:uid="{6A42BDEF-CF3D-4E4C-8363-035FF58A7B12}" name="Imposto" dataDxfId="43">
      <calculatedColumnFormula>Tabela2[[#This Row],[Total]]*0.3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5D2B32-FD70-4140-A30D-35626B97815E}" name="Tabela1" displayName="Tabela1" ref="A1:J201" totalsRowShown="0">
  <autoFilter ref="A1:J201" xr:uid="{9C5D2B32-FD70-4140-A30D-35626B97815E}"/>
  <tableColumns count="10">
    <tableColumn id="1" xr3:uid="{059B22BA-EE13-4871-9B9F-31D44EFA446B}" name="Id"/>
    <tableColumn id="2" xr3:uid="{CBD83AD9-72F8-4AD1-B6F4-60E3951A1BA2}" name="Custo"/>
    <tableColumn id="3" xr3:uid="{E25704B5-99A0-443D-8E8F-37DC1CB14E50}" name="Codigo"/>
    <tableColumn id="4" xr3:uid="{15D75168-3FCD-486B-BB3C-0C2FB08ED81C}" name="Quantidade"/>
    <tableColumn id="5" xr3:uid="{2D2C9B90-900C-4866-B0D3-A5CD2858DF58}" name="Localizacao"/>
    <tableColumn id="6" xr3:uid="{01B14106-78DD-4330-A70F-3C14E30E82AA}" name="Fornecedor"/>
    <tableColumn id="7" xr3:uid="{68C63764-ACC6-496C-B6F0-E1575F22E473}" name="Data" dataDxfId="36"/>
    <tableColumn id="8" xr3:uid="{BD6F2503-6EE3-4B5F-80B5-0551B959088B}" name="Valor" dataDxfId="35" dataCellStyle="Moeda"/>
    <tableColumn id="9" xr3:uid="{B54A81A7-4147-45F5-8566-720C4B0167E6}" name="Valor Unitário" dataDxfId="34">
      <calculatedColumnFormula>H2/D2</calculatedColumnFormula>
    </tableColumn>
    <tableColumn id="10" xr3:uid="{13CBEAA4-AA76-4E77-A009-A76C3595D896}" name="imposto" dataDxfId="33">
      <calculatedColumnFormula>Tabela1[[#This Row],[Valor]]*0.3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80891-B308-4B79-BF93-99B990CCA39B}" name="Tabela14" displayName="Tabela14" ref="A1:I201" totalsRowShown="0">
  <autoFilter ref="A1:I201" xr:uid="{D9780891-B308-4B79-BF93-99B990CCA39B}"/>
  <tableColumns count="9">
    <tableColumn id="1" xr3:uid="{6E70C892-08C8-48D1-A214-DCB339D1DB15}" name="Id"/>
    <tableColumn id="2" xr3:uid="{DE18B538-EC38-4A67-9F94-90248219EB41}" name="Codigo"/>
    <tableColumn id="3" xr3:uid="{2DDD28C3-2FC4-458A-A845-E6F9A58F9828}" name="Equipamento"/>
    <tableColumn id="4" xr3:uid="{3A79FAA4-71BB-4E39-86FC-82F9C346B0AF}" name="Localizacao"/>
    <tableColumn id="5" xr3:uid="{2181FE28-46DF-43F6-AC2E-68A318186678}" name="TipoDeManutencao"/>
    <tableColumn id="6" xr3:uid="{8BCF6FE9-98EA-4ADE-9A7B-1FCB24792E06}" name="Data" dataDxfId="20"/>
    <tableColumn id="8" xr3:uid="{ABE3D3A7-D34B-4109-B559-AED574CB628A}" name="Fornecedor"/>
    <tableColumn id="7" xr3:uid="{773E566D-461B-4D4F-88D3-63ABD4245D54}" name="Valor" dataDxfId="19" dataCellStyle="Moeda"/>
    <tableColumn id="9" xr3:uid="{6F2B464F-7AD5-4660-9778-89E558A35F6D}" name="LocalFornecedo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3A1E53-D3AA-4067-8C45-2E2924DEA132}" name="Tabela4" displayName="Tabela4" ref="H38:M39" totalsRowShown="0" headerRowDxfId="15">
  <autoFilter ref="H38:M39" xr:uid="{F43A1E53-D3AA-4067-8C45-2E2924DEA132}"/>
  <tableColumns count="6">
    <tableColumn id="1" xr3:uid="{1D85B738-CAC2-4C1A-9C55-3B17FE4A666D}" name="Belo Horizonte">
      <calculatedColumnFormula>COUNTIF('[1]Custo Manutenção de equipamento'!$I:$I,'[1]Custo Manutenção de equipamento'!$I$7)</calculatedColumnFormula>
    </tableColumn>
    <tableColumn id="2" xr3:uid="{6EC4F103-9FC7-41EE-ADA3-FB603EE984B3}" name="Botucatu" dataDxfId="14">
      <calculatedColumnFormula>COUNTIF('[1]Custo Manutenção de equipamento'!$I:$I,'[1]Custo Manutenção de equipamento'!$I$17)</calculatedColumnFormula>
    </tableColumn>
    <tableColumn id="3" xr3:uid="{09B76448-744C-4FA9-B106-70A17A95376B}" name="Campinas">
      <calculatedColumnFormula>COUNTIF('[1]Custo Manutenção de equipamento'!$I:$I,'[1]Custo Manutenção de equipamento'!$I$13)</calculatedColumnFormula>
    </tableColumn>
    <tableColumn id="4" xr3:uid="{632252CC-BA0A-4F72-9312-610DEA644C74}" name="Florianopolis">
      <calculatedColumnFormula>COUNTIF('[1]Custo Manutenção de equipamento'!$I:$I,'[1]Custo Manutenção de equipamento'!$I$6)</calculatedColumnFormula>
    </tableColumn>
    <tableColumn id="5" xr3:uid="{FAAAF6BF-65E2-4E19-BB07-F6D6DE7207FD}" name="Gavião Peixoto">
      <calculatedColumnFormula>COUNTIF('[1]Custo Manutenção de equipamento'!$I:$I,'[1]Custo Manutenção de equipamento'!$I$8)</calculatedColumnFormula>
    </tableColumn>
    <tableColumn id="6" xr3:uid="{E9EDC512-5FC6-447B-A745-9122E30740A0}" name="Rio De Janeiro">
      <calculatedColumnFormula>COUNTIF('[1]Custo Manutenção de equipamento'!$I:$I,'[1]Custo Manutenção de equipamento'!$I$12)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126971-18CB-4AE3-B823-4DAE4C2E3B09}" name="Tabela18" displayName="Tabela18" ref="A1:J201" totalsRowShown="0">
  <autoFilter ref="A1:J201" xr:uid="{AA126971-18CB-4AE3-B823-4DAE4C2E3B09}"/>
  <tableColumns count="10">
    <tableColumn id="1" xr3:uid="{02B9D29C-32E7-43C4-A0BD-96A8D79815E3}" name="Id"/>
    <tableColumn id="2" xr3:uid="{00A257EB-035C-454E-AB13-354F41191F69}" name="MateriaPrima"/>
    <tableColumn id="3" xr3:uid="{A6CF8367-E2BB-45FD-886F-DF107948FC26}" name="Quantidade"/>
    <tableColumn id="4" xr3:uid="{93D3CE07-F4CA-4AA7-A5DC-8683C17A6FE7}" name="Codigo"/>
    <tableColumn id="5" xr3:uid="{B352E3A5-DCAA-42A5-9FAE-D3D8DA879D3A}" name="Localizacao"/>
    <tableColumn id="6" xr3:uid="{A3CC4028-7D43-4BB5-BBD1-45B89C276F98}" name="Situacao"/>
    <tableColumn id="7" xr3:uid="{C3EC5B60-40ED-45DF-B7B7-987884605B99}" name="Data" dataDxfId="13"/>
    <tableColumn id="8" xr3:uid="{E7DD21F8-8B92-407E-B9FE-38D86EBDAD1A}" name="ValorUnit" dataDxfId="12"/>
    <tableColumn id="9" xr3:uid="{38706DD9-2CDE-4CC9-A574-3E5A93A0ED9C}" name="Medida"/>
    <tableColumn id="10" xr3:uid="{52E76891-AD6E-4D41-B6EB-D9B2E6615EEC}" name="Total" dataDxfId="11">
      <calculatedColumnFormula>Tabela18[[#This Row],[Quantidade]]*Tabela18[[#This Row],[ValorUnit]]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2CD7576-AD45-4EC5-866C-AE61551947A5}" name="Tabela20" displayName="Tabela20" ref="A7:B9" totalsRowShown="0">
  <autoFilter ref="A7:B9" xr:uid="{62CD7576-AD45-4EC5-866C-AE61551947A5}"/>
  <tableColumns count="2">
    <tableColumn id="1" xr3:uid="{296F1F8B-57DE-4A1F-B394-E19F26E01AB5}" name="Ano"/>
    <tableColumn id="2" xr3:uid="{17D18D51-0803-4604-A6EA-9CBA2EF9A3DC}" name="Total do Custo" dataDxfId="3">
      <calculatedColumnFormula>SUM(B3,F3,J3,N3,R3)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1895BAC-C1D9-4D97-8E85-4528792D0CD4}" name="Tabela19" displayName="Tabela19" ref="A1:H201" totalsRowShown="0">
  <autoFilter ref="A1:H201" xr:uid="{61895BAC-C1D9-4D97-8E85-4528792D0CD4}"/>
  <tableColumns count="8">
    <tableColumn id="1" xr3:uid="{7E589A08-0754-4004-9E4B-3631D9B68BAA}" name="Id"/>
    <tableColumn id="2" xr3:uid="{921B5B04-8FF5-4B9F-813E-6EE17CF82D20}" name="Custo"/>
    <tableColumn id="3" xr3:uid="{A46AE909-73AA-499D-85E0-A28CF69B2649}" name="Codigo"/>
    <tableColumn id="4" xr3:uid="{8C678E94-F8A4-417A-A1F0-EA1F49EF0D83}" name="Quantidade"/>
    <tableColumn id="5" xr3:uid="{43CF1AE0-F67A-4015-A20E-BDABF15D2D8F}" name="Localizacao"/>
    <tableColumn id="6" xr3:uid="{5512637B-5230-4004-8FB7-347CC8BAB44D}" name="Data" dataDxfId="2"/>
    <tableColumn id="7" xr3:uid="{7C8A0654-1241-4C25-B257-44180FC47172}" name="ValorUnitario" dataDxfId="1" dataCellStyle="Moeda"/>
    <tableColumn id="8" xr3:uid="{0159168E-4C09-4351-981A-B3535444CAE7}" name="Total" dataDxfId="0">
      <calculatedColumnFormula>G2*D2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894FB8-F0DD-4A8B-85B2-5A9F11C3F9AB}" name="Tabela9" displayName="Tabela9" ref="K2:K3" totalsRowShown="0">
  <autoFilter ref="K2:K3" xr:uid="{FD894FB8-F0DD-4A8B-85B2-5A9F11C3F9AB}"/>
  <tableColumns count="1">
    <tableColumn id="1" xr3:uid="{C7FA22B1-34B5-449B-BFE4-1BBB4D8ABE6E}" name="Custo Armazém D">
      <calculatedColumnFormula>SUMIF(E:I,E2,I:I)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9750A4-630F-4E53-9894-44BEA3E1FA41}" name="Tabela10" displayName="Tabela10" ref="K5:K6" totalsRowShown="0">
  <autoFilter ref="K5:K6" xr:uid="{509750A4-630F-4E53-9894-44BEA3E1FA41}"/>
  <tableColumns count="1">
    <tableColumn id="1" xr3:uid="{70E63145-A523-4F00-97B0-F50B49D3C64E}" name="Custo Armazém C">
      <calculatedColumnFormula>SUMIF(E:I,E3,I:I)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6E5F90-4387-49FA-AF4A-35E152B5A6F9}" name="Tabela11" displayName="Tabela11" ref="K8:K9" totalsRowShown="0">
  <autoFilter ref="K8:K9" xr:uid="{786E5F90-4387-49FA-AF4A-35E152B5A6F9}"/>
  <tableColumns count="1">
    <tableColumn id="1" xr3:uid="{A93438B4-480A-4000-A475-F5C188451B48}" name="Custo Armazém B">
      <calculatedColumnFormula>SUMIF(E:I,E4,I:I)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9121864-F716-46CC-9548-E895E16F9FAA}" name="Tabela12" displayName="Tabela12" ref="K12:K13" totalsRowShown="0">
  <autoFilter ref="K12:K13" xr:uid="{89121864-F716-46CC-9548-E895E16F9FAA}"/>
  <tableColumns count="1">
    <tableColumn id="1" xr3:uid="{6FD36FA8-CA8D-47CB-BCCB-9D85A74A848D}" name="Custo Armazém A">
      <calculatedColumnFormula>SUMIF(E:I,E8,I:I)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E65D0B-8750-4E4F-8136-7AC67174D15F}" name="Tabela13" displayName="Tabela13" ref="K16:K17" totalsRowShown="0">
  <autoFilter ref="K16:K17" xr:uid="{BDE65D0B-8750-4E4F-8136-7AC67174D15F}"/>
  <tableColumns count="1">
    <tableColumn id="1" xr3:uid="{868421D7-5A3E-4BD5-BD3F-DF9D70CFE675}" name="Total Obsoleto">
      <calculatedColumnFormula>SUMIF(F:I,F2,I:I)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E651052-C329-45A9-A6E1-34FD28B10B99}" name="Tabela15" displayName="Tabela15" ref="K19:K20" totalsRowShown="0">
  <autoFilter ref="K19:K20" xr:uid="{3E651052-C329-45A9-A6E1-34FD28B10B99}"/>
  <tableColumns count="1">
    <tableColumn id="1" xr3:uid="{21BF8F55-9B35-4E49-B7A8-401EA6C1ED07}" name="Total Disponível">
      <calculatedColumnFormula>SUMIF(F:I,F3,I:I)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7025C07-FDA5-4064-9466-0759D18F86FF}" name="Tabela16" displayName="Tabela16" ref="K22:K23" totalsRowShown="0">
  <autoFilter ref="K22:K23" xr:uid="{37025C07-FDA5-4064-9466-0759D18F86FF}"/>
  <tableColumns count="1">
    <tableColumn id="1" xr3:uid="{26C49845-25AC-4C47-B3F1-AE7B7890EDCA}" name="Total Em Produção">
      <calculatedColumnFormula>SUMIF(F:I,F11,I:I)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054555-BD8C-484B-AB8D-45D82807557C}" name="Tabela17" displayName="Tabela17" ref="K25:K26" totalsRowShown="0">
  <autoFilter ref="K25:K26" xr:uid="{39054555-BD8C-484B-AB8D-45D82807557C}"/>
  <tableColumns count="1">
    <tableColumn id="1" xr3:uid="{804750EC-3861-4C81-8582-67A8D7CFFA50}" name="Total Avariado">
      <calculatedColumnFormula>SUMIF(F:I,F20,I:I)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00000000-0013-0000-FFFF-FFFF04000000}" sourceName="Data">
  <state minimalRefreshVersion="6" lastRefreshVersion="6" pivotCacheId="775849636" filterType="unknown">
    <bounds startDate="2022-01-01T00:00:00" endDate="2024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2" xr10:uid="{F3806131-B78E-424B-B021-00043D3D91DC}" sourceName="Data">
  <pivotTables>
    <pivotTable tabId="2" name="Tabela dinâmica10"/>
    <pivotTable tabId="2" name="Tabela dinâmica6"/>
    <pivotTable tabId="2" name="Tabela dinâmica7"/>
    <pivotTable tabId="2" name="Tabela dinâmica8"/>
    <pivotTable tabId="2" name="Tabela dinâmica9"/>
    <pivotTable tabId="2" name="Tabela dinâmica1"/>
    <pivotTable tabId="2" name="Tabela dinâmica2"/>
  </pivotTables>
  <state minimalRefreshVersion="6" lastRefreshVersion="6" pivotCacheId="899030881" filterType="unknown">
    <bounds startDate="2022-01-01T00:00:00" endDate="2024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3" xr10:uid="{D1F6C35A-6B39-4224-8B79-BE43613691BA}" sourceName="Data">
  <pivotTables>
    <pivotTable tabId="13" name="Tabela dinâmica1"/>
    <pivotTable tabId="13" name="Tabela dinâmica2"/>
    <pivotTable tabId="13" name="Tabela dinâmica4"/>
    <pivotTable tabId="13" name="Tabela dinâmica5"/>
    <pivotTable tabId="13" name="Tabela dinâmica7"/>
    <pivotTable tabId="13" name="Tabela dinâmica3"/>
    <pivotTable tabId="13" name="Tabela dinâmica6"/>
    <pivotTable tabId="13" name="Tabela dinâmica8"/>
  </pivotTables>
  <state minimalRefreshVersion="6" lastRefreshVersion="6" pivotCacheId="743611944" filterType="unknown">
    <bounds startDate="2022-01-01T00:00:00" endDate="2024-01-01T00:00:00"/>
  </state>
</timelineCacheDefinition>
</file>

<file path=xl/timelineCaches/timelineCache4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4" xr10:uid="{FED87CB9-E0A6-48E1-B43A-1AAC575DC982}" sourceName="Data">
  <pivotTables>
    <pivotTable tabId="11" name="Tabela dinâmica14"/>
    <pivotTable tabId="11" name="Tabela dinâmica12"/>
    <pivotTable tabId="11" name="Tabela dinâmica13"/>
    <pivotTable tabId="11" name="Tabela dinâmica15"/>
    <pivotTable tabId="11" name="Tabela dinâmica19"/>
    <pivotTable tabId="11" name="Tabela dinâmica5"/>
    <pivotTable tabId="11" name="Tabela dinâmica9"/>
    <pivotTable tabId="11" name="Tabela dinâmica10"/>
  </pivotTables>
  <state minimalRefreshVersion="6" lastRefreshVersion="6" pivotCacheId="1293327423" filterType="unknown">
    <bounds startDate="2022-01-01T00:00:00" endDate="2024-01-01T00:00:00"/>
  </state>
</timelineCacheDefinition>
</file>

<file path=xl/timelineCaches/timelineCache5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1" xr10:uid="{9DAE5F90-6B3B-40DC-9948-B74E8C2EB39F}" sourceName="Data">
  <pivotTables>
    <pivotTable tabId="12" name="Tabela dinâmica1"/>
    <pivotTable tabId="12" name="Tabela dinâmica2"/>
    <pivotTable tabId="12" name="Tabela dinâmica22"/>
    <pivotTable tabId="12" name="Tabela dinâmica23"/>
    <pivotTable tabId="12" name="Tabela dinâmica24"/>
    <pivotTable tabId="12" name="Tabela dinâmica25"/>
    <pivotTable tabId="12" name="Tabela dinâmica3"/>
    <pivotTable tabId="12" name="Tabela dinâmica4"/>
    <pivotTable tabId="12" name="Tabela dinâmica7"/>
  </pivotTables>
  <state minimalRefreshVersion="6" lastRefreshVersion="6" pivotCacheId="1475751306" filterType="unknown">
    <bounds startDate="2022-01-01T00:00:00" endDate="2024-01-01T00:00:00"/>
  </state>
</timelineCacheDefinition>
</file>

<file path=xl/timelineCaches/timelineCache6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5" xr10:uid="{A0E14DCB-6BB6-4104-B9A6-EC52BE3E76CA}" sourceName="Data">
  <pivotTables>
    <pivotTable tabId="14" name="Tabela dinâmica6"/>
    <pivotTable tabId="14" name="Tabela dinâmica3"/>
    <pivotTable tabId="14" name="Tabela dinâmica8"/>
    <pivotTable tabId="14" name="Tabela dinâmica9"/>
    <pivotTable tabId="14" name="Tabela dinâmica10"/>
    <pivotTable tabId="14" name="Tabela dinâmica11"/>
  </pivotTables>
  <state minimalRefreshVersion="6" lastRefreshVersion="6" pivotCacheId="1007624338" filterType="unknown">
    <bounds startDate="2022-01-01T00:00:00" endDate="2024-01-01T00:00:00"/>
  </state>
</timelineCacheDefinition>
</file>

<file path=xl/timelineCaches/timelineCache7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Ano" xr10:uid="{F8D11D4A-DC1D-49C9-919E-7A19E837A036}" sourceName="Ano">
  <pivotTables>
    <pivotTable tabId="24" name="Tabela dinâmica16"/>
  </pivotTables>
  <state minimalRefreshVersion="6" lastRefreshVersion="6" pivotCacheId="1830375646" filterType="unknown">
    <bounds startDate="2022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00000000-0014-0000-FFFF-FFFF04000000}" cache="NativeTimeline_Data" caption="Data" level="2" selectionLevel="2" scrollPosition="2022-01-01T00:00:00"/>
</timelines>
</file>

<file path=xl/timelines/timeline10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7" xr10:uid="{7DB74EDA-934C-493C-AE1F-584573DACC43}" cache="NativeTimeline_Data1" caption="Data" level="0" selectionLevel="0" scrollPosition="2022-01-01T00:00:00"/>
</timelines>
</file>

<file path=xl/timelines/timeline1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9" xr10:uid="{9CE05218-39FB-47C6-BA6C-0A4B070A2559}" cache="NativeTimeline_Data5" caption="Data" level="0" selectionLevel="2" scrollPosition="2022-01-01T00:00:00"/>
</timelines>
</file>

<file path=xl/timelines/timeline1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Ano 1" xr10:uid="{F242614A-0FBB-407A-8553-ED93F807B2D1}" cache="NativeTimeline_Ano" caption="Ano" level="0" selectionLevel="0" scrollPosition="2022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4" xr10:uid="{55971AE3-2018-4A2B-B2F8-D975252AB0C1}" cache="NativeTimeline_Data3" caption="Data" level="2" selectionLevel="2" scrollPosition="2023-05-17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3" xr10:uid="{D0BFEF66-582C-4C78-97D6-F73620250DDA}" cache="NativeTimeline_Data4" caption="Data" level="0" selectionLevel="2" scrollPosition="2022-01-01T00:00:00"/>
</timelines>
</file>

<file path=xl/timelines/timeline4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2" xr10:uid="{60B9785B-0638-4FE0-AD0E-238A0DDF0180}" cache="NativeTimeline_Data1" caption="Data" level="2" selectionLevel="2" scrollPosition="2023-05-17T00:00:00"/>
</timelines>
</file>

<file path=xl/timelines/timeline5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8" xr10:uid="{A15D108F-A73A-441E-8501-92CED6A24D1B}" cache="NativeTimeline_Data5" caption="Data" level="2" selectionLevel="2" scrollPosition="2023-05-18T00:00:00"/>
</timelines>
</file>

<file path=xl/timelines/timeline6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Ano" xr10:uid="{284F11E7-EB37-43B6-9DCC-6D3538B61779}" cache="NativeTimeline_Ano" caption="Ano" level="0" selectionLevel="0" scrollPosition="2022-01-01T00:00:00"/>
</timelines>
</file>

<file path=xl/timelines/timeline7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1" xr10:uid="{B69F9C2F-E70B-46DA-9FF8-BA1E7AAC8CC6}" cache="NativeTimeline_Data2" caption="Data" level="0" selectionLevel="1" scrollPosition="2022-01-01T00:00:00"/>
</timelines>
</file>

<file path=xl/timelines/timeline8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6" xr10:uid="{21D1C8FF-9DCA-4CD5-8C29-3B177BC7F189}" cache="NativeTimeline_Data3" caption="Data" level="0" selectionLevel="2" scrollPosition="2022-01-01T00:00:00"/>
</timelines>
</file>

<file path=xl/timelines/timeline9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5" xr10:uid="{9F4BDA51-7CCB-4F66-8149-4A8406AACA21}" cache="NativeTimeline_Data4" caption="Data" level="0" selectionLevel="2" scrollPosition="2022-01-01T00:00:00"/>
</timeline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1.xml"/><Relationship Id="rId2" Type="http://schemas.openxmlformats.org/officeDocument/2006/relationships/pivotTable" Target="../pivotTables/pivotTable40.xml"/><Relationship Id="rId1" Type="http://schemas.openxmlformats.org/officeDocument/2006/relationships/pivotTable" Target="../pivotTables/pivotTable39.xml"/><Relationship Id="rId6" Type="http://schemas.microsoft.com/office/2011/relationships/timeline" Target="../timelines/timeline6.xml"/><Relationship Id="rId5" Type="http://schemas.openxmlformats.org/officeDocument/2006/relationships/table" Target="../tables/table14.xml"/><Relationship Id="rId4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1/relationships/timeline" Target="../timelines/timeline7.xml"/><Relationship Id="rId2" Type="http://schemas.microsoft.com/office/2007/relationships/slicer" Target="../slicers/slicer6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1/relationships/timeline" Target="../timelines/timeline8.xml"/><Relationship Id="rId2" Type="http://schemas.microsoft.com/office/2007/relationships/slicer" Target="../slicers/slicer7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1/relationships/timeline" Target="../timelines/timeline9.xml"/><Relationship Id="rId2" Type="http://schemas.microsoft.com/office/2007/relationships/slicer" Target="../slicers/slicer8.xml"/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1/relationships/timeline" Target="../timelines/timeline10.xml"/><Relationship Id="rId2" Type="http://schemas.microsoft.com/office/2007/relationships/slicer" Target="../slicers/slicer9.xml"/><Relationship Id="rId1" Type="http://schemas.openxmlformats.org/officeDocument/2006/relationships/drawing" Target="../drawings/drawing17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1/relationships/timeline" Target="../timelines/timeline11.xml"/><Relationship Id="rId2" Type="http://schemas.microsoft.com/office/2007/relationships/slicer" Target="../slicers/slicer10.xml"/><Relationship Id="rId1" Type="http://schemas.openxmlformats.org/officeDocument/2006/relationships/drawing" Target="../drawings/drawing18.xml"/></Relationships>
</file>

<file path=xl/worksheets/_rels/sheet17.xml.rels><?xml version="1.0" encoding="UTF-8" standalone="yes"?>
<Relationships xmlns="http://schemas.openxmlformats.org/package/2006/relationships"><Relationship Id="rId2" Type="http://schemas.microsoft.com/office/2011/relationships/timeline" Target="../timelines/timeline12.xml"/><Relationship Id="rId1" Type="http://schemas.openxmlformats.org/officeDocument/2006/relationships/drawing" Target="../drawings/drawing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microsoft.com/office/2011/relationships/timeline" Target="../timelines/timeline1.xml"/><Relationship Id="rId5" Type="http://schemas.openxmlformats.org/officeDocument/2006/relationships/pivotTable" Target="../pivotTables/pivotTable5.xml"/><Relationship Id="rId10" Type="http://schemas.microsoft.com/office/2007/relationships/slicer" Target="../slicers/slicer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5.xml"/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11" Type="http://schemas.microsoft.com/office/2011/relationships/timeline" Target="../timelines/timeline2.xml"/><Relationship Id="rId5" Type="http://schemas.openxmlformats.org/officeDocument/2006/relationships/pivotTable" Target="../pivotTables/pivotTable12.xml"/><Relationship Id="rId10" Type="http://schemas.microsoft.com/office/2007/relationships/slicer" Target="../slicers/slicer2.xml"/><Relationship Id="rId4" Type="http://schemas.openxmlformats.org/officeDocument/2006/relationships/pivotTable" Target="../pivotTables/pivotTable11.xml"/><Relationship Id="rId9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3.xml"/><Relationship Id="rId3" Type="http://schemas.openxmlformats.org/officeDocument/2006/relationships/pivotTable" Target="../pivotTables/pivotTable18.xml"/><Relationship Id="rId7" Type="http://schemas.openxmlformats.org/officeDocument/2006/relationships/pivotTable" Target="../pivotTables/pivotTable22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6" Type="http://schemas.openxmlformats.org/officeDocument/2006/relationships/pivotTable" Target="../pivotTables/pivotTable21.xml"/><Relationship Id="rId11" Type="http://schemas.microsoft.com/office/2011/relationships/timeline" Target="../timelines/timeline3.xml"/><Relationship Id="rId5" Type="http://schemas.openxmlformats.org/officeDocument/2006/relationships/pivotTable" Target="../pivotTables/pivotTable20.xml"/><Relationship Id="rId10" Type="http://schemas.microsoft.com/office/2007/relationships/slicer" Target="../slicers/slicer3.xml"/><Relationship Id="rId4" Type="http://schemas.openxmlformats.org/officeDocument/2006/relationships/pivotTable" Target="../pivotTables/pivotTable19.xml"/><Relationship Id="rId9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1.xml"/><Relationship Id="rId13" Type="http://schemas.microsoft.com/office/2011/relationships/timeline" Target="../timelines/timeline4.xml"/><Relationship Id="rId3" Type="http://schemas.openxmlformats.org/officeDocument/2006/relationships/pivotTable" Target="../pivotTables/pivotTable26.xml"/><Relationship Id="rId7" Type="http://schemas.openxmlformats.org/officeDocument/2006/relationships/pivotTable" Target="../pivotTables/pivotTable30.xml"/><Relationship Id="rId12" Type="http://schemas.microsoft.com/office/2007/relationships/slicer" Target="../slicers/slicer4.xml"/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Relationship Id="rId6" Type="http://schemas.openxmlformats.org/officeDocument/2006/relationships/pivotTable" Target="../pivotTables/pivotTable29.xml"/><Relationship Id="rId11" Type="http://schemas.openxmlformats.org/officeDocument/2006/relationships/table" Target="../tables/table12.xml"/><Relationship Id="rId5" Type="http://schemas.openxmlformats.org/officeDocument/2006/relationships/pivotTable" Target="../pivotTables/pivotTable28.xml"/><Relationship Id="rId10" Type="http://schemas.openxmlformats.org/officeDocument/2006/relationships/drawing" Target="../drawings/drawing6.xml"/><Relationship Id="rId4" Type="http://schemas.openxmlformats.org/officeDocument/2006/relationships/pivotTable" Target="../pivotTables/pivotTable27.xml"/><Relationship Id="rId9" Type="http://schemas.openxmlformats.org/officeDocument/2006/relationships/pivotTable" Target="../pivotTables/pivotTable3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8" Type="http://schemas.microsoft.com/office/2007/relationships/slicer" Target="../slicers/slicer5.xml"/><Relationship Id="rId3" Type="http://schemas.openxmlformats.org/officeDocument/2006/relationships/pivotTable" Target="../pivotTables/pivotTable35.xml"/><Relationship Id="rId7" Type="http://schemas.openxmlformats.org/officeDocument/2006/relationships/drawing" Target="../drawings/drawing7.xml"/><Relationship Id="rId2" Type="http://schemas.openxmlformats.org/officeDocument/2006/relationships/pivotTable" Target="../pivotTables/pivotTable34.xml"/><Relationship Id="rId1" Type="http://schemas.openxmlformats.org/officeDocument/2006/relationships/pivotTable" Target="../pivotTables/pivotTable33.xml"/><Relationship Id="rId6" Type="http://schemas.openxmlformats.org/officeDocument/2006/relationships/pivotTable" Target="../pivotTables/pivotTable38.xml"/><Relationship Id="rId5" Type="http://schemas.openxmlformats.org/officeDocument/2006/relationships/pivotTable" Target="../pivotTables/pivotTable37.xml"/><Relationship Id="rId4" Type="http://schemas.openxmlformats.org/officeDocument/2006/relationships/pivotTable" Target="../pivotTables/pivotTable36.xml"/><Relationship Id="rId9" Type="http://schemas.microsoft.com/office/2011/relationships/timeline" Target="../timelines/timelin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3"/>
  <sheetViews>
    <sheetView workbookViewId="0">
      <selection activeCell="K200" sqref="K200"/>
    </sheetView>
  </sheetViews>
  <sheetFormatPr defaultRowHeight="15" x14ac:dyDescent="0.25"/>
  <cols>
    <col min="1" max="1" width="5" bestFit="1" customWidth="1"/>
    <col min="2" max="2" width="20.85546875" bestFit="1" customWidth="1"/>
    <col min="3" max="3" width="9.42578125" bestFit="1" customWidth="1"/>
    <col min="4" max="4" width="13.7109375" bestFit="1" customWidth="1"/>
    <col min="5" max="5" width="13.140625" bestFit="1" customWidth="1"/>
    <col min="6" max="6" width="12.42578125" bestFit="1" customWidth="1"/>
    <col min="7" max="7" width="10.7109375" bestFit="1" customWidth="1"/>
    <col min="8" max="8" width="16.85546875" style="2" bestFit="1" customWidth="1"/>
    <col min="9" max="10" width="20.5703125" bestFit="1" customWidth="1"/>
    <col min="11" max="11" width="20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33</v>
      </c>
      <c r="J1" t="s">
        <v>143</v>
      </c>
    </row>
    <row r="2" spans="1:11" x14ac:dyDescent="0.25">
      <c r="A2">
        <v>1</v>
      </c>
      <c r="B2" t="s">
        <v>8</v>
      </c>
      <c r="C2" t="s">
        <v>9</v>
      </c>
      <c r="D2">
        <v>1</v>
      </c>
      <c r="E2" t="s">
        <v>27</v>
      </c>
      <c r="F2" t="s">
        <v>10</v>
      </c>
      <c r="G2" s="1">
        <v>44706</v>
      </c>
      <c r="H2" s="2">
        <v>55300000</v>
      </c>
      <c r="I2" s="3">
        <f>D2*H2</f>
        <v>55300000</v>
      </c>
      <c r="J2" s="3">
        <f>Tabela2[[#This Row],[Total]]*0.3</f>
        <v>16590000</v>
      </c>
      <c r="K2" t="s">
        <v>128</v>
      </c>
    </row>
    <row r="3" spans="1:11" x14ac:dyDescent="0.25">
      <c r="A3">
        <v>2</v>
      </c>
      <c r="B3" t="s">
        <v>11</v>
      </c>
      <c r="C3" t="s">
        <v>12</v>
      </c>
      <c r="D3">
        <v>1</v>
      </c>
      <c r="E3" t="s">
        <v>28</v>
      </c>
      <c r="F3" t="s">
        <v>31</v>
      </c>
      <c r="G3" s="1">
        <v>45117</v>
      </c>
      <c r="H3" s="2">
        <v>28500000</v>
      </c>
      <c r="I3" s="3">
        <f t="shared" ref="I3:I66" si="0">D3*H3</f>
        <v>28500000</v>
      </c>
      <c r="J3" s="3">
        <f>Tabela2[[#This Row],[Total]]*0.3</f>
        <v>8550000</v>
      </c>
      <c r="K3">
        <f ca="1">SUMIF(E:I,E2,I:I)</f>
        <v>23395450000</v>
      </c>
    </row>
    <row r="4" spans="1:11" x14ac:dyDescent="0.25">
      <c r="A4">
        <v>3</v>
      </c>
      <c r="B4" t="s">
        <v>13</v>
      </c>
      <c r="C4" t="s">
        <v>14</v>
      </c>
      <c r="D4">
        <v>1</v>
      </c>
      <c r="E4" t="s">
        <v>29</v>
      </c>
      <c r="F4" t="s">
        <v>10</v>
      </c>
      <c r="G4" s="1">
        <v>45116</v>
      </c>
      <c r="H4" s="2">
        <v>49900000</v>
      </c>
      <c r="I4" s="3">
        <f t="shared" si="0"/>
        <v>49900000</v>
      </c>
      <c r="J4" s="3">
        <f>Tabela2[[#This Row],[Total]]*0.3</f>
        <v>14970000</v>
      </c>
    </row>
    <row r="5" spans="1:11" x14ac:dyDescent="0.25">
      <c r="A5">
        <v>4</v>
      </c>
      <c r="B5" t="s">
        <v>11</v>
      </c>
      <c r="C5" t="s">
        <v>12</v>
      </c>
      <c r="D5">
        <v>1</v>
      </c>
      <c r="E5" t="s">
        <v>28</v>
      </c>
      <c r="F5" t="s">
        <v>31</v>
      </c>
      <c r="G5" s="1">
        <v>44958</v>
      </c>
      <c r="H5" s="2">
        <v>28500000</v>
      </c>
      <c r="I5" s="3">
        <f t="shared" si="0"/>
        <v>28500000</v>
      </c>
      <c r="J5" s="3">
        <f>Tabela2[[#This Row],[Total]]*0.3</f>
        <v>8550000</v>
      </c>
      <c r="K5" t="s">
        <v>129</v>
      </c>
    </row>
    <row r="6" spans="1:11" x14ac:dyDescent="0.25">
      <c r="A6">
        <v>5</v>
      </c>
      <c r="B6" t="s">
        <v>15</v>
      </c>
      <c r="C6" t="s">
        <v>16</v>
      </c>
      <c r="D6">
        <v>1</v>
      </c>
      <c r="E6" t="s">
        <v>29</v>
      </c>
      <c r="F6" t="s">
        <v>10</v>
      </c>
      <c r="G6" s="1">
        <v>45117</v>
      </c>
      <c r="H6" s="2">
        <v>58500000</v>
      </c>
      <c r="I6" s="3">
        <f t="shared" si="0"/>
        <v>58500000</v>
      </c>
      <c r="J6" s="3">
        <f>Tabela2[[#This Row],[Total]]*0.3</f>
        <v>17550000</v>
      </c>
      <c r="K6">
        <f ca="1">SUMIF(E:I,E3,I:I)</f>
        <v>7297450000</v>
      </c>
    </row>
    <row r="7" spans="1:11" x14ac:dyDescent="0.25">
      <c r="A7">
        <v>6</v>
      </c>
      <c r="B7" t="s">
        <v>8</v>
      </c>
      <c r="C7" t="s">
        <v>9</v>
      </c>
      <c r="D7">
        <v>1</v>
      </c>
      <c r="E7" t="s">
        <v>30</v>
      </c>
      <c r="F7" t="s">
        <v>10</v>
      </c>
      <c r="G7" s="1">
        <v>45276</v>
      </c>
      <c r="H7" s="2">
        <v>55300000</v>
      </c>
      <c r="I7" s="3">
        <f t="shared" si="0"/>
        <v>55300000</v>
      </c>
      <c r="J7" s="3">
        <f>Tabela2[[#This Row],[Total]]*0.3</f>
        <v>16590000</v>
      </c>
    </row>
    <row r="8" spans="1:11" x14ac:dyDescent="0.25">
      <c r="A8">
        <v>7</v>
      </c>
      <c r="B8" t="s">
        <v>13</v>
      </c>
      <c r="C8" t="s">
        <v>14</v>
      </c>
      <c r="D8">
        <v>1</v>
      </c>
      <c r="E8" t="s">
        <v>30</v>
      </c>
      <c r="F8" t="s">
        <v>17</v>
      </c>
      <c r="G8" s="1">
        <v>45116</v>
      </c>
      <c r="H8" s="2">
        <v>49900000</v>
      </c>
      <c r="I8" s="3">
        <f t="shared" si="0"/>
        <v>49900000</v>
      </c>
      <c r="J8" s="3">
        <f>Tabela2[[#This Row],[Total]]*0.3</f>
        <v>14970000</v>
      </c>
      <c r="K8" t="s">
        <v>130</v>
      </c>
    </row>
    <row r="9" spans="1:11" x14ac:dyDescent="0.25">
      <c r="A9">
        <v>8</v>
      </c>
      <c r="B9" t="s">
        <v>11</v>
      </c>
      <c r="C9" t="s">
        <v>12</v>
      </c>
      <c r="D9">
        <v>1</v>
      </c>
      <c r="E9" t="s">
        <v>27</v>
      </c>
      <c r="F9" t="s">
        <v>10</v>
      </c>
      <c r="G9" s="1">
        <v>45006</v>
      </c>
      <c r="H9" s="2">
        <v>28500000</v>
      </c>
      <c r="I9" s="3">
        <f t="shared" si="0"/>
        <v>28500000</v>
      </c>
      <c r="J9" s="3">
        <f>Tabela2[[#This Row],[Total]]*0.3</f>
        <v>8550000</v>
      </c>
      <c r="K9">
        <f ca="1">SUMIF(E:I,E4,I:I)</f>
        <v>12058450000</v>
      </c>
    </row>
    <row r="10" spans="1:11" x14ac:dyDescent="0.25">
      <c r="A10">
        <v>9</v>
      </c>
      <c r="B10" t="s">
        <v>18</v>
      </c>
      <c r="C10" t="s">
        <v>19</v>
      </c>
      <c r="D10">
        <v>1</v>
      </c>
      <c r="E10" t="s">
        <v>30</v>
      </c>
      <c r="F10" t="s">
        <v>10</v>
      </c>
      <c r="G10" s="1">
        <v>44862</v>
      </c>
      <c r="H10" s="2">
        <v>46300000</v>
      </c>
      <c r="I10" s="3">
        <f t="shared" si="0"/>
        <v>46300000</v>
      </c>
      <c r="J10" s="3">
        <f>Tabela2[[#This Row],[Total]]*0.3</f>
        <v>13890000</v>
      </c>
    </row>
    <row r="11" spans="1:11" x14ac:dyDescent="0.25">
      <c r="A11">
        <v>10</v>
      </c>
      <c r="B11" t="s">
        <v>13</v>
      </c>
      <c r="C11" t="s">
        <v>14</v>
      </c>
      <c r="D11">
        <v>1</v>
      </c>
      <c r="E11" t="s">
        <v>27</v>
      </c>
      <c r="F11" t="s">
        <v>32</v>
      </c>
      <c r="G11" s="1">
        <v>44788</v>
      </c>
      <c r="H11" s="2">
        <v>49900000</v>
      </c>
      <c r="I11" s="3">
        <f t="shared" si="0"/>
        <v>49900000</v>
      </c>
      <c r="J11" s="3">
        <f>Tabela2[[#This Row],[Total]]*0.3</f>
        <v>14970000</v>
      </c>
    </row>
    <row r="12" spans="1:11" x14ac:dyDescent="0.25">
      <c r="A12">
        <v>11</v>
      </c>
      <c r="B12" t="s">
        <v>20</v>
      </c>
      <c r="C12" t="s">
        <v>14</v>
      </c>
      <c r="D12">
        <v>1</v>
      </c>
      <c r="E12" t="s">
        <v>30</v>
      </c>
      <c r="F12" t="s">
        <v>10</v>
      </c>
      <c r="G12" s="1">
        <v>45014</v>
      </c>
      <c r="H12" s="2">
        <v>47700000</v>
      </c>
      <c r="I12" s="3">
        <f t="shared" si="0"/>
        <v>47700000</v>
      </c>
      <c r="J12" s="3">
        <f>Tabela2[[#This Row],[Total]]*0.3</f>
        <v>14310000</v>
      </c>
      <c r="K12" t="s">
        <v>131</v>
      </c>
    </row>
    <row r="13" spans="1:11" x14ac:dyDescent="0.25">
      <c r="A13">
        <v>12</v>
      </c>
      <c r="B13" t="s">
        <v>21</v>
      </c>
      <c r="C13" t="s">
        <v>22</v>
      </c>
      <c r="D13">
        <v>1</v>
      </c>
      <c r="E13" t="s">
        <v>29</v>
      </c>
      <c r="F13" t="s">
        <v>10</v>
      </c>
      <c r="G13" s="1">
        <v>45014</v>
      </c>
      <c r="H13" s="2">
        <v>37850000</v>
      </c>
      <c r="I13" s="3">
        <f t="shared" si="0"/>
        <v>37850000</v>
      </c>
      <c r="J13" s="3">
        <f>Tabela2[[#This Row],[Total]]*0.3</f>
        <v>11355000</v>
      </c>
      <c r="K13">
        <f ca="1">SUMIF(E:I,E8,I:I)</f>
        <v>22246550000</v>
      </c>
    </row>
    <row r="14" spans="1:11" x14ac:dyDescent="0.25">
      <c r="A14">
        <v>13</v>
      </c>
      <c r="B14" t="s">
        <v>8</v>
      </c>
      <c r="C14" t="s">
        <v>9</v>
      </c>
      <c r="D14">
        <v>1</v>
      </c>
      <c r="E14" t="s">
        <v>30</v>
      </c>
      <c r="F14" t="s">
        <v>31</v>
      </c>
      <c r="G14" s="1">
        <v>44958</v>
      </c>
      <c r="H14" s="2">
        <v>55300000</v>
      </c>
      <c r="I14" s="3">
        <f t="shared" si="0"/>
        <v>55300000</v>
      </c>
      <c r="J14" s="3">
        <f>Tabela2[[#This Row],[Total]]*0.3</f>
        <v>16590000</v>
      </c>
    </row>
    <row r="15" spans="1:11" x14ac:dyDescent="0.25">
      <c r="A15">
        <v>14</v>
      </c>
      <c r="B15" t="s">
        <v>8</v>
      </c>
      <c r="C15" t="s">
        <v>9</v>
      </c>
      <c r="D15">
        <v>10</v>
      </c>
      <c r="E15" t="s">
        <v>28</v>
      </c>
      <c r="F15" t="s">
        <v>31</v>
      </c>
      <c r="G15" s="1">
        <v>44710</v>
      </c>
      <c r="H15" s="2">
        <v>55300000</v>
      </c>
      <c r="I15" s="3">
        <f t="shared" si="0"/>
        <v>553000000</v>
      </c>
      <c r="J15" s="3">
        <f>Tabela2[[#This Row],[Total]]*0.3</f>
        <v>165900000</v>
      </c>
    </row>
    <row r="16" spans="1:11" x14ac:dyDescent="0.25">
      <c r="A16">
        <v>15</v>
      </c>
      <c r="B16" t="s">
        <v>23</v>
      </c>
      <c r="C16" t="s">
        <v>24</v>
      </c>
      <c r="D16">
        <v>1</v>
      </c>
      <c r="E16" t="s">
        <v>28</v>
      </c>
      <c r="F16" t="s">
        <v>10</v>
      </c>
      <c r="G16" s="1">
        <v>44787</v>
      </c>
      <c r="H16" s="2">
        <v>38500000</v>
      </c>
      <c r="I16" s="3">
        <f t="shared" si="0"/>
        <v>38500000</v>
      </c>
      <c r="J16" s="3">
        <f>Tabela2[[#This Row],[Total]]*0.3</f>
        <v>11550000</v>
      </c>
      <c r="K16" t="s">
        <v>132</v>
      </c>
    </row>
    <row r="17" spans="1:11" x14ac:dyDescent="0.25">
      <c r="A17">
        <v>16</v>
      </c>
      <c r="B17" t="s">
        <v>18</v>
      </c>
      <c r="C17" t="s">
        <v>19</v>
      </c>
      <c r="D17">
        <v>10</v>
      </c>
      <c r="E17" t="s">
        <v>27</v>
      </c>
      <c r="F17" t="s">
        <v>32</v>
      </c>
      <c r="G17" s="1">
        <v>45014</v>
      </c>
      <c r="H17" s="2">
        <v>46300000</v>
      </c>
      <c r="I17" s="3">
        <f t="shared" si="0"/>
        <v>463000000</v>
      </c>
      <c r="J17" s="3">
        <f>Tabela2[[#This Row],[Total]]*0.3</f>
        <v>138900000</v>
      </c>
      <c r="K17">
        <f ca="1">SUMIF(F:I,F2,I:I)</f>
        <v>1968350000</v>
      </c>
    </row>
    <row r="18" spans="1:11" x14ac:dyDescent="0.25">
      <c r="A18">
        <v>17</v>
      </c>
      <c r="B18" t="s">
        <v>18</v>
      </c>
      <c r="C18" t="s">
        <v>19</v>
      </c>
      <c r="D18">
        <v>1</v>
      </c>
      <c r="E18" t="s">
        <v>29</v>
      </c>
      <c r="F18" t="s">
        <v>10</v>
      </c>
      <c r="G18" s="1">
        <v>44818</v>
      </c>
      <c r="H18" s="2">
        <v>46300000</v>
      </c>
      <c r="I18" s="3">
        <f t="shared" si="0"/>
        <v>46300000</v>
      </c>
      <c r="J18" s="3">
        <f>Tabela2[[#This Row],[Total]]*0.3</f>
        <v>13890000</v>
      </c>
    </row>
    <row r="19" spans="1:11" x14ac:dyDescent="0.25">
      <c r="A19">
        <v>18</v>
      </c>
      <c r="B19" t="s">
        <v>23</v>
      </c>
      <c r="C19" t="s">
        <v>24</v>
      </c>
      <c r="D19">
        <v>30</v>
      </c>
      <c r="E19" t="s">
        <v>30</v>
      </c>
      <c r="F19" t="s">
        <v>32</v>
      </c>
      <c r="G19" s="1">
        <v>45117</v>
      </c>
      <c r="H19" s="2">
        <v>38500000</v>
      </c>
      <c r="I19" s="3">
        <f t="shared" si="0"/>
        <v>1155000000</v>
      </c>
      <c r="J19" s="3">
        <f>Tabela2[[#This Row],[Total]]*0.3</f>
        <v>346500000</v>
      </c>
      <c r="K19" t="s">
        <v>133</v>
      </c>
    </row>
    <row r="20" spans="1:11" x14ac:dyDescent="0.25">
      <c r="A20">
        <v>19</v>
      </c>
      <c r="B20" t="s">
        <v>15</v>
      </c>
      <c r="C20" t="s">
        <v>16</v>
      </c>
      <c r="D20">
        <v>1</v>
      </c>
      <c r="E20" t="s">
        <v>28</v>
      </c>
      <c r="F20" t="s">
        <v>17</v>
      </c>
      <c r="G20" s="1">
        <v>44892</v>
      </c>
      <c r="H20" s="2">
        <v>58500000</v>
      </c>
      <c r="I20" s="3">
        <f t="shared" si="0"/>
        <v>58500000</v>
      </c>
      <c r="J20" s="3">
        <f>Tabela2[[#This Row],[Total]]*0.3</f>
        <v>17550000</v>
      </c>
      <c r="K20">
        <f ca="1">SUMIF(F:I,F3,I:I)</f>
        <v>37389150000</v>
      </c>
    </row>
    <row r="21" spans="1:11" x14ac:dyDescent="0.25">
      <c r="A21">
        <v>20</v>
      </c>
      <c r="B21" t="s">
        <v>20</v>
      </c>
      <c r="C21" t="s">
        <v>14</v>
      </c>
      <c r="D21">
        <v>1</v>
      </c>
      <c r="E21" t="s">
        <v>30</v>
      </c>
      <c r="F21" t="s">
        <v>31</v>
      </c>
      <c r="G21" s="1">
        <v>44818</v>
      </c>
      <c r="H21" s="2">
        <v>47700000</v>
      </c>
      <c r="I21" s="3">
        <f t="shared" si="0"/>
        <v>47700000</v>
      </c>
      <c r="J21" s="3">
        <f>Tabela2[[#This Row],[Total]]*0.3</f>
        <v>14310000</v>
      </c>
    </row>
    <row r="22" spans="1:11" x14ac:dyDescent="0.25">
      <c r="A22">
        <v>21</v>
      </c>
      <c r="B22" t="s">
        <v>11</v>
      </c>
      <c r="C22" t="s">
        <v>12</v>
      </c>
      <c r="D22">
        <v>1</v>
      </c>
      <c r="E22" t="s">
        <v>28</v>
      </c>
      <c r="F22" t="s">
        <v>10</v>
      </c>
      <c r="G22" s="1">
        <v>45116</v>
      </c>
      <c r="H22" s="2">
        <v>28500000</v>
      </c>
      <c r="I22" s="3">
        <f t="shared" si="0"/>
        <v>28500000</v>
      </c>
      <c r="J22" s="3">
        <f>Tabela2[[#This Row],[Total]]*0.3</f>
        <v>8550000</v>
      </c>
      <c r="K22" t="s">
        <v>134</v>
      </c>
    </row>
    <row r="23" spans="1:11" x14ac:dyDescent="0.25">
      <c r="A23">
        <v>22</v>
      </c>
      <c r="B23" t="s">
        <v>23</v>
      </c>
      <c r="C23" t="s">
        <v>24</v>
      </c>
      <c r="D23">
        <v>30</v>
      </c>
      <c r="E23" t="s">
        <v>30</v>
      </c>
      <c r="F23" t="s">
        <v>32</v>
      </c>
      <c r="G23" s="1">
        <v>44788</v>
      </c>
      <c r="H23" s="2">
        <v>38500000</v>
      </c>
      <c r="I23" s="3">
        <f t="shared" si="0"/>
        <v>1155000000</v>
      </c>
      <c r="J23" s="3">
        <f>Tabela2[[#This Row],[Total]]*0.3</f>
        <v>346500000</v>
      </c>
      <c r="K23">
        <f ca="1">SUMIF(F:I,F11,I:I)</f>
        <v>23486850000</v>
      </c>
    </row>
    <row r="24" spans="1:11" x14ac:dyDescent="0.25">
      <c r="A24">
        <v>23</v>
      </c>
      <c r="B24" t="s">
        <v>25</v>
      </c>
      <c r="C24" t="s">
        <v>26</v>
      </c>
      <c r="D24">
        <v>20</v>
      </c>
      <c r="E24" t="s">
        <v>27</v>
      </c>
      <c r="F24" t="s">
        <v>31</v>
      </c>
      <c r="G24" s="1">
        <v>45014</v>
      </c>
      <c r="H24" s="2">
        <v>33300000</v>
      </c>
      <c r="I24" s="3">
        <f t="shared" si="0"/>
        <v>666000000</v>
      </c>
      <c r="J24" s="3">
        <f>Tabela2[[#This Row],[Total]]*0.3</f>
        <v>199800000</v>
      </c>
    </row>
    <row r="25" spans="1:11" x14ac:dyDescent="0.25">
      <c r="A25">
        <v>24</v>
      </c>
      <c r="B25" t="s">
        <v>23</v>
      </c>
      <c r="C25" t="s">
        <v>24</v>
      </c>
      <c r="D25">
        <v>20</v>
      </c>
      <c r="E25" t="s">
        <v>30</v>
      </c>
      <c r="F25" t="s">
        <v>31</v>
      </c>
      <c r="G25" s="1">
        <v>44710</v>
      </c>
      <c r="H25" s="2">
        <v>38500000</v>
      </c>
      <c r="I25" s="3">
        <f t="shared" si="0"/>
        <v>770000000</v>
      </c>
      <c r="J25" s="3">
        <f>Tabela2[[#This Row],[Total]]*0.3</f>
        <v>231000000</v>
      </c>
      <c r="K25" t="s">
        <v>135</v>
      </c>
    </row>
    <row r="26" spans="1:11" x14ac:dyDescent="0.25">
      <c r="A26">
        <v>25</v>
      </c>
      <c r="B26" t="s">
        <v>11</v>
      </c>
      <c r="C26" t="s">
        <v>12</v>
      </c>
      <c r="D26">
        <v>20</v>
      </c>
      <c r="E26" t="s">
        <v>29</v>
      </c>
      <c r="F26" t="s">
        <v>31</v>
      </c>
      <c r="G26" s="1">
        <v>45014</v>
      </c>
      <c r="H26" s="2">
        <v>28500000</v>
      </c>
      <c r="I26" s="3">
        <f t="shared" si="0"/>
        <v>570000000</v>
      </c>
      <c r="J26" s="3">
        <f>Tabela2[[#This Row],[Total]]*0.3</f>
        <v>171000000</v>
      </c>
      <c r="K26">
        <f ca="1">SUMIF(F:I,F20,I:I)</f>
        <v>2153550000</v>
      </c>
    </row>
    <row r="27" spans="1:11" x14ac:dyDescent="0.25">
      <c r="A27">
        <v>26</v>
      </c>
      <c r="B27" t="s">
        <v>11</v>
      </c>
      <c r="C27" t="s">
        <v>12</v>
      </c>
      <c r="D27">
        <v>20</v>
      </c>
      <c r="E27" t="s">
        <v>29</v>
      </c>
      <c r="F27" t="s">
        <v>31</v>
      </c>
      <c r="G27" s="1">
        <v>45006</v>
      </c>
      <c r="H27" s="2">
        <v>28500000</v>
      </c>
      <c r="I27" s="3">
        <f t="shared" si="0"/>
        <v>570000000</v>
      </c>
      <c r="J27" s="3">
        <f>Tabela2[[#This Row],[Total]]*0.3</f>
        <v>171000000</v>
      </c>
    </row>
    <row r="28" spans="1:11" x14ac:dyDescent="0.25">
      <c r="A28">
        <v>27</v>
      </c>
      <c r="B28" t="s">
        <v>15</v>
      </c>
      <c r="C28" t="s">
        <v>16</v>
      </c>
      <c r="D28">
        <v>1</v>
      </c>
      <c r="E28" t="s">
        <v>29</v>
      </c>
      <c r="F28" t="s">
        <v>17</v>
      </c>
      <c r="G28" s="1">
        <v>44673</v>
      </c>
      <c r="H28" s="2">
        <v>58500000</v>
      </c>
      <c r="I28" s="3">
        <f t="shared" si="0"/>
        <v>58500000</v>
      </c>
      <c r="J28" s="3">
        <f>Tabela2[[#This Row],[Total]]*0.3</f>
        <v>17550000</v>
      </c>
    </row>
    <row r="29" spans="1:11" x14ac:dyDescent="0.25">
      <c r="A29">
        <v>28</v>
      </c>
      <c r="B29" t="s">
        <v>20</v>
      </c>
      <c r="C29" t="s">
        <v>14</v>
      </c>
      <c r="D29">
        <v>2</v>
      </c>
      <c r="E29" t="s">
        <v>27</v>
      </c>
      <c r="F29" t="s">
        <v>31</v>
      </c>
      <c r="G29" s="1">
        <v>45014</v>
      </c>
      <c r="H29" s="2">
        <v>47700000</v>
      </c>
      <c r="I29" s="3">
        <f t="shared" si="0"/>
        <v>95400000</v>
      </c>
      <c r="J29" s="3">
        <f>Tabela2[[#This Row],[Total]]*0.3</f>
        <v>28620000</v>
      </c>
    </row>
    <row r="30" spans="1:11" x14ac:dyDescent="0.25">
      <c r="A30">
        <v>29</v>
      </c>
      <c r="B30" t="s">
        <v>8</v>
      </c>
      <c r="C30" t="s">
        <v>9</v>
      </c>
      <c r="D30">
        <v>10</v>
      </c>
      <c r="E30" t="s">
        <v>29</v>
      </c>
      <c r="F30" t="s">
        <v>31</v>
      </c>
      <c r="G30" s="1">
        <v>45276</v>
      </c>
      <c r="H30" s="2">
        <v>55300000</v>
      </c>
      <c r="I30" s="3">
        <f t="shared" si="0"/>
        <v>553000000</v>
      </c>
      <c r="J30" s="3">
        <f>Tabela2[[#This Row],[Total]]*0.3</f>
        <v>165900000</v>
      </c>
    </row>
    <row r="31" spans="1:11" x14ac:dyDescent="0.25">
      <c r="A31">
        <v>30</v>
      </c>
      <c r="B31" t="s">
        <v>23</v>
      </c>
      <c r="C31" t="s">
        <v>24</v>
      </c>
      <c r="D31">
        <v>30</v>
      </c>
      <c r="E31" t="s">
        <v>29</v>
      </c>
      <c r="F31" t="s">
        <v>31</v>
      </c>
      <c r="G31" s="1">
        <v>44862</v>
      </c>
      <c r="H31" s="2">
        <v>38500000</v>
      </c>
      <c r="I31" s="3">
        <f t="shared" si="0"/>
        <v>1155000000</v>
      </c>
      <c r="J31" s="3">
        <f>Tabela2[[#This Row],[Total]]*0.3</f>
        <v>346500000</v>
      </c>
    </row>
    <row r="32" spans="1:11" x14ac:dyDescent="0.25">
      <c r="A32">
        <v>31</v>
      </c>
      <c r="B32" t="s">
        <v>21</v>
      </c>
      <c r="C32" t="s">
        <v>22</v>
      </c>
      <c r="D32">
        <v>20</v>
      </c>
      <c r="E32" t="s">
        <v>27</v>
      </c>
      <c r="F32" t="s">
        <v>32</v>
      </c>
      <c r="G32" s="1">
        <v>44720</v>
      </c>
      <c r="H32" s="2">
        <v>37850000</v>
      </c>
      <c r="I32" s="3">
        <f t="shared" si="0"/>
        <v>757000000</v>
      </c>
      <c r="J32" s="3">
        <f>Tabela2[[#This Row],[Total]]*0.3</f>
        <v>227100000</v>
      </c>
    </row>
    <row r="33" spans="1:10" x14ac:dyDescent="0.25">
      <c r="A33">
        <v>32</v>
      </c>
      <c r="B33" t="s">
        <v>23</v>
      </c>
      <c r="C33" t="s">
        <v>24</v>
      </c>
      <c r="D33">
        <v>1</v>
      </c>
      <c r="E33" t="s">
        <v>30</v>
      </c>
      <c r="F33" t="s">
        <v>17</v>
      </c>
      <c r="G33" s="1">
        <v>45006</v>
      </c>
      <c r="H33" s="2">
        <v>38500000</v>
      </c>
      <c r="I33" s="3">
        <f t="shared" si="0"/>
        <v>38500000</v>
      </c>
      <c r="J33" s="3">
        <f>Tabela2[[#This Row],[Total]]*0.3</f>
        <v>11550000</v>
      </c>
    </row>
    <row r="34" spans="1:10" x14ac:dyDescent="0.25">
      <c r="A34">
        <v>33</v>
      </c>
      <c r="B34" t="s">
        <v>20</v>
      </c>
      <c r="C34" t="s">
        <v>14</v>
      </c>
      <c r="D34">
        <v>20</v>
      </c>
      <c r="E34" t="s">
        <v>27</v>
      </c>
      <c r="F34" t="s">
        <v>32</v>
      </c>
      <c r="G34" s="1">
        <v>44892</v>
      </c>
      <c r="H34" s="2">
        <v>47700000</v>
      </c>
      <c r="I34" s="3">
        <f t="shared" si="0"/>
        <v>954000000</v>
      </c>
      <c r="J34" s="3">
        <f>Tabela2[[#This Row],[Total]]*0.3</f>
        <v>286200000</v>
      </c>
    </row>
    <row r="35" spans="1:10" x14ac:dyDescent="0.25">
      <c r="A35">
        <v>34</v>
      </c>
      <c r="B35" t="s">
        <v>8</v>
      </c>
      <c r="C35" t="s">
        <v>9</v>
      </c>
      <c r="D35">
        <v>1</v>
      </c>
      <c r="E35" t="s">
        <v>29</v>
      </c>
      <c r="F35" t="s">
        <v>32</v>
      </c>
      <c r="G35" s="1">
        <v>44867</v>
      </c>
      <c r="H35" s="2">
        <v>55300000</v>
      </c>
      <c r="I35" s="3">
        <f t="shared" si="0"/>
        <v>55300000</v>
      </c>
      <c r="J35" s="3">
        <f>Tabela2[[#This Row],[Total]]*0.3</f>
        <v>16590000</v>
      </c>
    </row>
    <row r="36" spans="1:10" x14ac:dyDescent="0.25">
      <c r="A36">
        <v>35</v>
      </c>
      <c r="B36" t="s">
        <v>21</v>
      </c>
      <c r="C36" t="s">
        <v>22</v>
      </c>
      <c r="D36">
        <v>1</v>
      </c>
      <c r="E36" t="s">
        <v>27</v>
      </c>
      <c r="F36" t="s">
        <v>17</v>
      </c>
      <c r="G36" s="1">
        <v>44720</v>
      </c>
      <c r="H36" s="2">
        <v>37850000</v>
      </c>
      <c r="I36" s="3">
        <f t="shared" si="0"/>
        <v>37850000</v>
      </c>
      <c r="J36" s="3">
        <f>Tabela2[[#This Row],[Total]]*0.3</f>
        <v>11355000</v>
      </c>
    </row>
    <row r="37" spans="1:10" x14ac:dyDescent="0.25">
      <c r="A37">
        <v>36</v>
      </c>
      <c r="B37" t="s">
        <v>23</v>
      </c>
      <c r="C37" t="s">
        <v>24</v>
      </c>
      <c r="D37">
        <v>1</v>
      </c>
      <c r="E37" t="s">
        <v>28</v>
      </c>
      <c r="F37" t="s">
        <v>17</v>
      </c>
      <c r="G37" s="1">
        <v>44591</v>
      </c>
      <c r="H37" s="2">
        <v>38500000</v>
      </c>
      <c r="I37" s="3">
        <f t="shared" si="0"/>
        <v>38500000</v>
      </c>
      <c r="J37" s="3">
        <f>Tabela2[[#This Row],[Total]]*0.3</f>
        <v>11550000</v>
      </c>
    </row>
    <row r="38" spans="1:10" x14ac:dyDescent="0.25">
      <c r="A38">
        <v>37</v>
      </c>
      <c r="B38" t="s">
        <v>18</v>
      </c>
      <c r="C38" t="s">
        <v>19</v>
      </c>
      <c r="D38">
        <v>10</v>
      </c>
      <c r="E38" t="s">
        <v>29</v>
      </c>
      <c r="F38" t="s">
        <v>32</v>
      </c>
      <c r="G38" s="1">
        <v>45006</v>
      </c>
      <c r="H38" s="2">
        <v>46300000</v>
      </c>
      <c r="I38" s="3">
        <f t="shared" si="0"/>
        <v>463000000</v>
      </c>
      <c r="J38" s="3">
        <f>Tabela2[[#This Row],[Total]]*0.3</f>
        <v>138900000</v>
      </c>
    </row>
    <row r="39" spans="1:10" x14ac:dyDescent="0.25">
      <c r="A39">
        <v>38</v>
      </c>
      <c r="B39" t="s">
        <v>13</v>
      </c>
      <c r="C39" t="s">
        <v>14</v>
      </c>
      <c r="D39">
        <v>1</v>
      </c>
      <c r="E39" t="s">
        <v>30</v>
      </c>
      <c r="F39" t="s">
        <v>10</v>
      </c>
      <c r="G39" s="1">
        <v>44720</v>
      </c>
      <c r="H39" s="2">
        <v>49900000</v>
      </c>
      <c r="I39" s="3">
        <f t="shared" si="0"/>
        <v>49900000</v>
      </c>
      <c r="J39" s="3">
        <f>Tabela2[[#This Row],[Total]]*0.3</f>
        <v>14970000</v>
      </c>
    </row>
    <row r="40" spans="1:10" x14ac:dyDescent="0.25">
      <c r="A40">
        <v>39</v>
      </c>
      <c r="B40" t="s">
        <v>21</v>
      </c>
      <c r="C40" t="s">
        <v>22</v>
      </c>
      <c r="D40">
        <v>20</v>
      </c>
      <c r="E40" t="s">
        <v>30</v>
      </c>
      <c r="F40" t="s">
        <v>32</v>
      </c>
      <c r="G40" s="1">
        <v>45014</v>
      </c>
      <c r="H40" s="2">
        <v>37850000</v>
      </c>
      <c r="I40" s="3">
        <f t="shared" si="0"/>
        <v>757000000</v>
      </c>
      <c r="J40" s="3">
        <f>Tabela2[[#This Row],[Total]]*0.3</f>
        <v>227100000</v>
      </c>
    </row>
    <row r="41" spans="1:10" x14ac:dyDescent="0.25">
      <c r="A41">
        <v>40</v>
      </c>
      <c r="B41" t="s">
        <v>8</v>
      </c>
      <c r="C41" t="s">
        <v>9</v>
      </c>
      <c r="D41">
        <v>10</v>
      </c>
      <c r="E41" t="s">
        <v>30</v>
      </c>
      <c r="F41" t="s">
        <v>32</v>
      </c>
      <c r="G41" s="1">
        <v>44710</v>
      </c>
      <c r="H41" s="2">
        <v>55300000</v>
      </c>
      <c r="I41" s="3">
        <f t="shared" si="0"/>
        <v>553000000</v>
      </c>
      <c r="J41" s="3">
        <f>Tabela2[[#This Row],[Total]]*0.3</f>
        <v>165900000</v>
      </c>
    </row>
    <row r="42" spans="1:10" x14ac:dyDescent="0.25">
      <c r="A42">
        <v>41</v>
      </c>
      <c r="B42" t="s">
        <v>18</v>
      </c>
      <c r="C42" t="s">
        <v>19</v>
      </c>
      <c r="D42">
        <v>1</v>
      </c>
      <c r="E42" t="s">
        <v>27</v>
      </c>
      <c r="F42" t="s">
        <v>10</v>
      </c>
      <c r="G42" s="1">
        <v>44710</v>
      </c>
      <c r="H42" s="2">
        <v>46300000</v>
      </c>
      <c r="I42" s="3">
        <f t="shared" si="0"/>
        <v>46300000</v>
      </c>
      <c r="J42" s="3">
        <f>Tabela2[[#This Row],[Total]]*0.3</f>
        <v>13890000</v>
      </c>
    </row>
    <row r="43" spans="1:10" x14ac:dyDescent="0.25">
      <c r="A43">
        <v>42</v>
      </c>
      <c r="B43" t="s">
        <v>15</v>
      </c>
      <c r="C43" t="s">
        <v>16</v>
      </c>
      <c r="D43">
        <v>1</v>
      </c>
      <c r="E43" t="s">
        <v>27</v>
      </c>
      <c r="F43" t="s">
        <v>31</v>
      </c>
      <c r="G43" s="1">
        <v>44720</v>
      </c>
      <c r="H43" s="2">
        <v>58500000</v>
      </c>
      <c r="I43" s="3">
        <f t="shared" si="0"/>
        <v>58500000</v>
      </c>
      <c r="J43" s="3">
        <f>Tabela2[[#This Row],[Total]]*0.3</f>
        <v>17550000</v>
      </c>
    </row>
    <row r="44" spans="1:10" x14ac:dyDescent="0.25">
      <c r="A44">
        <v>43</v>
      </c>
      <c r="B44" t="s">
        <v>23</v>
      </c>
      <c r="C44" t="s">
        <v>24</v>
      </c>
      <c r="D44">
        <v>1</v>
      </c>
      <c r="E44" t="s">
        <v>29</v>
      </c>
      <c r="F44" t="s">
        <v>10</v>
      </c>
      <c r="G44" s="1">
        <v>44867</v>
      </c>
      <c r="H44" s="2">
        <v>38500000</v>
      </c>
      <c r="I44" s="3">
        <f t="shared" si="0"/>
        <v>38500000</v>
      </c>
      <c r="J44" s="3">
        <f>Tabela2[[#This Row],[Total]]*0.3</f>
        <v>11550000</v>
      </c>
    </row>
    <row r="45" spans="1:10" x14ac:dyDescent="0.25">
      <c r="A45">
        <v>44</v>
      </c>
      <c r="B45" t="s">
        <v>21</v>
      </c>
      <c r="C45" t="s">
        <v>22</v>
      </c>
      <c r="D45">
        <v>1</v>
      </c>
      <c r="E45" t="s">
        <v>28</v>
      </c>
      <c r="F45" t="s">
        <v>17</v>
      </c>
      <c r="G45" s="1">
        <v>45117</v>
      </c>
      <c r="H45" s="2">
        <v>37850000</v>
      </c>
      <c r="I45" s="3">
        <f t="shared" si="0"/>
        <v>37850000</v>
      </c>
      <c r="J45" s="3">
        <f>Tabela2[[#This Row],[Total]]*0.3</f>
        <v>11355000</v>
      </c>
    </row>
    <row r="46" spans="1:10" x14ac:dyDescent="0.25">
      <c r="A46">
        <v>45</v>
      </c>
      <c r="B46" t="s">
        <v>11</v>
      </c>
      <c r="C46" t="s">
        <v>12</v>
      </c>
      <c r="D46">
        <v>2</v>
      </c>
      <c r="E46" t="s">
        <v>30</v>
      </c>
      <c r="F46" t="s">
        <v>31</v>
      </c>
      <c r="G46" s="1">
        <v>44720</v>
      </c>
      <c r="H46" s="2">
        <v>28500000</v>
      </c>
      <c r="I46" s="3">
        <f t="shared" si="0"/>
        <v>57000000</v>
      </c>
      <c r="J46" s="3">
        <f>Tabela2[[#This Row],[Total]]*0.3</f>
        <v>17100000</v>
      </c>
    </row>
    <row r="47" spans="1:10" x14ac:dyDescent="0.25">
      <c r="A47">
        <v>46</v>
      </c>
      <c r="B47" t="s">
        <v>20</v>
      </c>
      <c r="C47" t="s">
        <v>14</v>
      </c>
      <c r="D47">
        <v>1</v>
      </c>
      <c r="E47" t="s">
        <v>29</v>
      </c>
      <c r="F47" t="s">
        <v>17</v>
      </c>
      <c r="G47" s="1">
        <v>44710</v>
      </c>
      <c r="H47" s="2">
        <v>47700000</v>
      </c>
      <c r="I47" s="3">
        <f t="shared" si="0"/>
        <v>47700000</v>
      </c>
      <c r="J47" s="3">
        <f>Tabela2[[#This Row],[Total]]*0.3</f>
        <v>14310000</v>
      </c>
    </row>
    <row r="48" spans="1:10" x14ac:dyDescent="0.25">
      <c r="A48">
        <v>47</v>
      </c>
      <c r="B48" t="s">
        <v>8</v>
      </c>
      <c r="C48" t="s">
        <v>9</v>
      </c>
      <c r="D48">
        <v>1</v>
      </c>
      <c r="E48" t="s">
        <v>28</v>
      </c>
      <c r="F48" t="s">
        <v>32</v>
      </c>
      <c r="G48" s="1">
        <v>45116</v>
      </c>
      <c r="H48" s="2">
        <v>55300000</v>
      </c>
      <c r="I48" s="3">
        <f t="shared" si="0"/>
        <v>55300000</v>
      </c>
      <c r="J48" s="3">
        <f>Tabela2[[#This Row],[Total]]*0.3</f>
        <v>16590000</v>
      </c>
    </row>
    <row r="49" spans="1:10" x14ac:dyDescent="0.25">
      <c r="A49">
        <v>48</v>
      </c>
      <c r="B49" t="s">
        <v>23</v>
      </c>
      <c r="C49" t="s">
        <v>24</v>
      </c>
      <c r="D49">
        <v>1</v>
      </c>
      <c r="E49" t="s">
        <v>28</v>
      </c>
      <c r="F49" t="s">
        <v>17</v>
      </c>
      <c r="G49" s="1">
        <v>44673</v>
      </c>
      <c r="H49" s="2">
        <v>38500000</v>
      </c>
      <c r="I49" s="3">
        <f t="shared" si="0"/>
        <v>38500000</v>
      </c>
      <c r="J49" s="3">
        <f>Tabela2[[#This Row],[Total]]*0.3</f>
        <v>11550000</v>
      </c>
    </row>
    <row r="50" spans="1:10" x14ac:dyDescent="0.25">
      <c r="A50">
        <v>49</v>
      </c>
      <c r="B50" t="s">
        <v>15</v>
      </c>
      <c r="C50" t="s">
        <v>16</v>
      </c>
      <c r="D50">
        <v>30</v>
      </c>
      <c r="E50" t="s">
        <v>28</v>
      </c>
      <c r="F50" t="s">
        <v>32</v>
      </c>
      <c r="G50" s="1">
        <v>45276</v>
      </c>
      <c r="H50" s="2">
        <v>58500000</v>
      </c>
      <c r="I50" s="3">
        <f t="shared" si="0"/>
        <v>1755000000</v>
      </c>
      <c r="J50" s="3">
        <f>Tabela2[[#This Row],[Total]]*0.3</f>
        <v>526500000</v>
      </c>
    </row>
    <row r="51" spans="1:10" x14ac:dyDescent="0.25">
      <c r="A51">
        <v>50</v>
      </c>
      <c r="B51" t="s">
        <v>15</v>
      </c>
      <c r="C51" t="s">
        <v>16</v>
      </c>
      <c r="D51">
        <v>1</v>
      </c>
      <c r="E51" t="s">
        <v>29</v>
      </c>
      <c r="F51" t="s">
        <v>17</v>
      </c>
      <c r="G51" s="1">
        <v>44892</v>
      </c>
      <c r="H51" s="2">
        <v>58500000</v>
      </c>
      <c r="I51" s="3">
        <f t="shared" si="0"/>
        <v>58500000</v>
      </c>
      <c r="J51" s="3">
        <f>Tabela2[[#This Row],[Total]]*0.3</f>
        <v>17550000</v>
      </c>
    </row>
    <row r="52" spans="1:10" x14ac:dyDescent="0.25">
      <c r="A52">
        <v>51</v>
      </c>
      <c r="B52" t="s">
        <v>8</v>
      </c>
      <c r="C52" t="s">
        <v>9</v>
      </c>
      <c r="D52">
        <v>20</v>
      </c>
      <c r="E52" t="s">
        <v>30</v>
      </c>
      <c r="F52" t="s">
        <v>31</v>
      </c>
      <c r="G52" s="1">
        <v>45117</v>
      </c>
      <c r="H52" s="2">
        <v>55300000</v>
      </c>
      <c r="I52" s="3">
        <f t="shared" si="0"/>
        <v>1106000000</v>
      </c>
      <c r="J52" s="3">
        <f>Tabela2[[#This Row],[Total]]*0.3</f>
        <v>331800000</v>
      </c>
    </row>
    <row r="53" spans="1:10" x14ac:dyDescent="0.25">
      <c r="A53">
        <v>52</v>
      </c>
      <c r="B53" t="s">
        <v>15</v>
      </c>
      <c r="C53" t="s">
        <v>16</v>
      </c>
      <c r="D53">
        <v>1</v>
      </c>
      <c r="E53" t="s">
        <v>27</v>
      </c>
      <c r="F53" t="s">
        <v>10</v>
      </c>
      <c r="G53" s="1">
        <v>45014</v>
      </c>
      <c r="H53" s="2">
        <v>58500000</v>
      </c>
      <c r="I53" s="3">
        <f t="shared" si="0"/>
        <v>58500000</v>
      </c>
      <c r="J53" s="3">
        <f>Tabela2[[#This Row],[Total]]*0.3</f>
        <v>17550000</v>
      </c>
    </row>
    <row r="54" spans="1:10" x14ac:dyDescent="0.25">
      <c r="A54">
        <v>53</v>
      </c>
      <c r="B54" t="s">
        <v>23</v>
      </c>
      <c r="C54" t="s">
        <v>24</v>
      </c>
      <c r="D54">
        <v>1</v>
      </c>
      <c r="E54" t="s">
        <v>28</v>
      </c>
      <c r="F54" t="s">
        <v>10</v>
      </c>
      <c r="G54" s="1">
        <v>44720</v>
      </c>
      <c r="H54" s="2">
        <v>38500000</v>
      </c>
      <c r="I54" s="3">
        <f t="shared" si="0"/>
        <v>38500000</v>
      </c>
      <c r="J54" s="3">
        <f>Tabela2[[#This Row],[Total]]*0.3</f>
        <v>11550000</v>
      </c>
    </row>
    <row r="55" spans="1:10" x14ac:dyDescent="0.25">
      <c r="A55">
        <v>54</v>
      </c>
      <c r="B55" t="s">
        <v>8</v>
      </c>
      <c r="C55" t="s">
        <v>9</v>
      </c>
      <c r="D55">
        <v>2</v>
      </c>
      <c r="E55" t="s">
        <v>27</v>
      </c>
      <c r="F55" t="s">
        <v>32</v>
      </c>
      <c r="G55" s="1">
        <v>44623</v>
      </c>
      <c r="H55" s="2">
        <v>55300000</v>
      </c>
      <c r="I55" s="3">
        <f t="shared" si="0"/>
        <v>110600000</v>
      </c>
      <c r="J55" s="3">
        <f>Tabela2[[#This Row],[Total]]*0.3</f>
        <v>33180000</v>
      </c>
    </row>
    <row r="56" spans="1:10" x14ac:dyDescent="0.25">
      <c r="A56">
        <v>55</v>
      </c>
      <c r="B56" t="s">
        <v>18</v>
      </c>
      <c r="C56" t="s">
        <v>19</v>
      </c>
      <c r="D56">
        <v>1</v>
      </c>
      <c r="E56" t="s">
        <v>28</v>
      </c>
      <c r="F56" t="s">
        <v>17</v>
      </c>
      <c r="G56" s="1">
        <v>44958</v>
      </c>
      <c r="H56" s="2">
        <v>46300000</v>
      </c>
      <c r="I56" s="3">
        <f t="shared" si="0"/>
        <v>46300000</v>
      </c>
      <c r="J56" s="3">
        <f>Tabela2[[#This Row],[Total]]*0.3</f>
        <v>13890000</v>
      </c>
    </row>
    <row r="57" spans="1:10" x14ac:dyDescent="0.25">
      <c r="A57">
        <v>56</v>
      </c>
      <c r="B57" t="s">
        <v>8</v>
      </c>
      <c r="C57" t="s">
        <v>9</v>
      </c>
      <c r="D57">
        <v>1</v>
      </c>
      <c r="E57" t="s">
        <v>30</v>
      </c>
      <c r="F57" t="s">
        <v>10</v>
      </c>
      <c r="G57" s="1">
        <v>45116</v>
      </c>
      <c r="H57" s="2">
        <v>55300000</v>
      </c>
      <c r="I57" s="3">
        <f t="shared" si="0"/>
        <v>55300000</v>
      </c>
      <c r="J57" s="3">
        <f>Tabela2[[#This Row],[Total]]*0.3</f>
        <v>16590000</v>
      </c>
    </row>
    <row r="58" spans="1:10" x14ac:dyDescent="0.25">
      <c r="A58">
        <v>57</v>
      </c>
      <c r="B58" t="s">
        <v>23</v>
      </c>
      <c r="C58" t="s">
        <v>24</v>
      </c>
      <c r="D58">
        <v>1</v>
      </c>
      <c r="E58" t="s">
        <v>30</v>
      </c>
      <c r="F58" t="s">
        <v>10</v>
      </c>
      <c r="G58" s="1">
        <v>44720</v>
      </c>
      <c r="H58" s="2">
        <v>38500000</v>
      </c>
      <c r="I58" s="3">
        <f t="shared" si="0"/>
        <v>38500000</v>
      </c>
      <c r="J58" s="3">
        <f>Tabela2[[#This Row],[Total]]*0.3</f>
        <v>11550000</v>
      </c>
    </row>
    <row r="59" spans="1:10" x14ac:dyDescent="0.25">
      <c r="A59">
        <v>58</v>
      </c>
      <c r="B59" t="s">
        <v>15</v>
      </c>
      <c r="C59" t="s">
        <v>16</v>
      </c>
      <c r="D59">
        <v>30</v>
      </c>
      <c r="E59" t="s">
        <v>30</v>
      </c>
      <c r="F59" t="s">
        <v>31</v>
      </c>
      <c r="G59" s="1">
        <v>45116</v>
      </c>
      <c r="H59" s="2">
        <v>58500000</v>
      </c>
      <c r="I59" s="3">
        <f t="shared" si="0"/>
        <v>1755000000</v>
      </c>
      <c r="J59" s="3">
        <f>Tabela2[[#This Row],[Total]]*0.3</f>
        <v>526500000</v>
      </c>
    </row>
    <row r="60" spans="1:10" x14ac:dyDescent="0.25">
      <c r="A60">
        <v>59</v>
      </c>
      <c r="B60" t="s">
        <v>25</v>
      </c>
      <c r="C60" t="s">
        <v>26</v>
      </c>
      <c r="D60">
        <v>1</v>
      </c>
      <c r="E60" t="s">
        <v>30</v>
      </c>
      <c r="F60" t="s">
        <v>17</v>
      </c>
      <c r="G60" s="1">
        <v>44892</v>
      </c>
      <c r="H60" s="2">
        <v>33300000</v>
      </c>
      <c r="I60" s="3">
        <f t="shared" si="0"/>
        <v>33300000</v>
      </c>
      <c r="J60" s="3">
        <f>Tabela2[[#This Row],[Total]]*0.3</f>
        <v>9990000</v>
      </c>
    </row>
    <row r="61" spans="1:10" x14ac:dyDescent="0.25">
      <c r="A61">
        <v>60</v>
      </c>
      <c r="B61" t="s">
        <v>20</v>
      </c>
      <c r="C61" t="s">
        <v>14</v>
      </c>
      <c r="D61">
        <v>1</v>
      </c>
      <c r="E61" t="s">
        <v>30</v>
      </c>
      <c r="F61" t="s">
        <v>32</v>
      </c>
      <c r="G61" s="1">
        <v>44720</v>
      </c>
      <c r="H61" s="2">
        <v>47700000</v>
      </c>
      <c r="I61" s="3">
        <f t="shared" si="0"/>
        <v>47700000</v>
      </c>
      <c r="J61" s="3">
        <f>Tabela2[[#This Row],[Total]]*0.3</f>
        <v>14310000</v>
      </c>
    </row>
    <row r="62" spans="1:10" x14ac:dyDescent="0.25">
      <c r="A62">
        <v>61</v>
      </c>
      <c r="B62" t="s">
        <v>21</v>
      </c>
      <c r="C62" t="s">
        <v>22</v>
      </c>
      <c r="D62">
        <v>10</v>
      </c>
      <c r="E62" t="s">
        <v>30</v>
      </c>
      <c r="F62" t="s">
        <v>31</v>
      </c>
      <c r="G62" s="1">
        <v>45117</v>
      </c>
      <c r="H62" s="2">
        <v>37850000</v>
      </c>
      <c r="I62" s="3">
        <f t="shared" si="0"/>
        <v>378500000</v>
      </c>
      <c r="J62" s="3">
        <f>Tabela2[[#This Row],[Total]]*0.3</f>
        <v>113550000</v>
      </c>
    </row>
    <row r="63" spans="1:10" x14ac:dyDescent="0.25">
      <c r="A63">
        <v>62</v>
      </c>
      <c r="B63" t="s">
        <v>25</v>
      </c>
      <c r="C63" t="s">
        <v>26</v>
      </c>
      <c r="D63">
        <v>1</v>
      </c>
      <c r="E63" t="s">
        <v>28</v>
      </c>
      <c r="F63" t="s">
        <v>17</v>
      </c>
      <c r="G63" s="1">
        <v>44867</v>
      </c>
      <c r="H63" s="2">
        <v>33300000</v>
      </c>
      <c r="I63" s="3">
        <f t="shared" si="0"/>
        <v>33300000</v>
      </c>
      <c r="J63" s="3">
        <f>Tabela2[[#This Row],[Total]]*0.3</f>
        <v>9990000</v>
      </c>
    </row>
    <row r="64" spans="1:10" x14ac:dyDescent="0.25">
      <c r="A64">
        <v>63</v>
      </c>
      <c r="B64" t="s">
        <v>25</v>
      </c>
      <c r="C64" t="s">
        <v>26</v>
      </c>
      <c r="D64">
        <v>20</v>
      </c>
      <c r="E64" t="s">
        <v>27</v>
      </c>
      <c r="F64" t="s">
        <v>32</v>
      </c>
      <c r="G64" s="1">
        <v>45006</v>
      </c>
      <c r="H64" s="2">
        <v>33300000</v>
      </c>
      <c r="I64" s="3">
        <f t="shared" si="0"/>
        <v>666000000</v>
      </c>
      <c r="J64" s="3">
        <f>Tabela2[[#This Row],[Total]]*0.3</f>
        <v>199800000</v>
      </c>
    </row>
    <row r="65" spans="1:10" x14ac:dyDescent="0.25">
      <c r="A65">
        <v>64</v>
      </c>
      <c r="B65" t="s">
        <v>15</v>
      </c>
      <c r="C65" t="s">
        <v>16</v>
      </c>
      <c r="D65">
        <v>10</v>
      </c>
      <c r="E65" t="s">
        <v>30</v>
      </c>
      <c r="F65" t="s">
        <v>31</v>
      </c>
      <c r="G65" s="1">
        <v>44867</v>
      </c>
      <c r="H65" s="2">
        <v>58500000</v>
      </c>
      <c r="I65" s="3">
        <f t="shared" si="0"/>
        <v>585000000</v>
      </c>
      <c r="J65" s="3">
        <f>Tabela2[[#This Row],[Total]]*0.3</f>
        <v>175500000</v>
      </c>
    </row>
    <row r="66" spans="1:10" x14ac:dyDescent="0.25">
      <c r="A66">
        <v>65</v>
      </c>
      <c r="B66" t="s">
        <v>15</v>
      </c>
      <c r="C66" t="s">
        <v>16</v>
      </c>
      <c r="D66">
        <v>1</v>
      </c>
      <c r="E66" t="s">
        <v>30</v>
      </c>
      <c r="F66" t="s">
        <v>17</v>
      </c>
      <c r="G66" s="1">
        <v>44787</v>
      </c>
      <c r="H66" s="2">
        <v>58500000</v>
      </c>
      <c r="I66" s="3">
        <f t="shared" si="0"/>
        <v>58500000</v>
      </c>
      <c r="J66" s="3">
        <f>Tabela2[[#This Row],[Total]]*0.3</f>
        <v>17550000</v>
      </c>
    </row>
    <row r="67" spans="1:10" x14ac:dyDescent="0.25">
      <c r="A67">
        <v>66</v>
      </c>
      <c r="B67" t="s">
        <v>8</v>
      </c>
      <c r="C67" t="s">
        <v>9</v>
      </c>
      <c r="D67">
        <v>2</v>
      </c>
      <c r="E67" t="s">
        <v>29</v>
      </c>
      <c r="F67" t="s">
        <v>32</v>
      </c>
      <c r="G67" s="1">
        <v>44787</v>
      </c>
      <c r="H67" s="2">
        <v>55300000</v>
      </c>
      <c r="I67" s="3">
        <f t="shared" ref="I67:I130" si="1">D67*H67</f>
        <v>110600000</v>
      </c>
      <c r="J67" s="3">
        <f>Tabela2[[#This Row],[Total]]*0.3</f>
        <v>33180000</v>
      </c>
    </row>
    <row r="68" spans="1:10" x14ac:dyDescent="0.25">
      <c r="A68">
        <v>67</v>
      </c>
      <c r="B68" t="s">
        <v>23</v>
      </c>
      <c r="C68" t="s">
        <v>24</v>
      </c>
      <c r="D68">
        <v>10</v>
      </c>
      <c r="E68" t="s">
        <v>28</v>
      </c>
      <c r="F68" t="s">
        <v>31</v>
      </c>
      <c r="G68" s="1">
        <v>45116</v>
      </c>
      <c r="H68" s="2">
        <v>38500000</v>
      </c>
      <c r="I68" s="3">
        <f t="shared" si="1"/>
        <v>385000000</v>
      </c>
      <c r="J68" s="3">
        <f>Tabela2[[#This Row],[Total]]*0.3</f>
        <v>115500000</v>
      </c>
    </row>
    <row r="69" spans="1:10" x14ac:dyDescent="0.25">
      <c r="A69">
        <v>68</v>
      </c>
      <c r="B69" t="s">
        <v>13</v>
      </c>
      <c r="C69" t="s">
        <v>14</v>
      </c>
      <c r="D69">
        <v>20</v>
      </c>
      <c r="E69" t="s">
        <v>28</v>
      </c>
      <c r="F69" t="s">
        <v>31</v>
      </c>
      <c r="G69" s="1">
        <v>45117</v>
      </c>
      <c r="H69" s="2">
        <v>49900000</v>
      </c>
      <c r="I69" s="3">
        <f t="shared" si="1"/>
        <v>998000000</v>
      </c>
      <c r="J69" s="3">
        <f>Tabela2[[#This Row],[Total]]*0.3</f>
        <v>299400000</v>
      </c>
    </row>
    <row r="70" spans="1:10" x14ac:dyDescent="0.25">
      <c r="A70">
        <v>69</v>
      </c>
      <c r="B70" t="s">
        <v>13</v>
      </c>
      <c r="C70" t="s">
        <v>14</v>
      </c>
      <c r="D70">
        <v>1</v>
      </c>
      <c r="E70" t="s">
        <v>29</v>
      </c>
      <c r="F70" t="s">
        <v>17</v>
      </c>
      <c r="G70" s="1">
        <v>44787</v>
      </c>
      <c r="H70" s="2">
        <v>49900000</v>
      </c>
      <c r="I70" s="3">
        <f t="shared" si="1"/>
        <v>49900000</v>
      </c>
      <c r="J70" s="3">
        <f>Tabela2[[#This Row],[Total]]*0.3</f>
        <v>14970000</v>
      </c>
    </row>
    <row r="71" spans="1:10" x14ac:dyDescent="0.25">
      <c r="A71">
        <v>70</v>
      </c>
      <c r="B71" t="s">
        <v>11</v>
      </c>
      <c r="C71" t="s">
        <v>12</v>
      </c>
      <c r="D71">
        <v>1</v>
      </c>
      <c r="E71" t="s">
        <v>27</v>
      </c>
      <c r="F71" t="s">
        <v>32</v>
      </c>
      <c r="G71" s="1">
        <v>44720</v>
      </c>
      <c r="H71" s="2">
        <v>28500000</v>
      </c>
      <c r="I71" s="3">
        <f t="shared" si="1"/>
        <v>28500000</v>
      </c>
      <c r="J71" s="3">
        <f>Tabela2[[#This Row],[Total]]*0.3</f>
        <v>8550000</v>
      </c>
    </row>
    <row r="72" spans="1:10" x14ac:dyDescent="0.25">
      <c r="A72">
        <v>71</v>
      </c>
      <c r="B72" t="s">
        <v>23</v>
      </c>
      <c r="C72" t="s">
        <v>24</v>
      </c>
      <c r="D72">
        <v>30</v>
      </c>
      <c r="E72" t="s">
        <v>30</v>
      </c>
      <c r="F72" t="s">
        <v>31</v>
      </c>
      <c r="G72" s="1">
        <v>44710</v>
      </c>
      <c r="H72" s="2">
        <v>38500000</v>
      </c>
      <c r="I72" s="3">
        <f t="shared" si="1"/>
        <v>1155000000</v>
      </c>
      <c r="J72" s="3">
        <f>Tabela2[[#This Row],[Total]]*0.3</f>
        <v>346500000</v>
      </c>
    </row>
    <row r="73" spans="1:10" x14ac:dyDescent="0.25">
      <c r="A73">
        <v>72</v>
      </c>
      <c r="B73" t="s">
        <v>18</v>
      </c>
      <c r="C73" t="s">
        <v>19</v>
      </c>
      <c r="D73">
        <v>1</v>
      </c>
      <c r="E73" t="s">
        <v>30</v>
      </c>
      <c r="F73" t="s">
        <v>32</v>
      </c>
      <c r="G73" s="1">
        <v>44720</v>
      </c>
      <c r="H73" s="2">
        <v>46300000</v>
      </c>
      <c r="I73" s="3">
        <f t="shared" si="1"/>
        <v>46300000</v>
      </c>
      <c r="J73" s="3">
        <f>Tabela2[[#This Row],[Total]]*0.3</f>
        <v>13890000</v>
      </c>
    </row>
    <row r="74" spans="1:10" x14ac:dyDescent="0.25">
      <c r="A74">
        <v>73</v>
      </c>
      <c r="B74" t="s">
        <v>20</v>
      </c>
      <c r="C74" t="s">
        <v>14</v>
      </c>
      <c r="D74">
        <v>30</v>
      </c>
      <c r="E74" t="s">
        <v>29</v>
      </c>
      <c r="F74" t="s">
        <v>31</v>
      </c>
      <c r="G74" s="1">
        <v>44673</v>
      </c>
      <c r="H74" s="2">
        <v>47700000</v>
      </c>
      <c r="I74" s="3">
        <f t="shared" si="1"/>
        <v>1431000000</v>
      </c>
      <c r="J74" s="3">
        <f>Tabela2[[#This Row],[Total]]*0.3</f>
        <v>429300000</v>
      </c>
    </row>
    <row r="75" spans="1:10" x14ac:dyDescent="0.25">
      <c r="A75">
        <v>74</v>
      </c>
      <c r="B75" t="s">
        <v>18</v>
      </c>
      <c r="C75" t="s">
        <v>19</v>
      </c>
      <c r="D75">
        <v>1</v>
      </c>
      <c r="E75" t="s">
        <v>30</v>
      </c>
      <c r="F75" t="s">
        <v>17</v>
      </c>
      <c r="G75" s="1">
        <v>44623</v>
      </c>
      <c r="H75" s="2">
        <v>46300000</v>
      </c>
      <c r="I75" s="3">
        <f t="shared" si="1"/>
        <v>46300000</v>
      </c>
      <c r="J75" s="3">
        <f>Tabela2[[#This Row],[Total]]*0.3</f>
        <v>13890000</v>
      </c>
    </row>
    <row r="76" spans="1:10" x14ac:dyDescent="0.25">
      <c r="A76">
        <v>75</v>
      </c>
      <c r="B76" t="s">
        <v>21</v>
      </c>
      <c r="C76" t="s">
        <v>22</v>
      </c>
      <c r="D76">
        <v>30</v>
      </c>
      <c r="E76" t="s">
        <v>29</v>
      </c>
      <c r="F76" t="s">
        <v>31</v>
      </c>
      <c r="G76" s="1">
        <v>44673</v>
      </c>
      <c r="H76" s="2">
        <v>37850000</v>
      </c>
      <c r="I76" s="3">
        <f t="shared" si="1"/>
        <v>1135500000</v>
      </c>
      <c r="J76" s="3">
        <f>Tabela2[[#This Row],[Total]]*0.3</f>
        <v>340650000</v>
      </c>
    </row>
    <row r="77" spans="1:10" x14ac:dyDescent="0.25">
      <c r="A77">
        <v>76</v>
      </c>
      <c r="B77" t="s">
        <v>18</v>
      </c>
      <c r="C77" t="s">
        <v>19</v>
      </c>
      <c r="D77">
        <v>1</v>
      </c>
      <c r="E77" t="s">
        <v>27</v>
      </c>
      <c r="F77" t="s">
        <v>17</v>
      </c>
      <c r="G77" s="1">
        <v>44787</v>
      </c>
      <c r="H77" s="2">
        <v>46300000</v>
      </c>
      <c r="I77" s="3">
        <f t="shared" si="1"/>
        <v>46300000</v>
      </c>
      <c r="J77" s="3">
        <f>Tabela2[[#This Row],[Total]]*0.3</f>
        <v>13890000</v>
      </c>
    </row>
    <row r="78" spans="1:10" x14ac:dyDescent="0.25">
      <c r="A78">
        <v>77</v>
      </c>
      <c r="B78" t="s">
        <v>23</v>
      </c>
      <c r="C78" t="s">
        <v>24</v>
      </c>
      <c r="D78">
        <v>1</v>
      </c>
      <c r="E78" t="s">
        <v>28</v>
      </c>
      <c r="F78" t="s">
        <v>31</v>
      </c>
      <c r="G78" s="1">
        <v>44787</v>
      </c>
      <c r="H78" s="2">
        <v>38500000</v>
      </c>
      <c r="I78" s="3">
        <f t="shared" si="1"/>
        <v>38500000</v>
      </c>
      <c r="J78" s="3">
        <f>Tabela2[[#This Row],[Total]]*0.3</f>
        <v>11550000</v>
      </c>
    </row>
    <row r="79" spans="1:10" x14ac:dyDescent="0.25">
      <c r="A79">
        <v>78</v>
      </c>
      <c r="B79" t="s">
        <v>18</v>
      </c>
      <c r="C79" t="s">
        <v>19</v>
      </c>
      <c r="D79">
        <v>1</v>
      </c>
      <c r="E79" t="s">
        <v>29</v>
      </c>
      <c r="F79" t="s">
        <v>17</v>
      </c>
      <c r="G79" s="1">
        <v>44892</v>
      </c>
      <c r="H79" s="2">
        <v>46300000</v>
      </c>
      <c r="I79" s="3">
        <f t="shared" si="1"/>
        <v>46300000</v>
      </c>
      <c r="J79" s="3">
        <f>Tabela2[[#This Row],[Total]]*0.3</f>
        <v>13890000</v>
      </c>
    </row>
    <row r="80" spans="1:10" x14ac:dyDescent="0.25">
      <c r="A80">
        <v>79</v>
      </c>
      <c r="B80" t="s">
        <v>25</v>
      </c>
      <c r="C80" t="s">
        <v>26</v>
      </c>
      <c r="D80">
        <v>1</v>
      </c>
      <c r="E80" t="s">
        <v>30</v>
      </c>
      <c r="F80" t="s">
        <v>17</v>
      </c>
      <c r="G80" s="1">
        <v>44862</v>
      </c>
      <c r="H80" s="2">
        <v>33300000</v>
      </c>
      <c r="I80" s="3">
        <f t="shared" si="1"/>
        <v>33300000</v>
      </c>
      <c r="J80" s="3">
        <f>Tabela2[[#This Row],[Total]]*0.3</f>
        <v>9990000</v>
      </c>
    </row>
    <row r="81" spans="1:10" x14ac:dyDescent="0.25">
      <c r="A81">
        <v>80</v>
      </c>
      <c r="B81" t="s">
        <v>25</v>
      </c>
      <c r="C81" t="s">
        <v>26</v>
      </c>
      <c r="D81">
        <v>1</v>
      </c>
      <c r="E81" t="s">
        <v>29</v>
      </c>
      <c r="F81" t="s">
        <v>10</v>
      </c>
      <c r="G81" s="1">
        <v>44781</v>
      </c>
      <c r="H81" s="2">
        <v>33300000</v>
      </c>
      <c r="I81" s="3">
        <f t="shared" si="1"/>
        <v>33300000</v>
      </c>
      <c r="J81" s="3">
        <f>Tabela2[[#This Row],[Total]]*0.3</f>
        <v>9990000</v>
      </c>
    </row>
    <row r="82" spans="1:10" x14ac:dyDescent="0.25">
      <c r="A82">
        <v>81</v>
      </c>
      <c r="B82" t="s">
        <v>18</v>
      </c>
      <c r="C82" t="s">
        <v>19</v>
      </c>
      <c r="D82">
        <v>1</v>
      </c>
      <c r="E82" t="s">
        <v>27</v>
      </c>
      <c r="F82" t="s">
        <v>32</v>
      </c>
      <c r="G82" s="1">
        <v>45117</v>
      </c>
      <c r="H82" s="2">
        <v>46300000</v>
      </c>
      <c r="I82" s="3">
        <f t="shared" si="1"/>
        <v>46300000</v>
      </c>
      <c r="J82" s="3">
        <f>Tabela2[[#This Row],[Total]]*0.3</f>
        <v>13890000</v>
      </c>
    </row>
    <row r="83" spans="1:10" x14ac:dyDescent="0.25">
      <c r="A83">
        <v>82</v>
      </c>
      <c r="B83" t="s">
        <v>18</v>
      </c>
      <c r="C83" t="s">
        <v>19</v>
      </c>
      <c r="D83">
        <v>1</v>
      </c>
      <c r="E83" t="s">
        <v>27</v>
      </c>
      <c r="F83" t="s">
        <v>17</v>
      </c>
      <c r="G83" s="1">
        <v>45006</v>
      </c>
      <c r="H83" s="2">
        <v>46300000</v>
      </c>
      <c r="I83" s="3">
        <f t="shared" si="1"/>
        <v>46300000</v>
      </c>
      <c r="J83" s="3">
        <f>Tabela2[[#This Row],[Total]]*0.3</f>
        <v>13890000</v>
      </c>
    </row>
    <row r="84" spans="1:10" x14ac:dyDescent="0.25">
      <c r="A84">
        <v>83</v>
      </c>
      <c r="B84" t="s">
        <v>8</v>
      </c>
      <c r="C84" t="s">
        <v>9</v>
      </c>
      <c r="D84">
        <v>1</v>
      </c>
      <c r="E84" t="s">
        <v>29</v>
      </c>
      <c r="F84" t="s">
        <v>10</v>
      </c>
      <c r="G84" s="1">
        <v>44818</v>
      </c>
      <c r="H84" s="2">
        <v>55300000</v>
      </c>
      <c r="I84" s="3">
        <f t="shared" si="1"/>
        <v>55300000</v>
      </c>
      <c r="J84" s="3">
        <f>Tabela2[[#This Row],[Total]]*0.3</f>
        <v>16590000</v>
      </c>
    </row>
    <row r="85" spans="1:10" x14ac:dyDescent="0.25">
      <c r="A85">
        <v>84</v>
      </c>
      <c r="B85" t="s">
        <v>8</v>
      </c>
      <c r="C85" t="s">
        <v>9</v>
      </c>
      <c r="D85">
        <v>1</v>
      </c>
      <c r="E85" t="s">
        <v>29</v>
      </c>
      <c r="F85" t="s">
        <v>31</v>
      </c>
      <c r="G85" s="1">
        <v>44862</v>
      </c>
      <c r="H85" s="2">
        <v>55300000</v>
      </c>
      <c r="I85" s="3">
        <f t="shared" si="1"/>
        <v>55300000</v>
      </c>
      <c r="J85" s="3">
        <f>Tabela2[[#This Row],[Total]]*0.3</f>
        <v>16590000</v>
      </c>
    </row>
    <row r="86" spans="1:10" x14ac:dyDescent="0.25">
      <c r="A86">
        <v>85</v>
      </c>
      <c r="B86" t="s">
        <v>25</v>
      </c>
      <c r="C86" t="s">
        <v>26</v>
      </c>
      <c r="D86">
        <v>1</v>
      </c>
      <c r="E86" t="s">
        <v>30</v>
      </c>
      <c r="F86" t="s">
        <v>17</v>
      </c>
      <c r="G86" s="1">
        <v>44710</v>
      </c>
      <c r="H86" s="2">
        <v>33300000</v>
      </c>
      <c r="I86" s="3">
        <f t="shared" si="1"/>
        <v>33300000</v>
      </c>
      <c r="J86" s="3">
        <f>Tabela2[[#This Row],[Total]]*0.3</f>
        <v>9990000</v>
      </c>
    </row>
    <row r="87" spans="1:10" x14ac:dyDescent="0.25">
      <c r="A87">
        <v>86</v>
      </c>
      <c r="B87" t="s">
        <v>20</v>
      </c>
      <c r="C87" t="s">
        <v>14</v>
      </c>
      <c r="D87">
        <v>1</v>
      </c>
      <c r="E87" t="s">
        <v>29</v>
      </c>
      <c r="F87" t="s">
        <v>17</v>
      </c>
      <c r="G87" s="1">
        <v>44796</v>
      </c>
      <c r="H87" s="2">
        <v>47700000</v>
      </c>
      <c r="I87" s="3">
        <f t="shared" si="1"/>
        <v>47700000</v>
      </c>
      <c r="J87" s="3">
        <f>Tabela2[[#This Row],[Total]]*0.3</f>
        <v>14310000</v>
      </c>
    </row>
    <row r="88" spans="1:10" x14ac:dyDescent="0.25">
      <c r="A88">
        <v>87</v>
      </c>
      <c r="B88" t="s">
        <v>15</v>
      </c>
      <c r="C88" t="s">
        <v>16</v>
      </c>
      <c r="D88">
        <v>1</v>
      </c>
      <c r="E88" t="s">
        <v>27</v>
      </c>
      <c r="F88" t="s">
        <v>31</v>
      </c>
      <c r="G88" s="1">
        <v>45276</v>
      </c>
      <c r="H88" s="2">
        <v>58500000</v>
      </c>
      <c r="I88" s="3">
        <f t="shared" si="1"/>
        <v>58500000</v>
      </c>
      <c r="J88" s="3">
        <f>Tabela2[[#This Row],[Total]]*0.3</f>
        <v>17550000</v>
      </c>
    </row>
    <row r="89" spans="1:10" x14ac:dyDescent="0.25">
      <c r="A89">
        <v>88</v>
      </c>
      <c r="B89" t="s">
        <v>18</v>
      </c>
      <c r="C89" t="s">
        <v>19</v>
      </c>
      <c r="D89">
        <v>1</v>
      </c>
      <c r="E89" t="s">
        <v>29</v>
      </c>
      <c r="F89" t="s">
        <v>17</v>
      </c>
      <c r="G89" s="1">
        <v>44673</v>
      </c>
      <c r="H89" s="2">
        <v>46300000</v>
      </c>
      <c r="I89" s="3">
        <f t="shared" si="1"/>
        <v>46300000</v>
      </c>
      <c r="J89" s="3">
        <f>Tabela2[[#This Row],[Total]]*0.3</f>
        <v>13890000</v>
      </c>
    </row>
    <row r="90" spans="1:10" x14ac:dyDescent="0.25">
      <c r="A90">
        <v>89</v>
      </c>
      <c r="B90" t="s">
        <v>25</v>
      </c>
      <c r="C90" t="s">
        <v>26</v>
      </c>
      <c r="D90">
        <v>10</v>
      </c>
      <c r="E90" t="s">
        <v>27</v>
      </c>
      <c r="F90" t="s">
        <v>31</v>
      </c>
      <c r="G90" s="1">
        <v>44862</v>
      </c>
      <c r="H90" s="2">
        <v>33300000</v>
      </c>
      <c r="I90" s="3">
        <f t="shared" si="1"/>
        <v>333000000</v>
      </c>
      <c r="J90" s="3">
        <f>Tabela2[[#This Row],[Total]]*0.3</f>
        <v>99900000</v>
      </c>
    </row>
    <row r="91" spans="1:10" x14ac:dyDescent="0.25">
      <c r="A91">
        <v>90</v>
      </c>
      <c r="B91" t="s">
        <v>25</v>
      </c>
      <c r="C91" t="s">
        <v>26</v>
      </c>
      <c r="D91">
        <v>20</v>
      </c>
      <c r="E91" t="s">
        <v>30</v>
      </c>
      <c r="F91" t="s">
        <v>31</v>
      </c>
      <c r="G91" s="1">
        <v>44818</v>
      </c>
      <c r="H91" s="2">
        <v>33300000</v>
      </c>
      <c r="I91" s="3">
        <f t="shared" si="1"/>
        <v>666000000</v>
      </c>
      <c r="J91" s="3">
        <f>Tabela2[[#This Row],[Total]]*0.3</f>
        <v>199800000</v>
      </c>
    </row>
    <row r="92" spans="1:10" x14ac:dyDescent="0.25">
      <c r="A92">
        <v>91</v>
      </c>
      <c r="B92" t="s">
        <v>21</v>
      </c>
      <c r="C92" t="s">
        <v>22</v>
      </c>
      <c r="D92">
        <v>1</v>
      </c>
      <c r="E92" t="s">
        <v>27</v>
      </c>
      <c r="F92" t="s">
        <v>17</v>
      </c>
      <c r="G92" s="1">
        <v>44720</v>
      </c>
      <c r="H92" s="2">
        <v>37850000</v>
      </c>
      <c r="I92" s="3">
        <f t="shared" si="1"/>
        <v>37850000</v>
      </c>
      <c r="J92" s="3">
        <f>Tabela2[[#This Row],[Total]]*0.3</f>
        <v>11355000</v>
      </c>
    </row>
    <row r="93" spans="1:10" x14ac:dyDescent="0.25">
      <c r="A93">
        <v>92</v>
      </c>
      <c r="B93" t="s">
        <v>18</v>
      </c>
      <c r="C93" t="s">
        <v>19</v>
      </c>
      <c r="D93">
        <v>30</v>
      </c>
      <c r="E93" t="s">
        <v>30</v>
      </c>
      <c r="F93" t="s">
        <v>31</v>
      </c>
      <c r="G93" s="1">
        <v>44591</v>
      </c>
      <c r="H93" s="2">
        <v>46300000</v>
      </c>
      <c r="I93" s="3">
        <f t="shared" si="1"/>
        <v>1389000000</v>
      </c>
      <c r="J93" s="3">
        <f>Tabela2[[#This Row],[Total]]*0.3</f>
        <v>416700000</v>
      </c>
    </row>
    <row r="94" spans="1:10" x14ac:dyDescent="0.25">
      <c r="A94">
        <v>93</v>
      </c>
      <c r="B94" t="s">
        <v>13</v>
      </c>
      <c r="C94" t="s">
        <v>14</v>
      </c>
      <c r="D94">
        <v>10</v>
      </c>
      <c r="E94" t="s">
        <v>29</v>
      </c>
      <c r="F94" t="s">
        <v>31</v>
      </c>
      <c r="G94" s="1">
        <v>44796</v>
      </c>
      <c r="H94" s="2">
        <v>49900000</v>
      </c>
      <c r="I94" s="3">
        <f t="shared" si="1"/>
        <v>499000000</v>
      </c>
      <c r="J94" s="3">
        <f>Tabela2[[#This Row],[Total]]*0.3</f>
        <v>149700000</v>
      </c>
    </row>
    <row r="95" spans="1:10" x14ac:dyDescent="0.25">
      <c r="A95">
        <v>94</v>
      </c>
      <c r="B95" t="s">
        <v>11</v>
      </c>
      <c r="C95" t="s">
        <v>12</v>
      </c>
      <c r="D95">
        <v>30</v>
      </c>
      <c r="E95" t="s">
        <v>27</v>
      </c>
      <c r="F95" t="s">
        <v>31</v>
      </c>
      <c r="G95" s="1">
        <v>44673</v>
      </c>
      <c r="H95" s="2">
        <v>28500000</v>
      </c>
      <c r="I95" s="3">
        <f t="shared" si="1"/>
        <v>855000000</v>
      </c>
      <c r="J95" s="3">
        <f>Tabela2[[#This Row],[Total]]*0.3</f>
        <v>256500000</v>
      </c>
    </row>
    <row r="96" spans="1:10" x14ac:dyDescent="0.25">
      <c r="A96">
        <v>95</v>
      </c>
      <c r="B96" t="s">
        <v>18</v>
      </c>
      <c r="C96" t="s">
        <v>19</v>
      </c>
      <c r="D96">
        <v>20</v>
      </c>
      <c r="E96" t="s">
        <v>30</v>
      </c>
      <c r="F96" t="s">
        <v>31</v>
      </c>
      <c r="G96" s="1">
        <v>44781</v>
      </c>
      <c r="H96" s="2">
        <v>46300000</v>
      </c>
      <c r="I96" s="3">
        <f t="shared" si="1"/>
        <v>926000000</v>
      </c>
      <c r="J96" s="3">
        <f>Tabela2[[#This Row],[Total]]*0.3</f>
        <v>277800000</v>
      </c>
    </row>
    <row r="97" spans="1:10" x14ac:dyDescent="0.25">
      <c r="A97">
        <v>96</v>
      </c>
      <c r="B97" t="s">
        <v>15</v>
      </c>
      <c r="C97" t="s">
        <v>16</v>
      </c>
      <c r="D97">
        <v>1</v>
      </c>
      <c r="E97" t="s">
        <v>29</v>
      </c>
      <c r="F97" t="s">
        <v>32</v>
      </c>
      <c r="G97" s="1">
        <v>44867</v>
      </c>
      <c r="H97" s="2">
        <v>58500000</v>
      </c>
      <c r="I97" s="3">
        <f t="shared" si="1"/>
        <v>58500000</v>
      </c>
      <c r="J97" s="3">
        <f>Tabela2[[#This Row],[Total]]*0.3</f>
        <v>17550000</v>
      </c>
    </row>
    <row r="98" spans="1:10" x14ac:dyDescent="0.25">
      <c r="A98">
        <v>97</v>
      </c>
      <c r="B98" t="s">
        <v>18</v>
      </c>
      <c r="C98" t="s">
        <v>19</v>
      </c>
      <c r="D98">
        <v>1</v>
      </c>
      <c r="E98" t="s">
        <v>29</v>
      </c>
      <c r="F98" t="s">
        <v>32</v>
      </c>
      <c r="G98" s="1">
        <v>44710</v>
      </c>
      <c r="H98" s="2">
        <v>46300000</v>
      </c>
      <c r="I98" s="3">
        <f t="shared" si="1"/>
        <v>46300000</v>
      </c>
      <c r="J98" s="3">
        <f>Tabela2[[#This Row],[Total]]*0.3</f>
        <v>13890000</v>
      </c>
    </row>
    <row r="99" spans="1:10" x14ac:dyDescent="0.25">
      <c r="A99">
        <v>98</v>
      </c>
      <c r="B99" t="s">
        <v>11</v>
      </c>
      <c r="C99" t="s">
        <v>12</v>
      </c>
      <c r="D99">
        <v>2</v>
      </c>
      <c r="E99" t="s">
        <v>30</v>
      </c>
      <c r="F99" t="s">
        <v>32</v>
      </c>
      <c r="G99" s="1">
        <v>44781</v>
      </c>
      <c r="H99" s="2">
        <v>28500000</v>
      </c>
      <c r="I99" s="3">
        <f t="shared" si="1"/>
        <v>57000000</v>
      </c>
      <c r="J99" s="3">
        <f>Tabela2[[#This Row],[Total]]*0.3</f>
        <v>17100000</v>
      </c>
    </row>
    <row r="100" spans="1:10" x14ac:dyDescent="0.25">
      <c r="A100">
        <v>99</v>
      </c>
      <c r="B100" t="s">
        <v>20</v>
      </c>
      <c r="C100" t="s">
        <v>14</v>
      </c>
      <c r="D100">
        <v>30</v>
      </c>
      <c r="E100" t="s">
        <v>27</v>
      </c>
      <c r="F100" t="s">
        <v>31</v>
      </c>
      <c r="G100" s="1">
        <v>45006</v>
      </c>
      <c r="H100" s="2">
        <v>47700000</v>
      </c>
      <c r="I100" s="3">
        <f t="shared" si="1"/>
        <v>1431000000</v>
      </c>
      <c r="J100" s="3">
        <f>Tabela2[[#This Row],[Total]]*0.3</f>
        <v>429300000</v>
      </c>
    </row>
    <row r="101" spans="1:10" x14ac:dyDescent="0.25">
      <c r="A101">
        <v>100</v>
      </c>
      <c r="B101" t="s">
        <v>8</v>
      </c>
      <c r="C101" t="s">
        <v>9</v>
      </c>
      <c r="D101">
        <v>1</v>
      </c>
      <c r="E101" t="s">
        <v>29</v>
      </c>
      <c r="F101" t="s">
        <v>17</v>
      </c>
      <c r="G101" s="1">
        <v>45014</v>
      </c>
      <c r="H101" s="2">
        <v>55300000</v>
      </c>
      <c r="I101" s="3">
        <f t="shared" si="1"/>
        <v>55300000</v>
      </c>
      <c r="J101" s="3">
        <f>Tabela2[[#This Row],[Total]]*0.3</f>
        <v>16590000</v>
      </c>
    </row>
    <row r="102" spans="1:10" x14ac:dyDescent="0.25">
      <c r="A102">
        <v>101</v>
      </c>
      <c r="B102" t="s">
        <v>23</v>
      </c>
      <c r="C102" t="s">
        <v>24</v>
      </c>
      <c r="D102">
        <v>1</v>
      </c>
      <c r="E102" t="s">
        <v>30</v>
      </c>
      <c r="F102" t="s">
        <v>10</v>
      </c>
      <c r="G102" s="1">
        <v>45117</v>
      </c>
      <c r="H102" s="2">
        <v>38500000</v>
      </c>
      <c r="I102" s="3">
        <f t="shared" si="1"/>
        <v>38500000</v>
      </c>
      <c r="J102" s="3">
        <f>Tabela2[[#This Row],[Total]]*0.3</f>
        <v>11550000</v>
      </c>
    </row>
    <row r="103" spans="1:10" x14ac:dyDescent="0.25">
      <c r="A103">
        <v>102</v>
      </c>
      <c r="B103" t="s">
        <v>23</v>
      </c>
      <c r="C103" t="s">
        <v>24</v>
      </c>
      <c r="D103">
        <v>20</v>
      </c>
      <c r="E103" t="s">
        <v>27</v>
      </c>
      <c r="F103" t="s">
        <v>32</v>
      </c>
      <c r="G103" s="1">
        <v>44867</v>
      </c>
      <c r="H103" s="2">
        <v>38500000</v>
      </c>
      <c r="I103" s="3">
        <f t="shared" si="1"/>
        <v>770000000</v>
      </c>
      <c r="J103" s="3">
        <f>Tabela2[[#This Row],[Total]]*0.3</f>
        <v>231000000</v>
      </c>
    </row>
    <row r="104" spans="1:10" x14ac:dyDescent="0.25">
      <c r="A104">
        <v>103</v>
      </c>
      <c r="B104" t="s">
        <v>13</v>
      </c>
      <c r="C104" t="s">
        <v>14</v>
      </c>
      <c r="D104">
        <v>1</v>
      </c>
      <c r="E104" t="s">
        <v>29</v>
      </c>
      <c r="F104" t="s">
        <v>17</v>
      </c>
      <c r="G104" s="1">
        <v>45116</v>
      </c>
      <c r="H104" s="2">
        <v>49900000</v>
      </c>
      <c r="I104" s="3">
        <f t="shared" si="1"/>
        <v>49900000</v>
      </c>
      <c r="J104" s="3">
        <f>Tabela2[[#This Row],[Total]]*0.3</f>
        <v>14970000</v>
      </c>
    </row>
    <row r="105" spans="1:10" x14ac:dyDescent="0.25">
      <c r="A105">
        <v>104</v>
      </c>
      <c r="B105" t="s">
        <v>20</v>
      </c>
      <c r="C105" t="s">
        <v>14</v>
      </c>
      <c r="D105">
        <v>1</v>
      </c>
      <c r="E105" t="s">
        <v>27</v>
      </c>
      <c r="F105" t="s">
        <v>10</v>
      </c>
      <c r="G105" s="1">
        <v>44623</v>
      </c>
      <c r="H105" s="2">
        <v>47700000</v>
      </c>
      <c r="I105" s="3">
        <f t="shared" si="1"/>
        <v>47700000</v>
      </c>
      <c r="J105" s="3">
        <f>Tabela2[[#This Row],[Total]]*0.3</f>
        <v>14310000</v>
      </c>
    </row>
    <row r="106" spans="1:10" x14ac:dyDescent="0.25">
      <c r="A106">
        <v>105</v>
      </c>
      <c r="B106" t="s">
        <v>13</v>
      </c>
      <c r="C106" t="s">
        <v>14</v>
      </c>
      <c r="D106">
        <v>30</v>
      </c>
      <c r="E106" t="s">
        <v>27</v>
      </c>
      <c r="F106" t="s">
        <v>31</v>
      </c>
      <c r="G106" s="1">
        <v>44818</v>
      </c>
      <c r="H106" s="2">
        <v>49900000</v>
      </c>
      <c r="I106" s="3">
        <f t="shared" si="1"/>
        <v>1497000000</v>
      </c>
      <c r="J106" s="3">
        <f>Tabela2[[#This Row],[Total]]*0.3</f>
        <v>449100000</v>
      </c>
    </row>
    <row r="107" spans="1:10" x14ac:dyDescent="0.25">
      <c r="A107">
        <v>106</v>
      </c>
      <c r="B107" t="s">
        <v>20</v>
      </c>
      <c r="C107" t="s">
        <v>14</v>
      </c>
      <c r="D107">
        <v>1</v>
      </c>
      <c r="E107" t="s">
        <v>28</v>
      </c>
      <c r="F107" t="s">
        <v>10</v>
      </c>
      <c r="G107" s="1">
        <v>44623</v>
      </c>
      <c r="H107" s="2">
        <v>47700000</v>
      </c>
      <c r="I107" s="3">
        <f t="shared" si="1"/>
        <v>47700000</v>
      </c>
      <c r="J107" s="3">
        <f>Tabela2[[#This Row],[Total]]*0.3</f>
        <v>14310000</v>
      </c>
    </row>
    <row r="108" spans="1:10" x14ac:dyDescent="0.25">
      <c r="A108">
        <v>107</v>
      </c>
      <c r="B108" t="s">
        <v>15</v>
      </c>
      <c r="C108" t="s">
        <v>16</v>
      </c>
      <c r="D108">
        <v>1</v>
      </c>
      <c r="E108" t="s">
        <v>30</v>
      </c>
      <c r="F108" t="s">
        <v>10</v>
      </c>
      <c r="G108" s="1">
        <v>44623</v>
      </c>
      <c r="H108" s="2">
        <v>58500000</v>
      </c>
      <c r="I108" s="3">
        <f t="shared" si="1"/>
        <v>58500000</v>
      </c>
      <c r="J108" s="3">
        <f>Tabela2[[#This Row],[Total]]*0.3</f>
        <v>17550000</v>
      </c>
    </row>
    <row r="109" spans="1:10" x14ac:dyDescent="0.25">
      <c r="A109">
        <v>108</v>
      </c>
      <c r="B109" t="s">
        <v>25</v>
      </c>
      <c r="C109" t="s">
        <v>26</v>
      </c>
      <c r="D109">
        <v>1</v>
      </c>
      <c r="E109" t="s">
        <v>28</v>
      </c>
      <c r="F109" t="s">
        <v>10</v>
      </c>
      <c r="G109" s="1">
        <v>44796</v>
      </c>
      <c r="H109" s="2">
        <v>33300000</v>
      </c>
      <c r="I109" s="3">
        <f t="shared" si="1"/>
        <v>33300000</v>
      </c>
      <c r="J109" s="3">
        <f>Tabela2[[#This Row],[Total]]*0.3</f>
        <v>9990000</v>
      </c>
    </row>
    <row r="110" spans="1:10" x14ac:dyDescent="0.25">
      <c r="A110">
        <v>109</v>
      </c>
      <c r="B110" t="s">
        <v>18</v>
      </c>
      <c r="C110" t="s">
        <v>19</v>
      </c>
      <c r="D110">
        <v>1</v>
      </c>
      <c r="E110" t="s">
        <v>29</v>
      </c>
      <c r="F110" t="s">
        <v>17</v>
      </c>
      <c r="G110" s="1">
        <v>44867</v>
      </c>
      <c r="H110" s="2">
        <v>46300000</v>
      </c>
      <c r="I110" s="3">
        <f t="shared" si="1"/>
        <v>46300000</v>
      </c>
      <c r="J110" s="3">
        <f>Tabela2[[#This Row],[Total]]*0.3</f>
        <v>13890000</v>
      </c>
    </row>
    <row r="111" spans="1:10" x14ac:dyDescent="0.25">
      <c r="A111">
        <v>110</v>
      </c>
      <c r="B111" t="s">
        <v>8</v>
      </c>
      <c r="C111" t="s">
        <v>9</v>
      </c>
      <c r="D111">
        <v>1</v>
      </c>
      <c r="E111" t="s">
        <v>29</v>
      </c>
      <c r="F111" t="s">
        <v>31</v>
      </c>
      <c r="G111" s="1">
        <v>44781</v>
      </c>
      <c r="H111" s="2">
        <v>55300000</v>
      </c>
      <c r="I111" s="3">
        <f t="shared" si="1"/>
        <v>55300000</v>
      </c>
      <c r="J111" s="3">
        <f>Tabela2[[#This Row],[Total]]*0.3</f>
        <v>16590000</v>
      </c>
    </row>
    <row r="112" spans="1:10" x14ac:dyDescent="0.25">
      <c r="A112">
        <v>111</v>
      </c>
      <c r="B112" t="s">
        <v>23</v>
      </c>
      <c r="C112" t="s">
        <v>24</v>
      </c>
      <c r="D112">
        <v>1</v>
      </c>
      <c r="E112" t="s">
        <v>29</v>
      </c>
      <c r="F112" t="s">
        <v>10</v>
      </c>
      <c r="G112" s="1">
        <v>44706</v>
      </c>
      <c r="H112" s="2">
        <v>38500000</v>
      </c>
      <c r="I112" s="3">
        <f t="shared" si="1"/>
        <v>38500000</v>
      </c>
      <c r="J112" s="3">
        <f>Tabela2[[#This Row],[Total]]*0.3</f>
        <v>11550000</v>
      </c>
    </row>
    <row r="113" spans="1:10" x14ac:dyDescent="0.25">
      <c r="A113">
        <v>112</v>
      </c>
      <c r="B113" t="s">
        <v>18</v>
      </c>
      <c r="C113" t="s">
        <v>19</v>
      </c>
      <c r="D113">
        <v>1</v>
      </c>
      <c r="E113" t="s">
        <v>30</v>
      </c>
      <c r="F113" t="s">
        <v>10</v>
      </c>
      <c r="G113" s="1">
        <v>44787</v>
      </c>
      <c r="H113" s="2">
        <v>46300000</v>
      </c>
      <c r="I113" s="3">
        <f t="shared" si="1"/>
        <v>46300000</v>
      </c>
      <c r="J113" s="3">
        <f>Tabela2[[#This Row],[Total]]*0.3</f>
        <v>13890000</v>
      </c>
    </row>
    <row r="114" spans="1:10" x14ac:dyDescent="0.25">
      <c r="A114">
        <v>113</v>
      </c>
      <c r="B114" t="s">
        <v>23</v>
      </c>
      <c r="C114" t="s">
        <v>24</v>
      </c>
      <c r="D114">
        <v>30</v>
      </c>
      <c r="E114" t="s">
        <v>30</v>
      </c>
      <c r="F114" t="s">
        <v>31</v>
      </c>
      <c r="G114" s="1">
        <v>45006</v>
      </c>
      <c r="H114" s="2">
        <v>38500000</v>
      </c>
      <c r="I114" s="3">
        <f t="shared" si="1"/>
        <v>1155000000</v>
      </c>
      <c r="J114" s="3">
        <f>Tabela2[[#This Row],[Total]]*0.3</f>
        <v>346500000</v>
      </c>
    </row>
    <row r="115" spans="1:10" x14ac:dyDescent="0.25">
      <c r="A115">
        <v>114</v>
      </c>
      <c r="B115" t="s">
        <v>23</v>
      </c>
      <c r="C115" t="s">
        <v>24</v>
      </c>
      <c r="D115">
        <v>1</v>
      </c>
      <c r="E115" t="s">
        <v>29</v>
      </c>
      <c r="F115" t="s">
        <v>10</v>
      </c>
      <c r="G115" s="1">
        <v>44787</v>
      </c>
      <c r="H115" s="2">
        <v>38500000</v>
      </c>
      <c r="I115" s="3">
        <f t="shared" si="1"/>
        <v>38500000</v>
      </c>
      <c r="J115" s="3">
        <f>Tabela2[[#This Row],[Total]]*0.3</f>
        <v>11550000</v>
      </c>
    </row>
    <row r="116" spans="1:10" x14ac:dyDescent="0.25">
      <c r="A116">
        <v>115</v>
      </c>
      <c r="B116" t="s">
        <v>15</v>
      </c>
      <c r="C116" t="s">
        <v>16</v>
      </c>
      <c r="D116">
        <v>10</v>
      </c>
      <c r="E116" t="s">
        <v>27</v>
      </c>
      <c r="F116" t="s">
        <v>32</v>
      </c>
      <c r="G116" s="1">
        <v>44787</v>
      </c>
      <c r="H116" s="2">
        <v>58500000</v>
      </c>
      <c r="I116" s="3">
        <f t="shared" si="1"/>
        <v>585000000</v>
      </c>
      <c r="J116" s="3">
        <f>Tabela2[[#This Row],[Total]]*0.3</f>
        <v>175500000</v>
      </c>
    </row>
    <row r="117" spans="1:10" x14ac:dyDescent="0.25">
      <c r="A117">
        <v>116</v>
      </c>
      <c r="B117" t="s">
        <v>13</v>
      </c>
      <c r="C117" t="s">
        <v>14</v>
      </c>
      <c r="D117">
        <v>2</v>
      </c>
      <c r="E117" t="s">
        <v>27</v>
      </c>
      <c r="F117" t="s">
        <v>31</v>
      </c>
      <c r="G117" s="1">
        <v>45014</v>
      </c>
      <c r="H117" s="2">
        <v>49900000</v>
      </c>
      <c r="I117" s="3">
        <f t="shared" si="1"/>
        <v>99800000</v>
      </c>
      <c r="J117" s="3">
        <f>Tabela2[[#This Row],[Total]]*0.3</f>
        <v>29940000</v>
      </c>
    </row>
    <row r="118" spans="1:10" x14ac:dyDescent="0.25">
      <c r="A118">
        <v>117</v>
      </c>
      <c r="B118" t="s">
        <v>21</v>
      </c>
      <c r="C118" t="s">
        <v>22</v>
      </c>
      <c r="D118">
        <v>20</v>
      </c>
      <c r="E118" t="s">
        <v>27</v>
      </c>
      <c r="F118" t="s">
        <v>32</v>
      </c>
      <c r="G118" s="1">
        <v>45014</v>
      </c>
      <c r="H118" s="2">
        <v>37850000</v>
      </c>
      <c r="I118" s="3">
        <f t="shared" si="1"/>
        <v>757000000</v>
      </c>
      <c r="J118" s="3">
        <f>Tabela2[[#This Row],[Total]]*0.3</f>
        <v>227100000</v>
      </c>
    </row>
    <row r="119" spans="1:10" x14ac:dyDescent="0.25">
      <c r="A119">
        <v>118</v>
      </c>
      <c r="B119" t="s">
        <v>25</v>
      </c>
      <c r="C119" t="s">
        <v>26</v>
      </c>
      <c r="D119">
        <v>20</v>
      </c>
      <c r="E119" t="s">
        <v>27</v>
      </c>
      <c r="F119" t="s">
        <v>31</v>
      </c>
      <c r="G119" s="1">
        <v>44796</v>
      </c>
      <c r="H119" s="2">
        <v>33300000</v>
      </c>
      <c r="I119" s="3">
        <f t="shared" si="1"/>
        <v>666000000</v>
      </c>
      <c r="J119" s="3">
        <f>Tabela2[[#This Row],[Total]]*0.3</f>
        <v>199800000</v>
      </c>
    </row>
    <row r="120" spans="1:10" x14ac:dyDescent="0.25">
      <c r="A120">
        <v>119</v>
      </c>
      <c r="B120" t="s">
        <v>18</v>
      </c>
      <c r="C120" t="s">
        <v>19</v>
      </c>
      <c r="D120">
        <v>1</v>
      </c>
      <c r="E120" t="s">
        <v>28</v>
      </c>
      <c r="F120" t="s">
        <v>10</v>
      </c>
      <c r="G120" s="1">
        <v>44796</v>
      </c>
      <c r="H120" s="2">
        <v>46300000</v>
      </c>
      <c r="I120" s="3">
        <f t="shared" si="1"/>
        <v>46300000</v>
      </c>
      <c r="J120" s="3">
        <f>Tabela2[[#This Row],[Total]]*0.3</f>
        <v>13890000</v>
      </c>
    </row>
    <row r="121" spans="1:10" x14ac:dyDescent="0.25">
      <c r="A121">
        <v>120</v>
      </c>
      <c r="B121" t="s">
        <v>13</v>
      </c>
      <c r="C121" t="s">
        <v>14</v>
      </c>
      <c r="D121">
        <v>1</v>
      </c>
      <c r="E121" t="s">
        <v>29</v>
      </c>
      <c r="F121" t="s">
        <v>31</v>
      </c>
      <c r="G121" s="1">
        <v>44591</v>
      </c>
      <c r="H121" s="2">
        <v>49900000</v>
      </c>
      <c r="I121" s="3">
        <f t="shared" si="1"/>
        <v>49900000</v>
      </c>
      <c r="J121" s="3">
        <f>Tabela2[[#This Row],[Total]]*0.3</f>
        <v>14970000</v>
      </c>
    </row>
    <row r="122" spans="1:10" x14ac:dyDescent="0.25">
      <c r="A122">
        <v>121</v>
      </c>
      <c r="B122" t="s">
        <v>20</v>
      </c>
      <c r="C122" t="s">
        <v>14</v>
      </c>
      <c r="D122">
        <v>1</v>
      </c>
      <c r="E122" t="s">
        <v>28</v>
      </c>
      <c r="F122" t="s">
        <v>10</v>
      </c>
      <c r="G122" s="1">
        <v>45014</v>
      </c>
      <c r="H122" s="2">
        <v>47700000</v>
      </c>
      <c r="I122" s="3">
        <f t="shared" si="1"/>
        <v>47700000</v>
      </c>
      <c r="J122" s="3">
        <f>Tabela2[[#This Row],[Total]]*0.3</f>
        <v>14310000</v>
      </c>
    </row>
    <row r="123" spans="1:10" x14ac:dyDescent="0.25">
      <c r="A123">
        <v>122</v>
      </c>
      <c r="B123" t="s">
        <v>15</v>
      </c>
      <c r="C123" t="s">
        <v>16</v>
      </c>
      <c r="D123">
        <v>10</v>
      </c>
      <c r="E123" t="s">
        <v>28</v>
      </c>
      <c r="F123" t="s">
        <v>31</v>
      </c>
      <c r="G123" s="1">
        <v>44706</v>
      </c>
      <c r="H123" s="2">
        <v>58500000</v>
      </c>
      <c r="I123" s="3">
        <f t="shared" si="1"/>
        <v>585000000</v>
      </c>
      <c r="J123" s="3">
        <f>Tabela2[[#This Row],[Total]]*0.3</f>
        <v>175500000</v>
      </c>
    </row>
    <row r="124" spans="1:10" x14ac:dyDescent="0.25">
      <c r="A124">
        <v>123</v>
      </c>
      <c r="B124" t="s">
        <v>25</v>
      </c>
      <c r="C124" t="s">
        <v>26</v>
      </c>
      <c r="D124">
        <v>1</v>
      </c>
      <c r="E124" t="s">
        <v>29</v>
      </c>
      <c r="F124" t="s">
        <v>10</v>
      </c>
      <c r="G124" s="1">
        <v>45117</v>
      </c>
      <c r="H124" s="2">
        <v>33300000</v>
      </c>
      <c r="I124" s="3">
        <f t="shared" si="1"/>
        <v>33300000</v>
      </c>
      <c r="J124" s="3">
        <f>Tabela2[[#This Row],[Total]]*0.3</f>
        <v>9990000</v>
      </c>
    </row>
    <row r="125" spans="1:10" x14ac:dyDescent="0.25">
      <c r="A125">
        <v>124</v>
      </c>
      <c r="B125" t="s">
        <v>8</v>
      </c>
      <c r="C125" t="s">
        <v>9</v>
      </c>
      <c r="D125">
        <v>1</v>
      </c>
      <c r="E125" t="s">
        <v>29</v>
      </c>
      <c r="F125" t="s">
        <v>10</v>
      </c>
      <c r="G125" s="1">
        <v>44710</v>
      </c>
      <c r="H125" s="2">
        <v>55300000</v>
      </c>
      <c r="I125" s="3">
        <f t="shared" si="1"/>
        <v>55300000</v>
      </c>
      <c r="J125" s="3">
        <f>Tabela2[[#This Row],[Total]]*0.3</f>
        <v>16590000</v>
      </c>
    </row>
    <row r="126" spans="1:10" x14ac:dyDescent="0.25">
      <c r="A126">
        <v>125</v>
      </c>
      <c r="B126" t="s">
        <v>20</v>
      </c>
      <c r="C126" t="s">
        <v>14</v>
      </c>
      <c r="D126">
        <v>1</v>
      </c>
      <c r="E126" t="s">
        <v>27</v>
      </c>
      <c r="F126" t="s">
        <v>17</v>
      </c>
      <c r="G126" s="1">
        <v>44673</v>
      </c>
      <c r="H126" s="2">
        <v>47700000</v>
      </c>
      <c r="I126" s="3">
        <f t="shared" si="1"/>
        <v>47700000</v>
      </c>
      <c r="J126" s="3">
        <f>Tabela2[[#This Row],[Total]]*0.3</f>
        <v>14310000</v>
      </c>
    </row>
    <row r="127" spans="1:10" x14ac:dyDescent="0.25">
      <c r="A127">
        <v>126</v>
      </c>
      <c r="B127" t="s">
        <v>8</v>
      </c>
      <c r="C127" t="s">
        <v>9</v>
      </c>
      <c r="D127">
        <v>1</v>
      </c>
      <c r="E127" t="s">
        <v>27</v>
      </c>
      <c r="F127" t="s">
        <v>17</v>
      </c>
      <c r="G127" s="1">
        <v>44706</v>
      </c>
      <c r="H127" s="2">
        <v>55300000</v>
      </c>
      <c r="I127" s="3">
        <f t="shared" si="1"/>
        <v>55300000</v>
      </c>
      <c r="J127" s="3">
        <f>Tabela2[[#This Row],[Total]]*0.3</f>
        <v>16590000</v>
      </c>
    </row>
    <row r="128" spans="1:10" x14ac:dyDescent="0.25">
      <c r="A128">
        <v>127</v>
      </c>
      <c r="B128" t="s">
        <v>21</v>
      </c>
      <c r="C128" t="s">
        <v>22</v>
      </c>
      <c r="D128">
        <v>1</v>
      </c>
      <c r="E128" t="s">
        <v>29</v>
      </c>
      <c r="F128" t="s">
        <v>10</v>
      </c>
      <c r="G128" s="1">
        <v>44591</v>
      </c>
      <c r="H128" s="2">
        <v>37850000</v>
      </c>
      <c r="I128" s="3">
        <f t="shared" si="1"/>
        <v>37850000</v>
      </c>
      <c r="J128" s="3">
        <f>Tabela2[[#This Row],[Total]]*0.3</f>
        <v>11355000</v>
      </c>
    </row>
    <row r="129" spans="1:10" x14ac:dyDescent="0.25">
      <c r="A129">
        <v>128</v>
      </c>
      <c r="B129" t="s">
        <v>20</v>
      </c>
      <c r="C129" t="s">
        <v>14</v>
      </c>
      <c r="D129">
        <v>10</v>
      </c>
      <c r="E129" t="s">
        <v>28</v>
      </c>
      <c r="F129" t="s">
        <v>32</v>
      </c>
      <c r="G129" s="1">
        <v>44591</v>
      </c>
      <c r="H129" s="2">
        <v>47700000</v>
      </c>
      <c r="I129" s="3">
        <f t="shared" si="1"/>
        <v>477000000</v>
      </c>
      <c r="J129" s="3">
        <f>Tabela2[[#This Row],[Total]]*0.3</f>
        <v>143100000</v>
      </c>
    </row>
    <row r="130" spans="1:10" x14ac:dyDescent="0.25">
      <c r="A130">
        <v>129</v>
      </c>
      <c r="B130" t="s">
        <v>20</v>
      </c>
      <c r="C130" t="s">
        <v>14</v>
      </c>
      <c r="D130">
        <v>1</v>
      </c>
      <c r="E130" t="s">
        <v>28</v>
      </c>
      <c r="F130" t="s">
        <v>17</v>
      </c>
      <c r="G130" s="1">
        <v>45116</v>
      </c>
      <c r="H130" s="2">
        <v>47700000</v>
      </c>
      <c r="I130" s="3">
        <f t="shared" si="1"/>
        <v>47700000</v>
      </c>
      <c r="J130" s="3">
        <f>Tabela2[[#This Row],[Total]]*0.3</f>
        <v>14310000</v>
      </c>
    </row>
    <row r="131" spans="1:10" x14ac:dyDescent="0.25">
      <c r="A131">
        <v>130</v>
      </c>
      <c r="B131" t="s">
        <v>25</v>
      </c>
      <c r="C131" t="s">
        <v>26</v>
      </c>
      <c r="D131">
        <v>1</v>
      </c>
      <c r="E131" t="s">
        <v>28</v>
      </c>
      <c r="F131" t="s">
        <v>10</v>
      </c>
      <c r="G131" s="1">
        <v>44591</v>
      </c>
      <c r="H131" s="2">
        <v>33300000</v>
      </c>
      <c r="I131" s="3">
        <f t="shared" ref="I131:I194" si="2">D131*H131</f>
        <v>33300000</v>
      </c>
      <c r="J131" s="3">
        <f>Tabela2[[#This Row],[Total]]*0.3</f>
        <v>9990000</v>
      </c>
    </row>
    <row r="132" spans="1:10" x14ac:dyDescent="0.25">
      <c r="A132">
        <v>131</v>
      </c>
      <c r="B132" t="s">
        <v>23</v>
      </c>
      <c r="C132" t="s">
        <v>24</v>
      </c>
      <c r="D132">
        <v>1</v>
      </c>
      <c r="E132" t="s">
        <v>27</v>
      </c>
      <c r="F132" t="s">
        <v>17</v>
      </c>
      <c r="G132" s="1">
        <v>44623</v>
      </c>
      <c r="H132" s="2">
        <v>38500000</v>
      </c>
      <c r="I132" s="3">
        <f t="shared" si="2"/>
        <v>38500000</v>
      </c>
      <c r="J132" s="3">
        <f>Tabela2[[#This Row],[Total]]*0.3</f>
        <v>11550000</v>
      </c>
    </row>
    <row r="133" spans="1:10" x14ac:dyDescent="0.25">
      <c r="A133">
        <v>132</v>
      </c>
      <c r="B133" t="s">
        <v>15</v>
      </c>
      <c r="C133" t="s">
        <v>16</v>
      </c>
      <c r="D133">
        <v>2</v>
      </c>
      <c r="E133" t="s">
        <v>29</v>
      </c>
      <c r="F133" t="s">
        <v>31</v>
      </c>
      <c r="G133" s="1">
        <v>44862</v>
      </c>
      <c r="H133" s="2">
        <v>58500000</v>
      </c>
      <c r="I133" s="3">
        <f t="shared" si="2"/>
        <v>117000000</v>
      </c>
      <c r="J133" s="3">
        <f>Tabela2[[#This Row],[Total]]*0.3</f>
        <v>35100000</v>
      </c>
    </row>
    <row r="134" spans="1:10" x14ac:dyDescent="0.25">
      <c r="A134">
        <v>133</v>
      </c>
      <c r="B134" t="s">
        <v>11</v>
      </c>
      <c r="C134" t="s">
        <v>12</v>
      </c>
      <c r="D134">
        <v>1</v>
      </c>
      <c r="E134" t="s">
        <v>30</v>
      </c>
      <c r="F134" t="s">
        <v>31</v>
      </c>
      <c r="G134" s="1">
        <v>44710</v>
      </c>
      <c r="H134" s="2">
        <v>28500000</v>
      </c>
      <c r="I134" s="3">
        <f t="shared" si="2"/>
        <v>28500000</v>
      </c>
      <c r="J134" s="3">
        <f>Tabela2[[#This Row],[Total]]*0.3</f>
        <v>8550000</v>
      </c>
    </row>
    <row r="135" spans="1:10" x14ac:dyDescent="0.25">
      <c r="A135">
        <v>134</v>
      </c>
      <c r="B135" t="s">
        <v>20</v>
      </c>
      <c r="C135" t="s">
        <v>14</v>
      </c>
      <c r="D135">
        <v>2</v>
      </c>
      <c r="E135" t="s">
        <v>27</v>
      </c>
      <c r="F135" t="s">
        <v>32</v>
      </c>
      <c r="G135" s="1">
        <v>44867</v>
      </c>
      <c r="H135" s="2">
        <v>47700000</v>
      </c>
      <c r="I135" s="3">
        <f t="shared" si="2"/>
        <v>95400000</v>
      </c>
      <c r="J135" s="3">
        <f>Tabela2[[#This Row],[Total]]*0.3</f>
        <v>28620000</v>
      </c>
    </row>
    <row r="136" spans="1:10" x14ac:dyDescent="0.25">
      <c r="A136">
        <v>135</v>
      </c>
      <c r="B136" t="s">
        <v>18</v>
      </c>
      <c r="C136" t="s">
        <v>19</v>
      </c>
      <c r="D136">
        <v>2</v>
      </c>
      <c r="E136" t="s">
        <v>27</v>
      </c>
      <c r="F136" t="s">
        <v>31</v>
      </c>
      <c r="G136" s="1">
        <v>45014</v>
      </c>
      <c r="H136" s="2">
        <v>46300000</v>
      </c>
      <c r="I136" s="3">
        <f t="shared" si="2"/>
        <v>92600000</v>
      </c>
      <c r="J136" s="3">
        <f>Tabela2[[#This Row],[Total]]*0.3</f>
        <v>27780000</v>
      </c>
    </row>
    <row r="137" spans="1:10" x14ac:dyDescent="0.25">
      <c r="A137">
        <v>136</v>
      </c>
      <c r="B137" t="s">
        <v>21</v>
      </c>
      <c r="C137" t="s">
        <v>22</v>
      </c>
      <c r="D137">
        <v>1</v>
      </c>
      <c r="E137" t="s">
        <v>29</v>
      </c>
      <c r="F137" t="s">
        <v>31</v>
      </c>
      <c r="G137" s="1">
        <v>45006</v>
      </c>
      <c r="H137" s="2">
        <v>37850000</v>
      </c>
      <c r="I137" s="3">
        <f t="shared" si="2"/>
        <v>37850000</v>
      </c>
      <c r="J137" s="3">
        <f>Tabela2[[#This Row],[Total]]*0.3</f>
        <v>11355000</v>
      </c>
    </row>
    <row r="138" spans="1:10" x14ac:dyDescent="0.25">
      <c r="A138">
        <v>137</v>
      </c>
      <c r="B138" t="s">
        <v>21</v>
      </c>
      <c r="C138" t="s">
        <v>22</v>
      </c>
      <c r="D138">
        <v>30</v>
      </c>
      <c r="E138" t="s">
        <v>29</v>
      </c>
      <c r="F138" t="s">
        <v>32</v>
      </c>
      <c r="G138" s="1">
        <v>44673</v>
      </c>
      <c r="H138" s="2">
        <v>37850000</v>
      </c>
      <c r="I138" s="3">
        <f t="shared" si="2"/>
        <v>1135500000</v>
      </c>
      <c r="J138" s="3">
        <f>Tabela2[[#This Row],[Total]]*0.3</f>
        <v>340650000</v>
      </c>
    </row>
    <row r="139" spans="1:10" x14ac:dyDescent="0.25">
      <c r="A139">
        <v>138</v>
      </c>
      <c r="B139" t="s">
        <v>25</v>
      </c>
      <c r="C139" t="s">
        <v>26</v>
      </c>
      <c r="D139">
        <v>1</v>
      </c>
      <c r="E139" t="s">
        <v>28</v>
      </c>
      <c r="F139" t="s">
        <v>32</v>
      </c>
      <c r="G139" s="1">
        <v>44796</v>
      </c>
      <c r="H139" s="2">
        <v>33300000</v>
      </c>
      <c r="I139" s="3">
        <f t="shared" si="2"/>
        <v>33300000</v>
      </c>
      <c r="J139" s="3">
        <f>Tabela2[[#This Row],[Total]]*0.3</f>
        <v>9990000</v>
      </c>
    </row>
    <row r="140" spans="1:10" x14ac:dyDescent="0.25">
      <c r="A140">
        <v>139</v>
      </c>
      <c r="B140" t="s">
        <v>15</v>
      </c>
      <c r="C140" t="s">
        <v>16</v>
      </c>
      <c r="D140">
        <v>1</v>
      </c>
      <c r="E140" t="s">
        <v>28</v>
      </c>
      <c r="F140" t="s">
        <v>32</v>
      </c>
      <c r="G140" s="1">
        <v>44710</v>
      </c>
      <c r="H140" s="2">
        <v>58500000</v>
      </c>
      <c r="I140" s="3">
        <f t="shared" si="2"/>
        <v>58500000</v>
      </c>
      <c r="J140" s="3">
        <f>Tabela2[[#This Row],[Total]]*0.3</f>
        <v>17550000</v>
      </c>
    </row>
    <row r="141" spans="1:10" x14ac:dyDescent="0.25">
      <c r="A141">
        <v>140</v>
      </c>
      <c r="B141" t="s">
        <v>25</v>
      </c>
      <c r="C141" t="s">
        <v>26</v>
      </c>
      <c r="D141">
        <v>1</v>
      </c>
      <c r="E141" t="s">
        <v>28</v>
      </c>
      <c r="F141" t="s">
        <v>10</v>
      </c>
      <c r="G141" s="1">
        <v>44591</v>
      </c>
      <c r="H141" s="2">
        <v>33300000</v>
      </c>
      <c r="I141" s="3">
        <f t="shared" si="2"/>
        <v>33300000</v>
      </c>
      <c r="J141" s="3">
        <f>Tabela2[[#This Row],[Total]]*0.3</f>
        <v>9990000</v>
      </c>
    </row>
    <row r="142" spans="1:10" x14ac:dyDescent="0.25">
      <c r="A142">
        <v>141</v>
      </c>
      <c r="B142" t="s">
        <v>23</v>
      </c>
      <c r="C142" t="s">
        <v>24</v>
      </c>
      <c r="D142">
        <v>1</v>
      </c>
      <c r="E142" t="s">
        <v>30</v>
      </c>
      <c r="F142" t="s">
        <v>10</v>
      </c>
      <c r="G142" s="1">
        <v>44867</v>
      </c>
      <c r="H142" s="2">
        <v>38500000</v>
      </c>
      <c r="I142" s="3">
        <f t="shared" si="2"/>
        <v>38500000</v>
      </c>
      <c r="J142" s="3">
        <f>Tabela2[[#This Row],[Total]]*0.3</f>
        <v>11550000</v>
      </c>
    </row>
    <row r="143" spans="1:10" x14ac:dyDescent="0.25">
      <c r="A143">
        <v>142</v>
      </c>
      <c r="B143" t="s">
        <v>18</v>
      </c>
      <c r="C143" t="s">
        <v>19</v>
      </c>
      <c r="D143">
        <v>1</v>
      </c>
      <c r="E143" t="s">
        <v>29</v>
      </c>
      <c r="F143" t="s">
        <v>31</v>
      </c>
      <c r="G143" s="1">
        <v>45006</v>
      </c>
      <c r="H143" s="2">
        <v>46300000</v>
      </c>
      <c r="I143" s="3">
        <f t="shared" si="2"/>
        <v>46300000</v>
      </c>
      <c r="J143" s="3">
        <f>Tabela2[[#This Row],[Total]]*0.3</f>
        <v>13890000</v>
      </c>
    </row>
    <row r="144" spans="1:10" x14ac:dyDescent="0.25">
      <c r="A144">
        <v>143</v>
      </c>
      <c r="B144" t="s">
        <v>23</v>
      </c>
      <c r="C144" t="s">
        <v>24</v>
      </c>
      <c r="D144">
        <v>30</v>
      </c>
      <c r="E144" t="s">
        <v>28</v>
      </c>
      <c r="F144" t="s">
        <v>31</v>
      </c>
      <c r="G144" s="1">
        <v>45276</v>
      </c>
      <c r="H144" s="2">
        <v>38500000</v>
      </c>
      <c r="I144" s="3">
        <f t="shared" si="2"/>
        <v>1155000000</v>
      </c>
      <c r="J144" s="3">
        <f>Tabela2[[#This Row],[Total]]*0.3</f>
        <v>346500000</v>
      </c>
    </row>
    <row r="145" spans="1:10" x14ac:dyDescent="0.25">
      <c r="A145">
        <v>144</v>
      </c>
      <c r="B145" t="s">
        <v>11</v>
      </c>
      <c r="C145" t="s">
        <v>12</v>
      </c>
      <c r="D145">
        <v>1</v>
      </c>
      <c r="E145" t="s">
        <v>27</v>
      </c>
      <c r="F145" t="s">
        <v>17</v>
      </c>
      <c r="G145" s="1">
        <v>45014</v>
      </c>
      <c r="H145" s="2">
        <v>28500000</v>
      </c>
      <c r="I145" s="3">
        <f t="shared" si="2"/>
        <v>28500000</v>
      </c>
      <c r="J145" s="3">
        <f>Tabela2[[#This Row],[Total]]*0.3</f>
        <v>8550000</v>
      </c>
    </row>
    <row r="146" spans="1:10" x14ac:dyDescent="0.25">
      <c r="A146">
        <v>145</v>
      </c>
      <c r="B146" t="s">
        <v>25</v>
      </c>
      <c r="C146" t="s">
        <v>26</v>
      </c>
      <c r="D146">
        <v>1</v>
      </c>
      <c r="E146" t="s">
        <v>27</v>
      </c>
      <c r="F146" t="s">
        <v>10</v>
      </c>
      <c r="G146" s="1">
        <v>45276</v>
      </c>
      <c r="H146" s="2">
        <v>33300000</v>
      </c>
      <c r="I146" s="3">
        <f t="shared" si="2"/>
        <v>33300000</v>
      </c>
      <c r="J146" s="3">
        <f>Tabela2[[#This Row],[Total]]*0.3</f>
        <v>9990000</v>
      </c>
    </row>
    <row r="147" spans="1:10" x14ac:dyDescent="0.25">
      <c r="A147">
        <v>146</v>
      </c>
      <c r="B147" t="s">
        <v>21</v>
      </c>
      <c r="C147" t="s">
        <v>22</v>
      </c>
      <c r="D147">
        <v>2</v>
      </c>
      <c r="E147" t="s">
        <v>30</v>
      </c>
      <c r="F147" t="s">
        <v>31</v>
      </c>
      <c r="G147" s="1">
        <v>44710</v>
      </c>
      <c r="H147" s="2">
        <v>37850000</v>
      </c>
      <c r="I147" s="3">
        <f t="shared" si="2"/>
        <v>75700000</v>
      </c>
      <c r="J147" s="3">
        <f>Tabela2[[#This Row],[Total]]*0.3</f>
        <v>22710000</v>
      </c>
    </row>
    <row r="148" spans="1:10" x14ac:dyDescent="0.25">
      <c r="A148">
        <v>147</v>
      </c>
      <c r="B148" t="s">
        <v>11</v>
      </c>
      <c r="C148" t="s">
        <v>12</v>
      </c>
      <c r="D148">
        <v>2</v>
      </c>
      <c r="E148" t="s">
        <v>27</v>
      </c>
      <c r="F148" t="s">
        <v>31</v>
      </c>
      <c r="G148" s="1">
        <v>44720</v>
      </c>
      <c r="H148" s="2">
        <v>28500000</v>
      </c>
      <c r="I148" s="3">
        <f t="shared" si="2"/>
        <v>57000000</v>
      </c>
      <c r="J148" s="3">
        <f>Tabela2[[#This Row],[Total]]*0.3</f>
        <v>17100000</v>
      </c>
    </row>
    <row r="149" spans="1:10" x14ac:dyDescent="0.25">
      <c r="A149">
        <v>148</v>
      </c>
      <c r="B149" t="s">
        <v>15</v>
      </c>
      <c r="C149" t="s">
        <v>16</v>
      </c>
      <c r="D149">
        <v>30</v>
      </c>
      <c r="E149" t="s">
        <v>30</v>
      </c>
      <c r="F149" t="s">
        <v>31</v>
      </c>
      <c r="G149" s="1">
        <v>44781</v>
      </c>
      <c r="H149" s="2">
        <v>58500000</v>
      </c>
      <c r="I149" s="3">
        <f t="shared" si="2"/>
        <v>1755000000</v>
      </c>
      <c r="J149" s="3">
        <f>Tabela2[[#This Row],[Total]]*0.3</f>
        <v>526500000</v>
      </c>
    </row>
    <row r="150" spans="1:10" x14ac:dyDescent="0.25">
      <c r="A150">
        <v>149</v>
      </c>
      <c r="B150" t="s">
        <v>21</v>
      </c>
      <c r="C150" t="s">
        <v>22</v>
      </c>
      <c r="D150">
        <v>1</v>
      </c>
      <c r="E150" t="s">
        <v>28</v>
      </c>
      <c r="F150" t="s">
        <v>32</v>
      </c>
      <c r="G150" s="1">
        <v>44788</v>
      </c>
      <c r="H150" s="2">
        <v>37850000</v>
      </c>
      <c r="I150" s="3">
        <f t="shared" si="2"/>
        <v>37850000</v>
      </c>
      <c r="J150" s="3">
        <f>Tabela2[[#This Row],[Total]]*0.3</f>
        <v>11355000</v>
      </c>
    </row>
    <row r="151" spans="1:10" x14ac:dyDescent="0.25">
      <c r="A151">
        <v>150</v>
      </c>
      <c r="B151" t="s">
        <v>23</v>
      </c>
      <c r="C151" t="s">
        <v>24</v>
      </c>
      <c r="D151">
        <v>20</v>
      </c>
      <c r="E151" t="s">
        <v>29</v>
      </c>
      <c r="F151" t="s">
        <v>31</v>
      </c>
      <c r="G151" s="1">
        <v>44591</v>
      </c>
      <c r="H151" s="2">
        <v>38500000</v>
      </c>
      <c r="I151" s="3">
        <f t="shared" si="2"/>
        <v>770000000</v>
      </c>
      <c r="J151" s="3">
        <f>Tabela2[[#This Row],[Total]]*0.3</f>
        <v>231000000</v>
      </c>
    </row>
    <row r="152" spans="1:10" x14ac:dyDescent="0.25">
      <c r="A152">
        <v>151</v>
      </c>
      <c r="B152" t="s">
        <v>8</v>
      </c>
      <c r="C152" t="s">
        <v>9</v>
      </c>
      <c r="D152">
        <v>1</v>
      </c>
      <c r="E152" t="s">
        <v>29</v>
      </c>
      <c r="F152" t="s">
        <v>17</v>
      </c>
      <c r="G152" s="1">
        <v>45006</v>
      </c>
      <c r="H152" s="2">
        <v>55300000</v>
      </c>
      <c r="I152" s="3">
        <f t="shared" si="2"/>
        <v>55300000</v>
      </c>
      <c r="J152" s="3">
        <f>Tabela2[[#This Row],[Total]]*0.3</f>
        <v>16590000</v>
      </c>
    </row>
    <row r="153" spans="1:10" x14ac:dyDescent="0.25">
      <c r="A153">
        <v>152</v>
      </c>
      <c r="B153" t="s">
        <v>21</v>
      </c>
      <c r="C153" t="s">
        <v>22</v>
      </c>
      <c r="D153">
        <v>1</v>
      </c>
      <c r="E153" t="s">
        <v>28</v>
      </c>
      <c r="F153" t="s">
        <v>10</v>
      </c>
      <c r="G153" s="1">
        <v>45116</v>
      </c>
      <c r="H153" s="2">
        <v>37850000</v>
      </c>
      <c r="I153" s="3">
        <f t="shared" si="2"/>
        <v>37850000</v>
      </c>
      <c r="J153" s="3">
        <f>Tabela2[[#This Row],[Total]]*0.3</f>
        <v>11355000</v>
      </c>
    </row>
    <row r="154" spans="1:10" x14ac:dyDescent="0.25">
      <c r="A154">
        <v>153</v>
      </c>
      <c r="B154" t="s">
        <v>21</v>
      </c>
      <c r="C154" t="s">
        <v>22</v>
      </c>
      <c r="D154">
        <v>2</v>
      </c>
      <c r="E154" t="s">
        <v>30</v>
      </c>
      <c r="F154" t="s">
        <v>31</v>
      </c>
      <c r="G154" s="1">
        <v>44796</v>
      </c>
      <c r="H154" s="2">
        <v>37850000</v>
      </c>
      <c r="I154" s="3">
        <f t="shared" si="2"/>
        <v>75700000</v>
      </c>
      <c r="J154" s="3">
        <f>Tabela2[[#This Row],[Total]]*0.3</f>
        <v>22710000</v>
      </c>
    </row>
    <row r="155" spans="1:10" x14ac:dyDescent="0.25">
      <c r="A155">
        <v>154</v>
      </c>
      <c r="B155" t="s">
        <v>25</v>
      </c>
      <c r="C155" t="s">
        <v>26</v>
      </c>
      <c r="D155">
        <v>1</v>
      </c>
      <c r="E155" t="s">
        <v>30</v>
      </c>
      <c r="F155" t="s">
        <v>10</v>
      </c>
      <c r="G155" s="1">
        <v>44867</v>
      </c>
      <c r="H155" s="2">
        <v>33300000</v>
      </c>
      <c r="I155" s="3">
        <f t="shared" si="2"/>
        <v>33300000</v>
      </c>
      <c r="J155" s="3">
        <f>Tabela2[[#This Row],[Total]]*0.3</f>
        <v>9990000</v>
      </c>
    </row>
    <row r="156" spans="1:10" x14ac:dyDescent="0.25">
      <c r="A156">
        <v>155</v>
      </c>
      <c r="B156" t="s">
        <v>21</v>
      </c>
      <c r="C156" t="s">
        <v>22</v>
      </c>
      <c r="D156">
        <v>1</v>
      </c>
      <c r="E156" t="s">
        <v>30</v>
      </c>
      <c r="F156" t="s">
        <v>17</v>
      </c>
      <c r="G156" s="1">
        <v>45276</v>
      </c>
      <c r="H156" s="2">
        <v>37850000</v>
      </c>
      <c r="I156" s="3">
        <f t="shared" si="2"/>
        <v>37850000</v>
      </c>
      <c r="J156" s="3">
        <f>Tabela2[[#This Row],[Total]]*0.3</f>
        <v>11355000</v>
      </c>
    </row>
    <row r="157" spans="1:10" x14ac:dyDescent="0.25">
      <c r="A157">
        <v>156</v>
      </c>
      <c r="B157" t="s">
        <v>23</v>
      </c>
      <c r="C157" t="s">
        <v>24</v>
      </c>
      <c r="D157">
        <v>1</v>
      </c>
      <c r="E157" t="s">
        <v>29</v>
      </c>
      <c r="F157" t="s">
        <v>17</v>
      </c>
      <c r="G157" s="1">
        <v>44720</v>
      </c>
      <c r="H157" s="2">
        <v>38500000</v>
      </c>
      <c r="I157" s="3">
        <f t="shared" si="2"/>
        <v>38500000</v>
      </c>
      <c r="J157" s="3">
        <f>Tabela2[[#This Row],[Total]]*0.3</f>
        <v>11550000</v>
      </c>
    </row>
    <row r="158" spans="1:10" x14ac:dyDescent="0.25">
      <c r="A158">
        <v>157</v>
      </c>
      <c r="B158" t="s">
        <v>18</v>
      </c>
      <c r="C158" t="s">
        <v>19</v>
      </c>
      <c r="D158">
        <v>1</v>
      </c>
      <c r="E158" t="s">
        <v>29</v>
      </c>
      <c r="F158" t="s">
        <v>17</v>
      </c>
      <c r="G158" s="1">
        <v>44591</v>
      </c>
      <c r="H158" s="2">
        <v>46300000</v>
      </c>
      <c r="I158" s="3">
        <f t="shared" si="2"/>
        <v>46300000</v>
      </c>
      <c r="J158" s="3">
        <f>Tabela2[[#This Row],[Total]]*0.3</f>
        <v>13890000</v>
      </c>
    </row>
    <row r="159" spans="1:10" x14ac:dyDescent="0.25">
      <c r="A159">
        <v>158</v>
      </c>
      <c r="B159" t="s">
        <v>23</v>
      </c>
      <c r="C159" t="s">
        <v>24</v>
      </c>
      <c r="D159">
        <v>30</v>
      </c>
      <c r="E159" t="s">
        <v>30</v>
      </c>
      <c r="F159" t="s">
        <v>31</v>
      </c>
      <c r="G159" s="1">
        <v>45117</v>
      </c>
      <c r="H159" s="2">
        <v>38500000</v>
      </c>
      <c r="I159" s="3">
        <f t="shared" si="2"/>
        <v>1155000000</v>
      </c>
      <c r="J159" s="3">
        <f>Tabela2[[#This Row],[Total]]*0.3</f>
        <v>346500000</v>
      </c>
    </row>
    <row r="160" spans="1:10" x14ac:dyDescent="0.25">
      <c r="A160">
        <v>159</v>
      </c>
      <c r="B160" t="s">
        <v>25</v>
      </c>
      <c r="C160" t="s">
        <v>26</v>
      </c>
      <c r="D160">
        <v>2</v>
      </c>
      <c r="E160" t="s">
        <v>27</v>
      </c>
      <c r="F160" t="s">
        <v>31</v>
      </c>
      <c r="G160" s="1">
        <v>45117</v>
      </c>
      <c r="H160" s="2">
        <v>33300000</v>
      </c>
      <c r="I160" s="3">
        <f t="shared" si="2"/>
        <v>66600000</v>
      </c>
      <c r="J160" s="3">
        <f>Tabela2[[#This Row],[Total]]*0.3</f>
        <v>19980000</v>
      </c>
    </row>
    <row r="161" spans="1:10" x14ac:dyDescent="0.25">
      <c r="A161">
        <v>160</v>
      </c>
      <c r="B161" t="s">
        <v>15</v>
      </c>
      <c r="C161" t="s">
        <v>16</v>
      </c>
      <c r="D161">
        <v>20</v>
      </c>
      <c r="E161" t="s">
        <v>30</v>
      </c>
      <c r="F161" t="s">
        <v>31</v>
      </c>
      <c r="G161" s="1">
        <v>44706</v>
      </c>
      <c r="H161" s="2">
        <v>58500000</v>
      </c>
      <c r="I161" s="3">
        <f t="shared" si="2"/>
        <v>1170000000</v>
      </c>
      <c r="J161" s="3">
        <f>Tabela2[[#This Row],[Total]]*0.3</f>
        <v>351000000</v>
      </c>
    </row>
    <row r="162" spans="1:10" x14ac:dyDescent="0.25">
      <c r="A162">
        <v>161</v>
      </c>
      <c r="B162" t="s">
        <v>23</v>
      </c>
      <c r="C162" t="s">
        <v>24</v>
      </c>
      <c r="D162">
        <v>2</v>
      </c>
      <c r="E162" t="s">
        <v>29</v>
      </c>
      <c r="F162" t="s">
        <v>31</v>
      </c>
      <c r="G162" s="1">
        <v>44720</v>
      </c>
      <c r="H162" s="2">
        <v>38500000</v>
      </c>
      <c r="I162" s="3">
        <f t="shared" si="2"/>
        <v>77000000</v>
      </c>
      <c r="J162" s="3">
        <f>Tabela2[[#This Row],[Total]]*0.3</f>
        <v>23100000</v>
      </c>
    </row>
    <row r="163" spans="1:10" x14ac:dyDescent="0.25">
      <c r="A163">
        <v>162</v>
      </c>
      <c r="B163" t="s">
        <v>15</v>
      </c>
      <c r="C163" t="s">
        <v>16</v>
      </c>
      <c r="D163">
        <v>30</v>
      </c>
      <c r="E163" t="s">
        <v>27</v>
      </c>
      <c r="F163" t="s">
        <v>31</v>
      </c>
      <c r="G163" s="1">
        <v>45117</v>
      </c>
      <c r="H163" s="2">
        <v>58500000</v>
      </c>
      <c r="I163" s="3">
        <f t="shared" si="2"/>
        <v>1755000000</v>
      </c>
      <c r="J163" s="3">
        <f>Tabela2[[#This Row],[Total]]*0.3</f>
        <v>526500000</v>
      </c>
    </row>
    <row r="164" spans="1:10" x14ac:dyDescent="0.25">
      <c r="A164">
        <v>163</v>
      </c>
      <c r="B164" t="s">
        <v>8</v>
      </c>
      <c r="C164" t="s">
        <v>9</v>
      </c>
      <c r="D164">
        <v>1</v>
      </c>
      <c r="E164" t="s">
        <v>30</v>
      </c>
      <c r="F164" t="s">
        <v>17</v>
      </c>
      <c r="G164" s="1">
        <v>44710</v>
      </c>
      <c r="H164" s="2">
        <v>55300000</v>
      </c>
      <c r="I164" s="3">
        <f t="shared" si="2"/>
        <v>55300000</v>
      </c>
      <c r="J164" s="3">
        <f>Tabela2[[#This Row],[Total]]*0.3</f>
        <v>16590000</v>
      </c>
    </row>
    <row r="165" spans="1:10" x14ac:dyDescent="0.25">
      <c r="A165">
        <v>164</v>
      </c>
      <c r="B165" t="s">
        <v>18</v>
      </c>
      <c r="C165" t="s">
        <v>19</v>
      </c>
      <c r="D165">
        <v>30</v>
      </c>
      <c r="E165" t="s">
        <v>30</v>
      </c>
      <c r="F165" t="s">
        <v>32</v>
      </c>
      <c r="G165" s="1">
        <v>44787</v>
      </c>
      <c r="H165" s="2">
        <v>46300000</v>
      </c>
      <c r="I165" s="3">
        <f t="shared" si="2"/>
        <v>1389000000</v>
      </c>
      <c r="J165" s="3">
        <f>Tabela2[[#This Row],[Total]]*0.3</f>
        <v>416700000</v>
      </c>
    </row>
    <row r="166" spans="1:10" x14ac:dyDescent="0.25">
      <c r="A166">
        <v>165</v>
      </c>
      <c r="B166" t="s">
        <v>8</v>
      </c>
      <c r="C166" t="s">
        <v>9</v>
      </c>
      <c r="D166">
        <v>1</v>
      </c>
      <c r="E166" t="s">
        <v>29</v>
      </c>
      <c r="F166" t="s">
        <v>10</v>
      </c>
      <c r="G166" s="1">
        <v>45116</v>
      </c>
      <c r="H166" s="2">
        <v>55300000</v>
      </c>
      <c r="I166" s="3">
        <f t="shared" si="2"/>
        <v>55300000</v>
      </c>
      <c r="J166" s="3">
        <f>Tabela2[[#This Row],[Total]]*0.3</f>
        <v>16590000</v>
      </c>
    </row>
    <row r="167" spans="1:10" x14ac:dyDescent="0.25">
      <c r="A167">
        <v>166</v>
      </c>
      <c r="B167" t="s">
        <v>13</v>
      </c>
      <c r="C167" t="s">
        <v>14</v>
      </c>
      <c r="D167">
        <v>1</v>
      </c>
      <c r="E167" t="s">
        <v>27</v>
      </c>
      <c r="F167" t="s">
        <v>17</v>
      </c>
      <c r="G167" s="1">
        <v>44796</v>
      </c>
      <c r="H167" s="2">
        <v>49900000</v>
      </c>
      <c r="I167" s="3">
        <f t="shared" si="2"/>
        <v>49900000</v>
      </c>
      <c r="J167" s="3">
        <f>Tabela2[[#This Row],[Total]]*0.3</f>
        <v>14970000</v>
      </c>
    </row>
    <row r="168" spans="1:10" x14ac:dyDescent="0.25">
      <c r="A168">
        <v>167</v>
      </c>
      <c r="B168" t="s">
        <v>21</v>
      </c>
      <c r="C168" t="s">
        <v>22</v>
      </c>
      <c r="D168">
        <v>1</v>
      </c>
      <c r="E168" t="s">
        <v>27</v>
      </c>
      <c r="F168" t="s">
        <v>17</v>
      </c>
      <c r="G168" s="1">
        <v>44720</v>
      </c>
      <c r="H168" s="2">
        <v>37850000</v>
      </c>
      <c r="I168" s="3">
        <f t="shared" si="2"/>
        <v>37850000</v>
      </c>
      <c r="J168" s="3">
        <f>Tabela2[[#This Row],[Total]]*0.3</f>
        <v>11355000</v>
      </c>
    </row>
    <row r="169" spans="1:10" x14ac:dyDescent="0.25">
      <c r="A169">
        <v>168</v>
      </c>
      <c r="B169" t="s">
        <v>25</v>
      </c>
      <c r="C169" t="s">
        <v>26</v>
      </c>
      <c r="D169">
        <v>1</v>
      </c>
      <c r="E169" t="s">
        <v>29</v>
      </c>
      <c r="F169" t="s">
        <v>17</v>
      </c>
      <c r="G169" s="1">
        <v>45014</v>
      </c>
      <c r="H169" s="2">
        <v>33300000</v>
      </c>
      <c r="I169" s="3">
        <f t="shared" si="2"/>
        <v>33300000</v>
      </c>
      <c r="J169" s="3">
        <f>Tabela2[[#This Row],[Total]]*0.3</f>
        <v>9990000</v>
      </c>
    </row>
    <row r="170" spans="1:10" x14ac:dyDescent="0.25">
      <c r="A170">
        <v>169</v>
      </c>
      <c r="B170" t="s">
        <v>11</v>
      </c>
      <c r="C170" t="s">
        <v>12</v>
      </c>
      <c r="D170">
        <v>1</v>
      </c>
      <c r="E170" t="s">
        <v>27</v>
      </c>
      <c r="F170" t="s">
        <v>17</v>
      </c>
      <c r="G170" s="1">
        <v>44787</v>
      </c>
      <c r="H170" s="2">
        <v>28500000</v>
      </c>
      <c r="I170" s="3">
        <f t="shared" si="2"/>
        <v>28500000</v>
      </c>
      <c r="J170" s="3">
        <f>Tabela2[[#This Row],[Total]]*0.3</f>
        <v>8550000</v>
      </c>
    </row>
    <row r="171" spans="1:10" x14ac:dyDescent="0.25">
      <c r="A171">
        <v>170</v>
      </c>
      <c r="B171" t="s">
        <v>11</v>
      </c>
      <c r="C171" t="s">
        <v>12</v>
      </c>
      <c r="D171">
        <v>30</v>
      </c>
      <c r="E171" t="s">
        <v>27</v>
      </c>
      <c r="F171" t="s">
        <v>32</v>
      </c>
      <c r="G171" s="1">
        <v>45014</v>
      </c>
      <c r="H171" s="2">
        <v>28500000</v>
      </c>
      <c r="I171" s="3">
        <f t="shared" si="2"/>
        <v>855000000</v>
      </c>
      <c r="J171" s="3">
        <f>Tabela2[[#This Row],[Total]]*0.3</f>
        <v>256500000</v>
      </c>
    </row>
    <row r="172" spans="1:10" x14ac:dyDescent="0.25">
      <c r="A172">
        <v>171</v>
      </c>
      <c r="B172" t="s">
        <v>18</v>
      </c>
      <c r="C172" t="s">
        <v>19</v>
      </c>
      <c r="D172">
        <v>1</v>
      </c>
      <c r="E172" t="s">
        <v>30</v>
      </c>
      <c r="F172" t="s">
        <v>10</v>
      </c>
      <c r="G172" s="1">
        <v>44796</v>
      </c>
      <c r="H172" s="2">
        <v>46300000</v>
      </c>
      <c r="I172" s="3">
        <f t="shared" si="2"/>
        <v>46300000</v>
      </c>
      <c r="J172" s="3">
        <f>Tabela2[[#This Row],[Total]]*0.3</f>
        <v>13890000</v>
      </c>
    </row>
    <row r="173" spans="1:10" x14ac:dyDescent="0.25">
      <c r="A173">
        <v>172</v>
      </c>
      <c r="B173" t="s">
        <v>20</v>
      </c>
      <c r="C173" t="s">
        <v>14</v>
      </c>
      <c r="D173">
        <v>1</v>
      </c>
      <c r="E173" t="s">
        <v>30</v>
      </c>
      <c r="F173" t="s">
        <v>32</v>
      </c>
      <c r="G173" s="1">
        <v>45014</v>
      </c>
      <c r="H173" s="2">
        <v>47700000</v>
      </c>
      <c r="I173" s="3">
        <f t="shared" si="2"/>
        <v>47700000</v>
      </c>
      <c r="J173" s="3">
        <f>Tabela2[[#This Row],[Total]]*0.3</f>
        <v>14310000</v>
      </c>
    </row>
    <row r="174" spans="1:10" x14ac:dyDescent="0.25">
      <c r="A174">
        <v>173</v>
      </c>
      <c r="B174" t="s">
        <v>18</v>
      </c>
      <c r="C174" t="s">
        <v>19</v>
      </c>
      <c r="D174">
        <v>1</v>
      </c>
      <c r="E174" t="s">
        <v>29</v>
      </c>
      <c r="F174" t="s">
        <v>17</v>
      </c>
      <c r="G174" s="1">
        <v>44706</v>
      </c>
      <c r="H174" s="2">
        <v>46300000</v>
      </c>
      <c r="I174" s="3">
        <f t="shared" si="2"/>
        <v>46300000</v>
      </c>
      <c r="J174" s="3">
        <f>Tabela2[[#This Row],[Total]]*0.3</f>
        <v>13890000</v>
      </c>
    </row>
    <row r="175" spans="1:10" x14ac:dyDescent="0.25">
      <c r="A175">
        <v>174</v>
      </c>
      <c r="B175" t="s">
        <v>11</v>
      </c>
      <c r="C175" t="s">
        <v>12</v>
      </c>
      <c r="D175">
        <v>1</v>
      </c>
      <c r="E175" t="s">
        <v>30</v>
      </c>
      <c r="F175" t="s">
        <v>10</v>
      </c>
      <c r="G175" s="1">
        <v>45006</v>
      </c>
      <c r="H175" s="2">
        <v>28500000</v>
      </c>
      <c r="I175" s="3">
        <f t="shared" si="2"/>
        <v>28500000</v>
      </c>
      <c r="J175" s="3">
        <f>Tabela2[[#This Row],[Total]]*0.3</f>
        <v>8550000</v>
      </c>
    </row>
    <row r="176" spans="1:10" x14ac:dyDescent="0.25">
      <c r="A176">
        <v>175</v>
      </c>
      <c r="B176" t="s">
        <v>13</v>
      </c>
      <c r="C176" t="s">
        <v>14</v>
      </c>
      <c r="D176">
        <v>1</v>
      </c>
      <c r="E176" t="s">
        <v>28</v>
      </c>
      <c r="F176" t="s">
        <v>17</v>
      </c>
      <c r="G176" s="1">
        <v>44867</v>
      </c>
      <c r="H176" s="2">
        <v>49900000</v>
      </c>
      <c r="I176" s="3">
        <f t="shared" si="2"/>
        <v>49900000</v>
      </c>
      <c r="J176" s="3">
        <f>Tabela2[[#This Row],[Total]]*0.3</f>
        <v>14970000</v>
      </c>
    </row>
    <row r="177" spans="1:10" x14ac:dyDescent="0.25">
      <c r="A177">
        <v>176</v>
      </c>
      <c r="B177" t="s">
        <v>18</v>
      </c>
      <c r="C177" t="s">
        <v>19</v>
      </c>
      <c r="D177">
        <v>1</v>
      </c>
      <c r="E177" t="s">
        <v>28</v>
      </c>
      <c r="F177" t="s">
        <v>10</v>
      </c>
      <c r="G177" s="1">
        <v>44867</v>
      </c>
      <c r="H177" s="2">
        <v>46300000</v>
      </c>
      <c r="I177" s="3">
        <f t="shared" si="2"/>
        <v>46300000</v>
      </c>
      <c r="J177" s="3">
        <f>Tabela2[[#This Row],[Total]]*0.3</f>
        <v>13890000</v>
      </c>
    </row>
    <row r="178" spans="1:10" x14ac:dyDescent="0.25">
      <c r="A178">
        <v>177</v>
      </c>
      <c r="B178" t="s">
        <v>20</v>
      </c>
      <c r="C178" t="s">
        <v>14</v>
      </c>
      <c r="D178">
        <v>2</v>
      </c>
      <c r="E178" t="s">
        <v>28</v>
      </c>
      <c r="F178" t="s">
        <v>31</v>
      </c>
      <c r="G178" s="1">
        <v>44818</v>
      </c>
      <c r="H178" s="2">
        <v>47700000</v>
      </c>
      <c r="I178" s="3">
        <f t="shared" si="2"/>
        <v>95400000</v>
      </c>
      <c r="J178" s="3">
        <f>Tabela2[[#This Row],[Total]]*0.3</f>
        <v>28620000</v>
      </c>
    </row>
    <row r="179" spans="1:10" x14ac:dyDescent="0.25">
      <c r="A179">
        <v>178</v>
      </c>
      <c r="B179" t="s">
        <v>13</v>
      </c>
      <c r="C179" t="s">
        <v>14</v>
      </c>
      <c r="D179">
        <v>1</v>
      </c>
      <c r="E179" t="s">
        <v>28</v>
      </c>
      <c r="F179" t="s">
        <v>17</v>
      </c>
      <c r="G179" s="1">
        <v>44623</v>
      </c>
      <c r="H179" s="2">
        <v>49900000</v>
      </c>
      <c r="I179" s="3">
        <f t="shared" si="2"/>
        <v>49900000</v>
      </c>
      <c r="J179" s="3">
        <f>Tabela2[[#This Row],[Total]]*0.3</f>
        <v>14970000</v>
      </c>
    </row>
    <row r="180" spans="1:10" x14ac:dyDescent="0.25">
      <c r="A180">
        <v>179</v>
      </c>
      <c r="B180" t="s">
        <v>25</v>
      </c>
      <c r="C180" t="s">
        <v>26</v>
      </c>
      <c r="D180">
        <v>30</v>
      </c>
      <c r="E180" t="s">
        <v>29</v>
      </c>
      <c r="F180" t="s">
        <v>31</v>
      </c>
      <c r="G180" s="1">
        <v>44710</v>
      </c>
      <c r="H180" s="2">
        <v>33300000</v>
      </c>
      <c r="I180" s="3">
        <f t="shared" si="2"/>
        <v>999000000</v>
      </c>
      <c r="J180" s="3">
        <f>Tabela2[[#This Row],[Total]]*0.3</f>
        <v>299700000</v>
      </c>
    </row>
    <row r="181" spans="1:10" x14ac:dyDescent="0.25">
      <c r="A181">
        <v>180</v>
      </c>
      <c r="B181" t="s">
        <v>8</v>
      </c>
      <c r="C181" t="s">
        <v>9</v>
      </c>
      <c r="D181">
        <v>2</v>
      </c>
      <c r="E181" t="s">
        <v>30</v>
      </c>
      <c r="F181" t="s">
        <v>32</v>
      </c>
      <c r="G181" s="1">
        <v>44892</v>
      </c>
      <c r="H181" s="2">
        <v>55300000</v>
      </c>
      <c r="I181" s="3">
        <f t="shared" si="2"/>
        <v>110600000</v>
      </c>
      <c r="J181" s="3">
        <f>Tabela2[[#This Row],[Total]]*0.3</f>
        <v>33180000</v>
      </c>
    </row>
    <row r="182" spans="1:10" x14ac:dyDescent="0.25">
      <c r="A182">
        <v>181</v>
      </c>
      <c r="B182" t="s">
        <v>20</v>
      </c>
      <c r="C182" t="s">
        <v>14</v>
      </c>
      <c r="D182">
        <v>30</v>
      </c>
      <c r="E182" t="s">
        <v>27</v>
      </c>
      <c r="F182" t="s">
        <v>32</v>
      </c>
      <c r="G182" s="1">
        <v>45014</v>
      </c>
      <c r="H182" s="2">
        <v>47700000</v>
      </c>
      <c r="I182" s="3">
        <f t="shared" si="2"/>
        <v>1431000000</v>
      </c>
      <c r="J182" s="3">
        <f>Tabela2[[#This Row],[Total]]*0.3</f>
        <v>429300000</v>
      </c>
    </row>
    <row r="183" spans="1:10" x14ac:dyDescent="0.25">
      <c r="A183">
        <v>182</v>
      </c>
      <c r="B183" t="s">
        <v>15</v>
      </c>
      <c r="C183" t="s">
        <v>16</v>
      </c>
      <c r="D183">
        <v>30</v>
      </c>
      <c r="E183" t="s">
        <v>27</v>
      </c>
      <c r="F183" t="s">
        <v>32</v>
      </c>
      <c r="G183" s="1">
        <v>45276</v>
      </c>
      <c r="H183" s="2">
        <v>58500000</v>
      </c>
      <c r="I183" s="3">
        <f t="shared" si="2"/>
        <v>1755000000</v>
      </c>
      <c r="J183" s="3">
        <f>Tabela2[[#This Row],[Total]]*0.3</f>
        <v>526500000</v>
      </c>
    </row>
    <row r="184" spans="1:10" x14ac:dyDescent="0.25">
      <c r="A184">
        <v>183</v>
      </c>
      <c r="B184" t="s">
        <v>20</v>
      </c>
      <c r="C184" t="s">
        <v>14</v>
      </c>
      <c r="D184">
        <v>1</v>
      </c>
      <c r="E184" t="s">
        <v>28</v>
      </c>
      <c r="F184" t="s">
        <v>31</v>
      </c>
      <c r="G184" s="1">
        <v>44706</v>
      </c>
      <c r="H184" s="2">
        <v>47700000</v>
      </c>
      <c r="I184" s="3">
        <f t="shared" si="2"/>
        <v>47700000</v>
      </c>
      <c r="J184" s="3">
        <f>Tabela2[[#This Row],[Total]]*0.3</f>
        <v>14310000</v>
      </c>
    </row>
    <row r="185" spans="1:10" x14ac:dyDescent="0.25">
      <c r="A185">
        <v>184</v>
      </c>
      <c r="B185" t="s">
        <v>15</v>
      </c>
      <c r="C185" t="s">
        <v>16</v>
      </c>
      <c r="D185">
        <v>20</v>
      </c>
      <c r="E185" t="s">
        <v>27</v>
      </c>
      <c r="F185" t="s">
        <v>31</v>
      </c>
      <c r="G185" s="1">
        <v>45116</v>
      </c>
      <c r="H185" s="2">
        <v>58500000</v>
      </c>
      <c r="I185" s="3">
        <f t="shared" si="2"/>
        <v>1170000000</v>
      </c>
      <c r="J185" s="3">
        <f>Tabela2[[#This Row],[Total]]*0.3</f>
        <v>351000000</v>
      </c>
    </row>
    <row r="186" spans="1:10" x14ac:dyDescent="0.25">
      <c r="A186">
        <v>185</v>
      </c>
      <c r="B186" t="s">
        <v>15</v>
      </c>
      <c r="C186" t="s">
        <v>16</v>
      </c>
      <c r="D186">
        <v>1</v>
      </c>
      <c r="E186" t="s">
        <v>28</v>
      </c>
      <c r="F186" t="s">
        <v>10</v>
      </c>
      <c r="G186" s="1">
        <v>44788</v>
      </c>
      <c r="H186" s="2">
        <v>58500000</v>
      </c>
      <c r="I186" s="3">
        <f t="shared" si="2"/>
        <v>58500000</v>
      </c>
      <c r="J186" s="3">
        <f>Tabela2[[#This Row],[Total]]*0.3</f>
        <v>17550000</v>
      </c>
    </row>
    <row r="187" spans="1:10" x14ac:dyDescent="0.25">
      <c r="A187">
        <v>186</v>
      </c>
      <c r="B187" t="s">
        <v>21</v>
      </c>
      <c r="C187" t="s">
        <v>22</v>
      </c>
      <c r="D187">
        <v>2</v>
      </c>
      <c r="E187" t="s">
        <v>30</v>
      </c>
      <c r="F187" t="s">
        <v>32</v>
      </c>
      <c r="G187" s="1">
        <v>44720</v>
      </c>
      <c r="H187" s="2">
        <v>37850000</v>
      </c>
      <c r="I187" s="3">
        <f t="shared" si="2"/>
        <v>75700000</v>
      </c>
      <c r="J187" s="3">
        <f>Tabela2[[#This Row],[Total]]*0.3</f>
        <v>22710000</v>
      </c>
    </row>
    <row r="188" spans="1:10" x14ac:dyDescent="0.25">
      <c r="A188">
        <v>187</v>
      </c>
      <c r="B188" t="s">
        <v>25</v>
      </c>
      <c r="C188" t="s">
        <v>26</v>
      </c>
      <c r="D188">
        <v>1</v>
      </c>
      <c r="E188" t="s">
        <v>30</v>
      </c>
      <c r="F188" t="s">
        <v>17</v>
      </c>
      <c r="G188" s="1">
        <v>44862</v>
      </c>
      <c r="H188" s="2">
        <v>33300000</v>
      </c>
      <c r="I188" s="3">
        <f t="shared" si="2"/>
        <v>33300000</v>
      </c>
      <c r="J188" s="3">
        <f>Tabela2[[#This Row],[Total]]*0.3</f>
        <v>9990000</v>
      </c>
    </row>
    <row r="189" spans="1:10" x14ac:dyDescent="0.25">
      <c r="A189">
        <v>188</v>
      </c>
      <c r="B189" t="s">
        <v>18</v>
      </c>
      <c r="C189" t="s">
        <v>19</v>
      </c>
      <c r="D189">
        <v>20</v>
      </c>
      <c r="E189" t="s">
        <v>27</v>
      </c>
      <c r="F189" t="s">
        <v>32</v>
      </c>
      <c r="G189" s="1">
        <v>44623</v>
      </c>
      <c r="H189" s="2">
        <v>46300000</v>
      </c>
      <c r="I189" s="3">
        <f t="shared" si="2"/>
        <v>926000000</v>
      </c>
      <c r="J189" s="3">
        <f>Tabela2[[#This Row],[Total]]*0.3</f>
        <v>277800000</v>
      </c>
    </row>
    <row r="190" spans="1:10" x14ac:dyDescent="0.25">
      <c r="A190">
        <v>189</v>
      </c>
      <c r="B190" t="s">
        <v>20</v>
      </c>
      <c r="C190" t="s">
        <v>14</v>
      </c>
      <c r="D190">
        <v>1</v>
      </c>
      <c r="E190" t="s">
        <v>30</v>
      </c>
      <c r="F190" t="s">
        <v>17</v>
      </c>
      <c r="G190" s="1">
        <v>44673</v>
      </c>
      <c r="H190" s="2">
        <v>47700000</v>
      </c>
      <c r="I190" s="3">
        <f t="shared" si="2"/>
        <v>47700000</v>
      </c>
      <c r="J190" s="3">
        <f>Tabela2[[#This Row],[Total]]*0.3</f>
        <v>14310000</v>
      </c>
    </row>
    <row r="191" spans="1:10" x14ac:dyDescent="0.25">
      <c r="A191">
        <v>190</v>
      </c>
      <c r="B191" t="s">
        <v>20</v>
      </c>
      <c r="C191" t="s">
        <v>14</v>
      </c>
      <c r="D191">
        <v>20</v>
      </c>
      <c r="E191" t="s">
        <v>27</v>
      </c>
      <c r="F191" t="s">
        <v>32</v>
      </c>
      <c r="G191" s="1">
        <v>45006</v>
      </c>
      <c r="H191" s="2">
        <v>47700000</v>
      </c>
      <c r="I191" s="3">
        <f t="shared" si="2"/>
        <v>954000000</v>
      </c>
      <c r="J191" s="3">
        <f>Tabela2[[#This Row],[Total]]*0.3</f>
        <v>286200000</v>
      </c>
    </row>
    <row r="192" spans="1:10" x14ac:dyDescent="0.25">
      <c r="A192">
        <v>191</v>
      </c>
      <c r="B192" t="s">
        <v>13</v>
      </c>
      <c r="C192" t="s">
        <v>14</v>
      </c>
      <c r="D192">
        <v>1</v>
      </c>
      <c r="E192" t="s">
        <v>27</v>
      </c>
      <c r="F192" t="s">
        <v>31</v>
      </c>
      <c r="G192" s="1">
        <v>44706</v>
      </c>
      <c r="H192" s="2">
        <v>49900000</v>
      </c>
      <c r="I192" s="3">
        <f t="shared" si="2"/>
        <v>49900000</v>
      </c>
      <c r="J192" s="3">
        <f>Tabela2[[#This Row],[Total]]*0.3</f>
        <v>14970000</v>
      </c>
    </row>
    <row r="193" spans="1:10" x14ac:dyDescent="0.25">
      <c r="A193">
        <v>192</v>
      </c>
      <c r="B193" t="s">
        <v>25</v>
      </c>
      <c r="C193" t="s">
        <v>26</v>
      </c>
      <c r="D193">
        <v>20</v>
      </c>
      <c r="E193" t="s">
        <v>29</v>
      </c>
      <c r="F193" t="s">
        <v>31</v>
      </c>
      <c r="G193" s="1">
        <v>44781</v>
      </c>
      <c r="H193" s="2">
        <v>33300000</v>
      </c>
      <c r="I193" s="3">
        <f t="shared" si="2"/>
        <v>666000000</v>
      </c>
      <c r="J193" s="3">
        <f>Tabela2[[#This Row],[Total]]*0.3</f>
        <v>199800000</v>
      </c>
    </row>
    <row r="194" spans="1:10" x14ac:dyDescent="0.25">
      <c r="A194">
        <v>193</v>
      </c>
      <c r="B194" t="s">
        <v>21</v>
      </c>
      <c r="C194" t="s">
        <v>22</v>
      </c>
      <c r="D194">
        <v>2</v>
      </c>
      <c r="E194" t="s">
        <v>28</v>
      </c>
      <c r="F194" t="s">
        <v>31</v>
      </c>
      <c r="G194" s="1">
        <v>44706</v>
      </c>
      <c r="H194" s="2">
        <v>37850000</v>
      </c>
      <c r="I194" s="3">
        <f t="shared" si="2"/>
        <v>75700000</v>
      </c>
      <c r="J194" s="3">
        <f>Tabela2[[#This Row],[Total]]*0.3</f>
        <v>22710000</v>
      </c>
    </row>
    <row r="195" spans="1:10" x14ac:dyDescent="0.25">
      <c r="A195">
        <v>194</v>
      </c>
      <c r="B195" t="s">
        <v>13</v>
      </c>
      <c r="C195" t="s">
        <v>14</v>
      </c>
      <c r="D195">
        <v>30</v>
      </c>
      <c r="E195" t="s">
        <v>30</v>
      </c>
      <c r="F195" t="s">
        <v>32</v>
      </c>
      <c r="G195" s="1">
        <v>44818</v>
      </c>
      <c r="H195" s="2">
        <v>49900000</v>
      </c>
      <c r="I195" s="3">
        <f t="shared" ref="I195:I201" si="3">D195*H195</f>
        <v>1497000000</v>
      </c>
      <c r="J195" s="3">
        <f>Tabela2[[#This Row],[Total]]*0.3</f>
        <v>449100000</v>
      </c>
    </row>
    <row r="196" spans="1:10" x14ac:dyDescent="0.25">
      <c r="A196">
        <v>195</v>
      </c>
      <c r="B196" t="s">
        <v>23</v>
      </c>
      <c r="C196" t="s">
        <v>24</v>
      </c>
      <c r="D196">
        <v>20</v>
      </c>
      <c r="E196" t="s">
        <v>27</v>
      </c>
      <c r="F196" t="s">
        <v>31</v>
      </c>
      <c r="G196" s="1">
        <v>44787</v>
      </c>
      <c r="H196" s="2">
        <v>38500000</v>
      </c>
      <c r="I196" s="3">
        <f t="shared" si="3"/>
        <v>770000000</v>
      </c>
      <c r="J196" s="3">
        <f>Tabela2[[#This Row],[Total]]*0.3</f>
        <v>231000000</v>
      </c>
    </row>
    <row r="197" spans="1:10" x14ac:dyDescent="0.25">
      <c r="A197">
        <v>196</v>
      </c>
      <c r="B197" t="s">
        <v>20</v>
      </c>
      <c r="C197" t="s">
        <v>14</v>
      </c>
      <c r="D197">
        <v>1</v>
      </c>
      <c r="E197" t="s">
        <v>29</v>
      </c>
      <c r="F197" t="s">
        <v>10</v>
      </c>
      <c r="G197" s="1">
        <v>45117</v>
      </c>
      <c r="H197" s="2">
        <v>47700000</v>
      </c>
      <c r="I197" s="3">
        <f t="shared" si="3"/>
        <v>47700000</v>
      </c>
      <c r="J197" s="3">
        <f>Tabela2[[#This Row],[Total]]*0.3</f>
        <v>14310000</v>
      </c>
    </row>
    <row r="198" spans="1:10" x14ac:dyDescent="0.25">
      <c r="A198">
        <v>197</v>
      </c>
      <c r="B198" t="s">
        <v>8</v>
      </c>
      <c r="C198" t="s">
        <v>9</v>
      </c>
      <c r="D198">
        <v>1</v>
      </c>
      <c r="E198" t="s">
        <v>27</v>
      </c>
      <c r="F198" t="s">
        <v>17</v>
      </c>
      <c r="G198" s="1">
        <v>44796</v>
      </c>
      <c r="H198" s="2">
        <v>55300000</v>
      </c>
      <c r="I198" s="3">
        <f t="shared" si="3"/>
        <v>55300000</v>
      </c>
      <c r="J198" s="3">
        <f>Tabela2[[#This Row],[Total]]*0.3</f>
        <v>16590000</v>
      </c>
    </row>
    <row r="199" spans="1:10" x14ac:dyDescent="0.25">
      <c r="A199">
        <v>198</v>
      </c>
      <c r="B199" t="s">
        <v>15</v>
      </c>
      <c r="C199" t="s">
        <v>16</v>
      </c>
      <c r="D199">
        <v>10</v>
      </c>
      <c r="E199" t="s">
        <v>27</v>
      </c>
      <c r="F199" t="s">
        <v>31</v>
      </c>
      <c r="G199" s="1">
        <v>44706</v>
      </c>
      <c r="H199" s="2">
        <v>58500000</v>
      </c>
      <c r="I199" s="3">
        <f t="shared" si="3"/>
        <v>585000000</v>
      </c>
      <c r="J199" s="3">
        <f>Tabela2[[#This Row],[Total]]*0.3</f>
        <v>175500000</v>
      </c>
    </row>
    <row r="200" spans="1:10" x14ac:dyDescent="0.25">
      <c r="A200">
        <v>199</v>
      </c>
      <c r="B200" t="s">
        <v>13</v>
      </c>
      <c r="C200" t="s">
        <v>14</v>
      </c>
      <c r="D200">
        <v>1</v>
      </c>
      <c r="E200" t="s">
        <v>29</v>
      </c>
      <c r="F200" t="s">
        <v>17</v>
      </c>
      <c r="G200" s="1">
        <v>45014</v>
      </c>
      <c r="H200" s="2">
        <v>49900000</v>
      </c>
      <c r="I200" s="3">
        <f t="shared" si="3"/>
        <v>49900000</v>
      </c>
      <c r="J200" s="3">
        <f>Tabela2[[#This Row],[Total]]*0.3</f>
        <v>14970000</v>
      </c>
    </row>
    <row r="201" spans="1:10" x14ac:dyDescent="0.25">
      <c r="A201">
        <v>200</v>
      </c>
      <c r="B201" t="s">
        <v>8</v>
      </c>
      <c r="C201" t="s">
        <v>9</v>
      </c>
      <c r="D201">
        <v>20</v>
      </c>
      <c r="E201" t="s">
        <v>27</v>
      </c>
      <c r="F201" t="s">
        <v>32</v>
      </c>
      <c r="G201" s="1">
        <v>44787</v>
      </c>
      <c r="H201" s="2">
        <v>55300000</v>
      </c>
      <c r="I201" s="3">
        <f t="shared" si="3"/>
        <v>1106000000</v>
      </c>
      <c r="J201" s="3">
        <f>Tabela2[[#This Row],[Total]]*0.3</f>
        <v>331800000</v>
      </c>
    </row>
    <row r="202" spans="1:10" x14ac:dyDescent="0.25">
      <c r="G202" s="1"/>
      <c r="I202" s="3" t="s">
        <v>144</v>
      </c>
      <c r="J202" s="3" t="s">
        <v>145</v>
      </c>
    </row>
    <row r="203" spans="1:10" x14ac:dyDescent="0.25">
      <c r="I203" s="3">
        <f>SUM(I2:I201)</f>
        <v>64997900000</v>
      </c>
      <c r="J203" s="3">
        <f>SUM(J2:J201)</f>
        <v>19499370000</v>
      </c>
    </row>
  </sheetData>
  <pageMargins left="0.511811024" right="0.511811024" top="0.78740157499999996" bottom="0.78740157499999996" header="0.31496062000000002" footer="0.31496062000000002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89B3-397A-4953-ACFD-6A52A91B5C1D}">
  <dimension ref="A1:U39"/>
  <sheetViews>
    <sheetView zoomScale="90" zoomScaleNormal="90" workbookViewId="0">
      <selection activeCell="F22" sqref="F22"/>
    </sheetView>
  </sheetViews>
  <sheetFormatPr defaultRowHeight="15" x14ac:dyDescent="0.25"/>
  <cols>
    <col min="1" max="1" width="18.140625" bestFit="1" customWidth="1"/>
    <col min="2" max="2" width="22" bestFit="1" customWidth="1"/>
    <col min="3" max="3" width="25.7109375" bestFit="1" customWidth="1"/>
    <col min="4" max="4" width="12" bestFit="1" customWidth="1"/>
    <col min="5" max="5" width="16.28515625" bestFit="1" customWidth="1"/>
    <col min="6" max="6" width="17.7109375" bestFit="1" customWidth="1"/>
    <col min="7" max="7" width="18.140625" bestFit="1" customWidth="1"/>
    <col min="8" max="8" width="19.5703125" bestFit="1" customWidth="1"/>
    <col min="9" max="9" width="21.42578125" bestFit="1" customWidth="1"/>
    <col min="10" max="10" width="14.7109375" bestFit="1" customWidth="1"/>
    <col min="11" max="11" width="21.42578125" bestFit="1" customWidth="1"/>
    <col min="12" max="12" width="14.7109375" bestFit="1" customWidth="1"/>
    <col min="13" max="13" width="21.42578125" bestFit="1" customWidth="1"/>
    <col min="14" max="14" width="19.7109375" bestFit="1" customWidth="1"/>
    <col min="15" max="15" width="26.42578125" bestFit="1" customWidth="1"/>
    <col min="16" max="17" width="15.42578125" customWidth="1"/>
    <col min="18" max="18" width="20.5703125" bestFit="1" customWidth="1"/>
    <col min="19" max="19" width="20.5703125" customWidth="1"/>
    <col min="20" max="20" width="13.7109375" bestFit="1" customWidth="1"/>
    <col min="22" max="23" width="20.5703125" bestFit="1" customWidth="1"/>
  </cols>
  <sheetData>
    <row r="1" spans="1:21" x14ac:dyDescent="0.25">
      <c r="A1" t="s">
        <v>168</v>
      </c>
      <c r="B1" s="22" t="s">
        <v>160</v>
      </c>
      <c r="C1" s="23"/>
      <c r="D1" s="23"/>
      <c r="E1" s="23"/>
      <c r="F1" s="24" t="s">
        <v>161</v>
      </c>
      <c r="G1" s="24"/>
      <c r="H1" s="24"/>
      <c r="I1" s="25"/>
      <c r="J1" s="22" t="s">
        <v>162</v>
      </c>
      <c r="K1" s="23"/>
      <c r="L1" s="23"/>
      <c r="M1" s="26"/>
      <c r="N1" s="27" t="s">
        <v>163</v>
      </c>
      <c r="O1" s="28"/>
      <c r="P1" s="28"/>
      <c r="Q1" s="29"/>
      <c r="R1" s="20" t="s">
        <v>164</v>
      </c>
      <c r="S1" s="21"/>
      <c r="T1" s="21"/>
      <c r="U1" s="21"/>
    </row>
    <row r="2" spans="1:21" x14ac:dyDescent="0.25">
      <c r="A2" t="s">
        <v>165</v>
      </c>
      <c r="B2" s="16" t="s">
        <v>166</v>
      </c>
      <c r="C2" s="16" t="s">
        <v>169</v>
      </c>
      <c r="D2" s="16" t="s">
        <v>167</v>
      </c>
      <c r="E2" s="16" t="s">
        <v>169</v>
      </c>
      <c r="F2" s="16" t="s">
        <v>166</v>
      </c>
      <c r="G2" s="16" t="s">
        <v>169</v>
      </c>
      <c r="H2" s="16" t="s">
        <v>167</v>
      </c>
      <c r="I2" s="16" t="s">
        <v>169</v>
      </c>
      <c r="J2" s="16" t="s">
        <v>166</v>
      </c>
      <c r="K2" s="16" t="s">
        <v>169</v>
      </c>
      <c r="L2" s="16" t="s">
        <v>167</v>
      </c>
      <c r="M2" s="16" t="s">
        <v>169</v>
      </c>
      <c r="N2" s="16" t="s">
        <v>166</v>
      </c>
      <c r="O2" s="16" t="s">
        <v>169</v>
      </c>
      <c r="P2" s="16" t="s">
        <v>167</v>
      </c>
      <c r="Q2" s="16" t="s">
        <v>169</v>
      </c>
      <c r="R2" s="16" t="s">
        <v>166</v>
      </c>
      <c r="S2" s="16" t="s">
        <v>169</v>
      </c>
      <c r="T2" s="16" t="s">
        <v>167</v>
      </c>
      <c r="U2" s="16" t="s">
        <v>169</v>
      </c>
    </row>
    <row r="3" spans="1:21" x14ac:dyDescent="0.25">
      <c r="A3" s="1">
        <v>44562</v>
      </c>
      <c r="B3" s="2" t="e">
        <f>GETPIVOTDATA("Total",#REF!,"Anos",2022)</f>
        <v>#REF!</v>
      </c>
      <c r="C3" s="15" t="e">
        <f>B3/B5</f>
        <v>#REF!</v>
      </c>
      <c r="D3" t="e">
        <f>GETPIVOTDATA("Quantidade",#REF!,"Anos",2022)</f>
        <v>#REF!</v>
      </c>
      <c r="E3" s="15" t="e">
        <f>D3/D5</f>
        <v>#REF!</v>
      </c>
      <c r="F3" s="2">
        <f>GETPIVOTDATA("Total",'CapitalMP-Dinamica'!$A$55,"Anos",2022)</f>
        <v>40465000</v>
      </c>
      <c r="G3" s="15">
        <f>F3/F5</f>
        <v>0.4730811948325247</v>
      </c>
      <c r="H3">
        <f>GETPIVOTDATA("Quantidade",'CapitalMP-Dinamica'!$A$72,"Anos",2022)</f>
        <v>24700</v>
      </c>
      <c r="I3" s="15">
        <f>H3/H5</f>
        <v>0.4642857142857143</v>
      </c>
      <c r="J3" s="2" t="e">
        <f>GETPIVOTDATA("Soma de Valor",#REF!,"Anos",2022)</f>
        <v>#REF!</v>
      </c>
      <c r="K3" s="15" t="e">
        <f>J3/J5</f>
        <v>#REF!</v>
      </c>
      <c r="L3" t="e">
        <f>GETPIVOTDATA("Soma de Quantidade",#REF!,"Anos",2022)</f>
        <v>#REF!</v>
      </c>
      <c r="M3" s="15" t="e">
        <f>L3/L5</f>
        <v>#REF!</v>
      </c>
      <c r="N3" s="2">
        <f>GETPIVOTDATA("Valor",'Equipamento-Dinamica'!$A$45,"Anos",2022)</f>
        <v>6033055</v>
      </c>
      <c r="O3" s="15">
        <f>N3/N5</f>
        <v>0.41995473328801791</v>
      </c>
      <c r="P3">
        <f>GETPIVOTDATA("Equipamento",'Equipamento-Dinamica'!$A$170,"Anos",2022)</f>
        <v>88</v>
      </c>
      <c r="Q3" s="15">
        <f>P3/P5</f>
        <v>0.44</v>
      </c>
      <c r="R3" s="2">
        <f>GETPIVOTDATA("Total",'Estoque-Dinamica'!$A$33,"Anos (Data)",2022)</f>
        <v>9133500</v>
      </c>
      <c r="S3" s="15">
        <f>R3/R5</f>
        <v>0.65735589414364159</v>
      </c>
      <c r="T3">
        <f>GETPIVOTDATA("Quantidade",'Estoque-Dinamica'!$A$43,"Anos (Data)",2022)</f>
        <v>1768</v>
      </c>
      <c r="U3" s="15">
        <f>T3/T5</f>
        <v>0.66366366366366369</v>
      </c>
    </row>
    <row r="4" spans="1:21" x14ac:dyDescent="0.25">
      <c r="A4" s="1">
        <v>44927</v>
      </c>
      <c r="B4" s="2" t="e">
        <f>GETPIVOTDATA("Total",#REF!,"Anos",2023)</f>
        <v>#REF!</v>
      </c>
      <c r="C4" s="15" t="e">
        <f>B4/B5</f>
        <v>#REF!</v>
      </c>
      <c r="D4" t="e">
        <f>GETPIVOTDATA("Quantidade",#REF!,"Anos",2023)</f>
        <v>#REF!</v>
      </c>
      <c r="E4" s="15" t="e">
        <f>D4/D5</f>
        <v>#REF!</v>
      </c>
      <c r="F4" s="2">
        <f>GETPIVOTDATA("Total",'CapitalMP-Dinamica'!$A$55,"Anos",2023)</f>
        <v>45070000</v>
      </c>
      <c r="G4" s="15">
        <f>F4/F5</f>
        <v>0.52691880516747536</v>
      </c>
      <c r="H4">
        <f>GETPIVOTDATA("Quantidade",'CapitalMP-Dinamica'!$A$72,"Anos",2023)</f>
        <v>28500</v>
      </c>
      <c r="I4" s="15">
        <f>H4/H5</f>
        <v>0.5357142857142857</v>
      </c>
      <c r="J4" s="2" t="e">
        <f>GETPIVOTDATA("Soma de Valor",#REF!,"Anos",2023)</f>
        <v>#REF!</v>
      </c>
      <c r="K4" s="15" t="e">
        <f>J4/J5</f>
        <v>#REF!</v>
      </c>
      <c r="L4" t="e">
        <f>GETPIVOTDATA("Soma de Quantidade",#REF!,"Anos",2023)</f>
        <v>#REF!</v>
      </c>
      <c r="M4" s="15" t="e">
        <f>L4/L5</f>
        <v>#REF!</v>
      </c>
      <c r="N4" s="2">
        <f>GETPIVOTDATA("Valor",'Equipamento-Dinamica'!$A$45,"Anos",2023)</f>
        <v>8332910</v>
      </c>
      <c r="O4" s="15">
        <f>N4/N5</f>
        <v>0.58004526671198209</v>
      </c>
      <c r="P4">
        <f>GETPIVOTDATA("Equipamento",'Equipamento-Dinamica'!$A$170,"Anos",2023)</f>
        <v>112</v>
      </c>
      <c r="Q4" s="15">
        <f>P4/P5</f>
        <v>0.56000000000000005</v>
      </c>
      <c r="R4" s="2">
        <f>GETPIVOTDATA("Total",'Estoque-Dinamica'!$A$33,"Anos (Data)",2023)</f>
        <v>4760800</v>
      </c>
      <c r="S4" s="15">
        <f>R4/R5</f>
        <v>0.34264410585635835</v>
      </c>
      <c r="T4">
        <f>GETPIVOTDATA("Quantidade",'Estoque-Dinamica'!$A$43,"Anos (Data)",2023)</f>
        <v>896</v>
      </c>
      <c r="U4" s="15">
        <f>T4/T5</f>
        <v>0.33633633633633636</v>
      </c>
    </row>
    <row r="5" spans="1:21" x14ac:dyDescent="0.25">
      <c r="A5" t="s">
        <v>166</v>
      </c>
      <c r="B5" s="3" t="e">
        <f>SUM(B3:B4)</f>
        <v>#REF!</v>
      </c>
      <c r="C5" s="17" t="e">
        <f>SUM(C3:C4)</f>
        <v>#REF!</v>
      </c>
      <c r="D5" t="e">
        <f t="shared" ref="D5:T5" si="0">SUM(D3:D4)</f>
        <v>#REF!</v>
      </c>
      <c r="E5" s="15" t="e">
        <f>SUM(E3:E4)</f>
        <v>#REF!</v>
      </c>
      <c r="F5" s="3">
        <f t="shared" si="0"/>
        <v>85535000</v>
      </c>
      <c r="G5" s="15">
        <f>SUM(G3:G4)</f>
        <v>1</v>
      </c>
      <c r="H5">
        <f t="shared" si="0"/>
        <v>53200</v>
      </c>
      <c r="I5" s="15">
        <f>SUM(I3:I4)</f>
        <v>1</v>
      </c>
      <c r="J5" s="3" t="e">
        <f t="shared" si="0"/>
        <v>#REF!</v>
      </c>
      <c r="K5" s="15" t="e">
        <f>SUM(K3:K4)</f>
        <v>#REF!</v>
      </c>
      <c r="L5" t="e">
        <f t="shared" si="0"/>
        <v>#REF!</v>
      </c>
      <c r="M5" s="15" t="e">
        <f>SUM(M3:M4)</f>
        <v>#REF!</v>
      </c>
      <c r="N5" s="3">
        <f t="shared" si="0"/>
        <v>14365965</v>
      </c>
      <c r="O5" s="15">
        <f>SUM(O3:O4)</f>
        <v>1</v>
      </c>
      <c r="P5">
        <f t="shared" si="0"/>
        <v>200</v>
      </c>
      <c r="Q5" s="15">
        <f>SUM(Q3:Q4)</f>
        <v>1</v>
      </c>
      <c r="R5" s="3">
        <f t="shared" si="0"/>
        <v>13894300</v>
      </c>
      <c r="S5" s="15">
        <f>SUM(S3:S4)</f>
        <v>1</v>
      </c>
      <c r="T5">
        <f t="shared" si="0"/>
        <v>2664</v>
      </c>
      <c r="U5" s="15">
        <f>SUM(U3:U4)</f>
        <v>1</v>
      </c>
    </row>
    <row r="7" spans="1:21" x14ac:dyDescent="0.25">
      <c r="A7" t="s">
        <v>170</v>
      </c>
      <c r="B7" s="3" t="s">
        <v>171</v>
      </c>
    </row>
    <row r="8" spans="1:21" x14ac:dyDescent="0.25">
      <c r="A8" s="1">
        <v>44896</v>
      </c>
      <c r="B8" s="3" t="e">
        <f>SUM(B3,F3,J3,N3,R3)</f>
        <v>#REF!</v>
      </c>
    </row>
    <row r="9" spans="1:21" x14ac:dyDescent="0.25">
      <c r="A9" s="1">
        <v>45261</v>
      </c>
      <c r="B9" s="3" t="e">
        <f>SUM(B4,F4,J4,N4,R4)</f>
        <v>#REF!</v>
      </c>
    </row>
    <row r="16" spans="1:21" x14ac:dyDescent="0.25">
      <c r="A16" s="4" t="s">
        <v>34</v>
      </c>
      <c r="B16" t="s">
        <v>172</v>
      </c>
    </row>
    <row r="17" spans="1:15" x14ac:dyDescent="0.25">
      <c r="A17" s="5" t="s">
        <v>137</v>
      </c>
      <c r="B17">
        <v>37170677565</v>
      </c>
      <c r="D17">
        <f>1</f>
        <v>1</v>
      </c>
      <c r="E17" s="15">
        <f>D17</f>
        <v>1</v>
      </c>
    </row>
    <row r="18" spans="1:15" x14ac:dyDescent="0.25">
      <c r="A18" s="5" t="s">
        <v>142</v>
      </c>
      <c r="B18">
        <v>27952704750</v>
      </c>
      <c r="C18" t="s">
        <v>173</v>
      </c>
      <c r="D18">
        <f>B18/B17</f>
        <v>0.75200955648762058</v>
      </c>
      <c r="E18" s="15">
        <f>D18-1</f>
        <v>-0.24799044351237942</v>
      </c>
    </row>
    <row r="19" spans="1:15" x14ac:dyDescent="0.25">
      <c r="A19" s="5" t="s">
        <v>35</v>
      </c>
      <c r="B19">
        <v>65123382315</v>
      </c>
      <c r="C19" s="2">
        <f>GETPIVOTDATA("Total do Custo",$A$16)</f>
        <v>65123382315</v>
      </c>
    </row>
    <row r="21" spans="1:15" x14ac:dyDescent="0.25">
      <c r="A21" t="s">
        <v>165</v>
      </c>
      <c r="B21" s="16" t="s">
        <v>169</v>
      </c>
      <c r="C21" s="16" t="s">
        <v>169</v>
      </c>
    </row>
    <row r="22" spans="1:15" x14ac:dyDescent="0.25">
      <c r="A22" s="1">
        <v>44562</v>
      </c>
      <c r="B22" s="15">
        <v>0.57089459813317045</v>
      </c>
      <c r="C22" s="15">
        <v>0.57549085985104942</v>
      </c>
    </row>
    <row r="23" spans="1:15" x14ac:dyDescent="0.25">
      <c r="A23" s="1">
        <v>44927</v>
      </c>
      <c r="B23" s="15">
        <v>0.42910540186682955</v>
      </c>
      <c r="C23" s="15">
        <v>0.42450914014895058</v>
      </c>
    </row>
    <row r="25" spans="1:15" x14ac:dyDescent="0.25">
      <c r="A25" s="4" t="s">
        <v>34</v>
      </c>
      <c r="B25" t="s">
        <v>174</v>
      </c>
      <c r="C25" t="s">
        <v>175</v>
      </c>
    </row>
    <row r="26" spans="1:15" x14ac:dyDescent="0.25">
      <c r="A26" s="5" t="s">
        <v>137</v>
      </c>
      <c r="B26" s="17">
        <v>0.57089459813317045</v>
      </c>
      <c r="C26" s="17">
        <v>0.57549085985104942</v>
      </c>
      <c r="H26" s="4" t="s">
        <v>149</v>
      </c>
    </row>
    <row r="27" spans="1:15" x14ac:dyDescent="0.25">
      <c r="A27" s="5" t="s">
        <v>142</v>
      </c>
      <c r="B27" s="17">
        <v>0.42910540186682955</v>
      </c>
      <c r="C27" s="17">
        <v>0.42450914014895058</v>
      </c>
      <c r="H27" t="s">
        <v>166</v>
      </c>
      <c r="J27" s="1">
        <v>44562</v>
      </c>
      <c r="L27" s="1">
        <v>44927</v>
      </c>
      <c r="N27" t="s">
        <v>178</v>
      </c>
      <c r="O27" t="s">
        <v>179</v>
      </c>
    </row>
    <row r="28" spans="1:15" x14ac:dyDescent="0.25">
      <c r="A28" s="5" t="s">
        <v>35</v>
      </c>
      <c r="B28" s="17">
        <v>1</v>
      </c>
      <c r="C28" s="17">
        <v>1</v>
      </c>
      <c r="D28" s="15">
        <f>GETPIVOTDATA("Soma de % PARTICIPAÇÃO",$A$25)</f>
        <v>1</v>
      </c>
      <c r="E28" s="15">
        <f>GETPIVOTDATA("Soma de % PARTICIPAÇÃO2",$A$25)</f>
        <v>1</v>
      </c>
      <c r="G28" s="4" t="s">
        <v>34</v>
      </c>
      <c r="H28" t="s">
        <v>176</v>
      </c>
      <c r="I28" t="s">
        <v>177</v>
      </c>
      <c r="J28" t="s">
        <v>176</v>
      </c>
      <c r="K28" t="s">
        <v>177</v>
      </c>
      <c r="L28" t="s">
        <v>176</v>
      </c>
      <c r="M28" t="s">
        <v>177</v>
      </c>
    </row>
    <row r="29" spans="1:15" x14ac:dyDescent="0.25">
      <c r="G29" s="18">
        <v>0.42910540186682955</v>
      </c>
      <c r="L29">
        <v>27890950000</v>
      </c>
      <c r="M29">
        <v>627</v>
      </c>
      <c r="N29">
        <v>27890950000</v>
      </c>
      <c r="O29">
        <v>627</v>
      </c>
    </row>
    <row r="30" spans="1:15" x14ac:dyDescent="0.25">
      <c r="G30" s="19">
        <v>0.42450914014895058</v>
      </c>
      <c r="L30">
        <v>27890950000</v>
      </c>
      <c r="M30">
        <v>627</v>
      </c>
      <c r="N30">
        <v>27890950000</v>
      </c>
      <c r="O30">
        <v>627</v>
      </c>
    </row>
    <row r="31" spans="1:15" x14ac:dyDescent="0.25">
      <c r="G31" s="18">
        <v>0.57089459813317045</v>
      </c>
      <c r="J31">
        <v>37106950000</v>
      </c>
      <c r="K31">
        <v>850</v>
      </c>
      <c r="N31">
        <v>37106950000</v>
      </c>
      <c r="O31">
        <v>850</v>
      </c>
    </row>
    <row r="32" spans="1:15" x14ac:dyDescent="0.25">
      <c r="G32" s="19">
        <v>0.57549085985104942</v>
      </c>
      <c r="J32">
        <v>37106950000</v>
      </c>
      <c r="K32">
        <v>850</v>
      </c>
      <c r="N32">
        <v>37106950000</v>
      </c>
      <c r="O32">
        <v>850</v>
      </c>
    </row>
    <row r="33" spans="1:15" x14ac:dyDescent="0.25">
      <c r="G33" s="18">
        <v>1</v>
      </c>
      <c r="H33">
        <v>64997900000</v>
      </c>
      <c r="I33">
        <v>1477</v>
      </c>
      <c r="N33">
        <v>64997900000</v>
      </c>
      <c r="O33">
        <v>1477</v>
      </c>
    </row>
    <row r="34" spans="1:15" x14ac:dyDescent="0.25">
      <c r="A34" t="s">
        <v>168</v>
      </c>
      <c r="B34" s="22" t="s">
        <v>160</v>
      </c>
      <c r="C34" s="23"/>
      <c r="D34" s="23"/>
      <c r="E34" s="23"/>
      <c r="G34" s="19">
        <v>1</v>
      </c>
      <c r="H34">
        <v>64997900000</v>
      </c>
      <c r="I34">
        <v>1477</v>
      </c>
      <c r="N34">
        <v>64997900000</v>
      </c>
      <c r="O34">
        <v>1477</v>
      </c>
    </row>
    <row r="35" spans="1:15" x14ac:dyDescent="0.25">
      <c r="A35" t="s">
        <v>165</v>
      </c>
      <c r="B35" s="16" t="s">
        <v>166</v>
      </c>
      <c r="C35" s="16" t="s">
        <v>169</v>
      </c>
      <c r="D35" s="16" t="s">
        <v>167</v>
      </c>
      <c r="E35" s="16" t="s">
        <v>169</v>
      </c>
      <c r="G35" s="18" t="s">
        <v>35</v>
      </c>
      <c r="H35">
        <v>64997900000</v>
      </c>
      <c r="I35">
        <v>1477</v>
      </c>
      <c r="J35">
        <v>37106950000</v>
      </c>
      <c r="K35">
        <v>850</v>
      </c>
      <c r="L35">
        <v>27890950000</v>
      </c>
      <c r="M35">
        <v>627</v>
      </c>
      <c r="N35">
        <v>129995800000</v>
      </c>
      <c r="O35">
        <v>2954</v>
      </c>
    </row>
    <row r="36" spans="1:15" x14ac:dyDescent="0.25">
      <c r="A36" s="1">
        <v>44562</v>
      </c>
      <c r="B36" s="2" t="e">
        <f>GETPIVOTDATA("Total",#REF!,"Anos",2022)</f>
        <v>#REF!</v>
      </c>
      <c r="C36" s="15" t="e">
        <f>B36/B38</f>
        <v>#REF!</v>
      </c>
      <c r="D36" t="e">
        <f>GETPIVOTDATA("Quantidade",#REF!,"Anos",2022)</f>
        <v>#REF!</v>
      </c>
      <c r="E36" s="15" t="e">
        <f>D36/D38</f>
        <v>#REF!</v>
      </c>
    </row>
    <row r="37" spans="1:15" x14ac:dyDescent="0.25">
      <c r="A37" s="1">
        <v>44927</v>
      </c>
      <c r="B37" s="2" t="e">
        <f>GETPIVOTDATA("Total",#REF!,"Anos",2023)</f>
        <v>#REF!</v>
      </c>
      <c r="C37" s="15" t="e">
        <f>B37/B38</f>
        <v>#REF!</v>
      </c>
      <c r="D37" t="e">
        <f>GETPIVOTDATA("Quantidade",#REF!,"Anos",2023)</f>
        <v>#REF!</v>
      </c>
      <c r="E37" s="15" t="e">
        <f>D37/D38</f>
        <v>#REF!</v>
      </c>
    </row>
    <row r="38" spans="1:15" x14ac:dyDescent="0.25">
      <c r="A38" t="s">
        <v>166</v>
      </c>
      <c r="B38" s="3" t="e">
        <f>SUM(B36:B37)</f>
        <v>#REF!</v>
      </c>
      <c r="C38" s="17" t="e">
        <f>SUM(C36:C37)</f>
        <v>#REF!</v>
      </c>
      <c r="D38" t="e">
        <f t="shared" ref="D38" si="1">SUM(D36:D37)</f>
        <v>#REF!</v>
      </c>
      <c r="E38" s="15" t="e">
        <f>SUM(E36:E37)</f>
        <v>#REF!</v>
      </c>
      <c r="G38" s="17">
        <f>G34</f>
        <v>1</v>
      </c>
    </row>
    <row r="39" spans="1:15" x14ac:dyDescent="0.25">
      <c r="B39" s="3"/>
      <c r="C39" s="17"/>
      <c r="E39" s="15"/>
    </row>
  </sheetData>
  <mergeCells count="6">
    <mergeCell ref="R1:U1"/>
    <mergeCell ref="B34:E34"/>
    <mergeCell ref="B1:E1"/>
    <mergeCell ref="F1:I1"/>
    <mergeCell ref="J1:M1"/>
    <mergeCell ref="N1:Q1"/>
  </mergeCells>
  <phoneticPr fontId="20" type="noConversion"/>
  <pageMargins left="0.511811024" right="0.511811024" top="0.78740157499999996" bottom="0.78740157499999996" header="0.31496062000000002" footer="0.31496062000000002"/>
  <drawing r:id="rId4"/>
  <tableParts count="1">
    <tablePart r:id="rId5"/>
  </tableParts>
  <extLs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971EA-FB8F-45BB-AACE-AF86A1CEE1AC}">
  <dimension ref="A1"/>
  <sheetViews>
    <sheetView showGridLines="0" zoomScale="65" zoomScaleNormal="65" workbookViewId="0">
      <selection activeCell="Y36" sqref="Y3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9630A-B2D1-41A4-B11F-A991E96EF419}">
  <dimension ref="A1:AB212"/>
  <sheetViews>
    <sheetView showGridLines="0" topLeftCell="A7" zoomScale="50" zoomScaleNormal="50" workbookViewId="0"/>
  </sheetViews>
  <sheetFormatPr defaultRowHeight="15" x14ac:dyDescent="0.25"/>
  <sheetData>
    <row r="1" spans="1:28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8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8" x14ac:dyDescent="0.25">
      <c r="A8" s="13"/>
      <c r="B8" s="13"/>
      <c r="C8" s="13"/>
      <c r="D8" s="13"/>
      <c r="E8" s="13"/>
      <c r="F8" s="13"/>
      <c r="G8" s="13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8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8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8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8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8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28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1:28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28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28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28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28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28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28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28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28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28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28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28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28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28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28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1:28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1:28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1:28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1:28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1:28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1:28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1:28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1:28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1:28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1:28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1:28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1:28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1:28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1:28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1:28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1:28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1:28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1:28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1:28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1:28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1:28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1:28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1:2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1:28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1:2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1:28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1:28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1:28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1:28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spans="1:28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1:28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1:28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1:28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1:28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1:28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1:28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1:28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1:28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1:28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1:28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1:28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1:28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1:28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1:28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1:28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1:28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1:28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1:28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1:28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1:28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1:28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1:28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1:28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1:28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1:28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1:28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1:28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1:28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1:28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1:28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1:28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1:28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1:28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1:28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1:28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1:28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1:28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1:28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1:28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1:28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1:28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1:28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1:28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1:28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1:28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1:28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1:28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1:28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1:28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1:28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1:28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1:28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1:28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1:28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1:28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spans="1:28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1:28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1:28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spans="1:28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spans="1:28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spans="1:28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spans="1:28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spans="1:28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spans="1:28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spans="1:28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spans="1:28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spans="1:28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spans="1:28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spans="1:28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spans="1:28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spans="1:28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spans="1:28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spans="1:28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spans="1:28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spans="1:28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spans="1:28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spans="1:28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spans="1:28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spans="1:28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spans="1:28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spans="1:28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spans="1:28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spans="1:28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spans="1:28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spans="1:28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spans="1:28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spans="1:28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spans="1:28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spans="1:28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spans="1:28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spans="1:28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spans="1:28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spans="1:28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spans="1:28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spans="1:28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spans="1:28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spans="1:28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spans="1:28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spans="1:28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spans="1:28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spans="1:28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spans="1:28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spans="1:28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spans="1:28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spans="1:28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spans="1:28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spans="1:28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spans="1:28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spans="1:28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spans="1:28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spans="1:28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spans="1:28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D591-6FE9-48BB-9A85-5295EB108B15}">
  <dimension ref="A54:A83"/>
  <sheetViews>
    <sheetView showGridLines="0" topLeftCell="A10" zoomScale="50" zoomScaleNormal="50" workbookViewId="0"/>
  </sheetViews>
  <sheetFormatPr defaultRowHeight="15" x14ac:dyDescent="0.25"/>
  <sheetData>
    <row r="54" s="13" customFormat="1" x14ac:dyDescent="0.25"/>
    <row r="55" s="13" customFormat="1" x14ac:dyDescent="0.25"/>
    <row r="56" s="13" customFormat="1" x14ac:dyDescent="0.25"/>
    <row r="57" s="13" customFormat="1" x14ac:dyDescent="0.25"/>
    <row r="58" s="13" customFormat="1" x14ac:dyDescent="0.25"/>
    <row r="59" s="13" customFormat="1" x14ac:dyDescent="0.25"/>
    <row r="60" s="13" customFormat="1" x14ac:dyDescent="0.25"/>
    <row r="61" s="13" customFormat="1" x14ac:dyDescent="0.25"/>
    <row r="62" s="13" customFormat="1" x14ac:dyDescent="0.25"/>
    <row r="63" s="13" customFormat="1" x14ac:dyDescent="0.25"/>
    <row r="64" s="13" customFormat="1" x14ac:dyDescent="0.25"/>
    <row r="65" s="13" customFormat="1" x14ac:dyDescent="0.25"/>
    <row r="66" s="13" customFormat="1" x14ac:dyDescent="0.25"/>
    <row r="67" s="13" customFormat="1" x14ac:dyDescent="0.25"/>
    <row r="68" s="13" customFormat="1" x14ac:dyDescent="0.25"/>
    <row r="69" s="13" customFormat="1" x14ac:dyDescent="0.25"/>
    <row r="70" s="13" customFormat="1" x14ac:dyDescent="0.25"/>
    <row r="71" s="13" customFormat="1" x14ac:dyDescent="0.25"/>
    <row r="72" s="13" customFormat="1" x14ac:dyDescent="0.25"/>
    <row r="73" s="13" customFormat="1" x14ac:dyDescent="0.25"/>
    <row r="74" s="13" customFormat="1" x14ac:dyDescent="0.25"/>
    <row r="75" s="13" customFormat="1" x14ac:dyDescent="0.25"/>
    <row r="76" s="13" customFormat="1" x14ac:dyDescent="0.25"/>
    <row r="77" s="13" customFormat="1" x14ac:dyDescent="0.25"/>
    <row r="78" s="13" customFormat="1" x14ac:dyDescent="0.25"/>
    <row r="79" s="13" customFormat="1" x14ac:dyDescent="0.25"/>
    <row r="80" s="13" customFormat="1" x14ac:dyDescent="0.25"/>
    <row r="81" s="13" customFormat="1" x14ac:dyDescent="0.25"/>
    <row r="82" s="13" customFormat="1" x14ac:dyDescent="0.25"/>
    <row r="83" s="13" customForma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8C35-1E64-4DE7-95E7-63C32E637A33}">
  <dimension ref="A1"/>
  <sheetViews>
    <sheetView showGridLines="0" topLeftCell="A10" zoomScale="50" zoomScaleNormal="5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32D08-9575-44D0-A0A7-D6C82BD2C5A9}">
  <dimension ref="AG1:AM106"/>
  <sheetViews>
    <sheetView showGridLines="0" zoomScale="40" zoomScaleNormal="40" workbookViewId="0"/>
  </sheetViews>
  <sheetFormatPr defaultRowHeight="15" x14ac:dyDescent="0.25"/>
  <cols>
    <col min="33" max="39" width="9.140625" style="13"/>
  </cols>
  <sheetData>
    <row r="1" customForma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A025-4803-4F0D-96A8-3D9284888A0B}">
  <dimension ref="A47:A72"/>
  <sheetViews>
    <sheetView showGridLines="0" topLeftCell="A7" zoomScale="50" zoomScaleNormal="50" workbookViewId="0">
      <selection activeCell="AK1" sqref="AK1"/>
    </sheetView>
  </sheetViews>
  <sheetFormatPr defaultRowHeight="15" x14ac:dyDescent="0.25"/>
  <sheetData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82AF3-1D9A-49DF-BC4B-48A4784EDABC}">
  <dimension ref="A1"/>
  <sheetViews>
    <sheetView showGridLines="0" tabSelected="1" zoomScale="40" zoomScaleNormal="40" workbookViewId="0">
      <selection activeCell="AH27" sqref="AH2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C8D3-0C1A-42C0-9976-D1DD295DAEAA}">
  <dimension ref="A1"/>
  <sheetViews>
    <sheetView showGridLines="0" workbookViewId="0">
      <selection activeCell="X28" sqref="X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73BEB-A8AF-4897-AA4F-A0094A3A38D7}">
  <dimension ref="A1:H201"/>
  <sheetViews>
    <sheetView topLeftCell="A2" workbookViewId="0">
      <selection activeCell="C4" sqref="C4"/>
    </sheetView>
  </sheetViews>
  <sheetFormatPr defaultRowHeight="15" x14ac:dyDescent="0.25"/>
  <cols>
    <col min="2" max="2" width="20.140625" bestFit="1" customWidth="1"/>
    <col min="3" max="3" width="9.28515625" customWidth="1"/>
    <col min="4" max="4" width="13.5703125" customWidth="1"/>
    <col min="5" max="5" width="13.28515625" bestFit="1" customWidth="1"/>
    <col min="6" max="6" width="10.7109375" bestFit="1" customWidth="1"/>
    <col min="7" max="7" width="16.5703125" style="2" customWidth="1"/>
    <col min="8" max="8" width="14.28515625" bestFit="1" customWidth="1"/>
  </cols>
  <sheetData>
    <row r="1" spans="1:8" x14ac:dyDescent="0.25">
      <c r="A1" t="s">
        <v>0</v>
      </c>
      <c r="B1" t="s">
        <v>38</v>
      </c>
      <c r="C1" t="s">
        <v>2</v>
      </c>
      <c r="D1" t="s">
        <v>3</v>
      </c>
      <c r="E1" t="s">
        <v>4</v>
      </c>
      <c r="F1" t="s">
        <v>6</v>
      </c>
      <c r="G1" s="2" t="s">
        <v>121</v>
      </c>
      <c r="H1" t="s">
        <v>33</v>
      </c>
    </row>
    <row r="2" spans="1:8" x14ac:dyDescent="0.25">
      <c r="A2">
        <v>1</v>
      </c>
      <c r="B2" t="s">
        <v>122</v>
      </c>
      <c r="C2">
        <v>772</v>
      </c>
      <c r="D2">
        <v>30</v>
      </c>
      <c r="E2" t="s">
        <v>27</v>
      </c>
      <c r="F2" s="1">
        <v>45116</v>
      </c>
      <c r="G2" s="2">
        <v>5000</v>
      </c>
      <c r="H2" s="3">
        <f>G2*D2</f>
        <v>150000</v>
      </c>
    </row>
    <row r="3" spans="1:8" x14ac:dyDescent="0.25">
      <c r="A3">
        <v>2</v>
      </c>
      <c r="B3" t="s">
        <v>123</v>
      </c>
      <c r="C3">
        <v>171</v>
      </c>
      <c r="D3">
        <v>30</v>
      </c>
      <c r="E3" t="s">
        <v>28</v>
      </c>
      <c r="F3" s="1">
        <v>45116</v>
      </c>
      <c r="G3" s="2">
        <v>3000</v>
      </c>
      <c r="H3" s="3">
        <f t="shared" ref="H3:H66" si="0">G3*D3</f>
        <v>90000</v>
      </c>
    </row>
    <row r="4" spans="1:8" x14ac:dyDescent="0.25">
      <c r="A4">
        <v>3</v>
      </c>
      <c r="B4" t="s">
        <v>124</v>
      </c>
      <c r="C4">
        <v>889</v>
      </c>
      <c r="D4">
        <v>1</v>
      </c>
      <c r="E4" t="s">
        <v>28</v>
      </c>
      <c r="F4" s="1">
        <v>44796</v>
      </c>
      <c r="G4" s="2">
        <v>2500</v>
      </c>
      <c r="H4" s="3">
        <f t="shared" si="0"/>
        <v>2500</v>
      </c>
    </row>
    <row r="5" spans="1:8" x14ac:dyDescent="0.25">
      <c r="A5">
        <v>4</v>
      </c>
      <c r="B5" t="s">
        <v>125</v>
      </c>
      <c r="C5">
        <v>275</v>
      </c>
      <c r="D5">
        <v>30</v>
      </c>
      <c r="E5" t="s">
        <v>29</v>
      </c>
      <c r="F5" s="1">
        <v>44623</v>
      </c>
      <c r="G5" s="2">
        <v>15000</v>
      </c>
      <c r="H5" s="3">
        <f t="shared" si="0"/>
        <v>450000</v>
      </c>
    </row>
    <row r="6" spans="1:8" x14ac:dyDescent="0.25">
      <c r="A6">
        <v>5</v>
      </c>
      <c r="B6" t="s">
        <v>126</v>
      </c>
      <c r="C6">
        <v>160</v>
      </c>
      <c r="D6">
        <v>1</v>
      </c>
      <c r="E6" t="s">
        <v>29</v>
      </c>
      <c r="F6" s="1">
        <v>44892</v>
      </c>
      <c r="G6" s="2">
        <v>3200</v>
      </c>
      <c r="H6" s="3">
        <f t="shared" si="0"/>
        <v>3200</v>
      </c>
    </row>
    <row r="7" spans="1:8" x14ac:dyDescent="0.25">
      <c r="A7">
        <v>6</v>
      </c>
      <c r="B7" t="s">
        <v>123</v>
      </c>
      <c r="C7">
        <v>171</v>
      </c>
      <c r="D7">
        <v>20</v>
      </c>
      <c r="E7" t="s">
        <v>30</v>
      </c>
      <c r="F7" s="1">
        <v>45014</v>
      </c>
      <c r="G7" s="2">
        <v>3000</v>
      </c>
      <c r="H7" s="3">
        <f t="shared" si="0"/>
        <v>60000</v>
      </c>
    </row>
    <row r="8" spans="1:8" x14ac:dyDescent="0.25">
      <c r="A8">
        <v>7</v>
      </c>
      <c r="B8" t="s">
        <v>126</v>
      </c>
      <c r="C8">
        <v>160</v>
      </c>
      <c r="D8">
        <v>10</v>
      </c>
      <c r="E8" t="s">
        <v>29</v>
      </c>
      <c r="F8" s="1">
        <v>45116</v>
      </c>
      <c r="G8" s="2">
        <v>3200</v>
      </c>
      <c r="H8" s="3">
        <f t="shared" si="0"/>
        <v>32000</v>
      </c>
    </row>
    <row r="9" spans="1:8" x14ac:dyDescent="0.25">
      <c r="A9">
        <v>8</v>
      </c>
      <c r="B9" t="s">
        <v>127</v>
      </c>
      <c r="C9">
        <v>579</v>
      </c>
      <c r="D9">
        <v>20</v>
      </c>
      <c r="E9" t="s">
        <v>28</v>
      </c>
      <c r="F9" s="1">
        <v>44623</v>
      </c>
      <c r="G9" s="2">
        <v>4500</v>
      </c>
      <c r="H9" s="3">
        <f t="shared" si="0"/>
        <v>90000</v>
      </c>
    </row>
    <row r="10" spans="1:8" x14ac:dyDescent="0.25">
      <c r="A10">
        <v>9</v>
      </c>
      <c r="B10" t="s">
        <v>125</v>
      </c>
      <c r="C10">
        <v>275</v>
      </c>
      <c r="D10">
        <v>2</v>
      </c>
      <c r="E10" t="s">
        <v>29</v>
      </c>
      <c r="F10" s="1">
        <v>44720</v>
      </c>
      <c r="G10" s="2">
        <v>15000</v>
      </c>
      <c r="H10" s="3">
        <f t="shared" si="0"/>
        <v>30000</v>
      </c>
    </row>
    <row r="11" spans="1:8" x14ac:dyDescent="0.25">
      <c r="A11">
        <v>10</v>
      </c>
      <c r="B11" t="s">
        <v>122</v>
      </c>
      <c r="C11">
        <v>772</v>
      </c>
      <c r="D11">
        <v>2</v>
      </c>
      <c r="E11" t="s">
        <v>30</v>
      </c>
      <c r="F11" s="1">
        <v>44787</v>
      </c>
      <c r="G11" s="2">
        <v>5000</v>
      </c>
      <c r="H11" s="3">
        <f t="shared" si="0"/>
        <v>10000</v>
      </c>
    </row>
    <row r="12" spans="1:8" x14ac:dyDescent="0.25">
      <c r="A12">
        <v>11</v>
      </c>
      <c r="B12" t="s">
        <v>125</v>
      </c>
      <c r="C12">
        <v>275</v>
      </c>
      <c r="D12">
        <v>2</v>
      </c>
      <c r="E12" t="s">
        <v>30</v>
      </c>
      <c r="F12" s="1">
        <v>44720</v>
      </c>
      <c r="G12" s="2">
        <v>15000</v>
      </c>
      <c r="H12" s="3">
        <f t="shared" si="0"/>
        <v>30000</v>
      </c>
    </row>
    <row r="13" spans="1:8" x14ac:dyDescent="0.25">
      <c r="A13">
        <v>12</v>
      </c>
      <c r="B13" t="s">
        <v>122</v>
      </c>
      <c r="C13">
        <v>772</v>
      </c>
      <c r="D13">
        <v>30</v>
      </c>
      <c r="E13" t="s">
        <v>30</v>
      </c>
      <c r="F13" s="1">
        <v>44818</v>
      </c>
      <c r="G13" s="2">
        <v>5000</v>
      </c>
      <c r="H13" s="3">
        <f t="shared" si="0"/>
        <v>150000</v>
      </c>
    </row>
    <row r="14" spans="1:8" x14ac:dyDescent="0.25">
      <c r="A14">
        <v>13</v>
      </c>
      <c r="B14" t="s">
        <v>123</v>
      </c>
      <c r="C14">
        <v>171</v>
      </c>
      <c r="D14">
        <v>10</v>
      </c>
      <c r="E14" t="s">
        <v>30</v>
      </c>
      <c r="F14" s="1">
        <v>44720</v>
      </c>
      <c r="G14" s="2">
        <v>3000</v>
      </c>
      <c r="H14" s="3">
        <f t="shared" si="0"/>
        <v>30000</v>
      </c>
    </row>
    <row r="15" spans="1:8" x14ac:dyDescent="0.25">
      <c r="A15">
        <v>14</v>
      </c>
      <c r="B15" t="s">
        <v>122</v>
      </c>
      <c r="C15">
        <v>772</v>
      </c>
      <c r="D15">
        <v>2</v>
      </c>
      <c r="E15" t="s">
        <v>27</v>
      </c>
      <c r="F15" s="1">
        <v>44892</v>
      </c>
      <c r="G15" s="2">
        <v>5000</v>
      </c>
      <c r="H15" s="3">
        <f t="shared" si="0"/>
        <v>10000</v>
      </c>
    </row>
    <row r="16" spans="1:8" x14ac:dyDescent="0.25">
      <c r="A16">
        <v>15</v>
      </c>
      <c r="B16" t="s">
        <v>123</v>
      </c>
      <c r="C16">
        <v>171</v>
      </c>
      <c r="D16">
        <v>10</v>
      </c>
      <c r="E16" t="s">
        <v>28</v>
      </c>
      <c r="F16" s="1">
        <v>44788</v>
      </c>
      <c r="G16" s="2">
        <v>3000</v>
      </c>
      <c r="H16" s="3">
        <f t="shared" si="0"/>
        <v>30000</v>
      </c>
    </row>
    <row r="17" spans="1:8" x14ac:dyDescent="0.25">
      <c r="A17">
        <v>16</v>
      </c>
      <c r="B17" t="s">
        <v>127</v>
      </c>
      <c r="C17">
        <v>579</v>
      </c>
      <c r="D17">
        <v>30</v>
      </c>
      <c r="E17" t="s">
        <v>27</v>
      </c>
      <c r="F17" s="1">
        <v>44623</v>
      </c>
      <c r="G17" s="2">
        <v>4500</v>
      </c>
      <c r="H17" s="3">
        <f t="shared" si="0"/>
        <v>135000</v>
      </c>
    </row>
    <row r="18" spans="1:8" x14ac:dyDescent="0.25">
      <c r="A18">
        <v>17</v>
      </c>
      <c r="B18" t="s">
        <v>127</v>
      </c>
      <c r="C18">
        <v>579</v>
      </c>
      <c r="D18">
        <v>1</v>
      </c>
      <c r="E18" t="s">
        <v>29</v>
      </c>
      <c r="F18" s="1">
        <v>44796</v>
      </c>
      <c r="G18" s="2">
        <v>4500</v>
      </c>
      <c r="H18" s="3">
        <f t="shared" si="0"/>
        <v>4500</v>
      </c>
    </row>
    <row r="19" spans="1:8" x14ac:dyDescent="0.25">
      <c r="A19">
        <v>18</v>
      </c>
      <c r="B19" t="s">
        <v>122</v>
      </c>
      <c r="C19">
        <v>772</v>
      </c>
      <c r="D19">
        <v>1</v>
      </c>
      <c r="E19" t="s">
        <v>27</v>
      </c>
      <c r="F19" s="1">
        <v>44720</v>
      </c>
      <c r="G19" s="2">
        <v>5000</v>
      </c>
      <c r="H19" s="3">
        <f t="shared" si="0"/>
        <v>5000</v>
      </c>
    </row>
    <row r="20" spans="1:8" x14ac:dyDescent="0.25">
      <c r="A20">
        <v>19</v>
      </c>
      <c r="B20" t="s">
        <v>122</v>
      </c>
      <c r="C20">
        <v>772</v>
      </c>
      <c r="D20">
        <v>20</v>
      </c>
      <c r="E20" t="s">
        <v>29</v>
      </c>
      <c r="F20" s="1">
        <v>44892</v>
      </c>
      <c r="G20" s="2">
        <v>5000</v>
      </c>
      <c r="H20" s="3">
        <f t="shared" si="0"/>
        <v>100000</v>
      </c>
    </row>
    <row r="21" spans="1:8" x14ac:dyDescent="0.25">
      <c r="A21">
        <v>20</v>
      </c>
      <c r="B21" t="s">
        <v>126</v>
      </c>
      <c r="C21">
        <v>160</v>
      </c>
      <c r="D21">
        <v>2</v>
      </c>
      <c r="E21" t="s">
        <v>27</v>
      </c>
      <c r="F21" s="1">
        <v>44892</v>
      </c>
      <c r="G21" s="2">
        <v>3200</v>
      </c>
      <c r="H21" s="3">
        <f t="shared" si="0"/>
        <v>6400</v>
      </c>
    </row>
    <row r="22" spans="1:8" x14ac:dyDescent="0.25">
      <c r="A22">
        <v>21</v>
      </c>
      <c r="B22" t="s">
        <v>122</v>
      </c>
      <c r="C22">
        <v>772</v>
      </c>
      <c r="D22">
        <v>30</v>
      </c>
      <c r="E22" t="s">
        <v>28</v>
      </c>
      <c r="F22" s="1">
        <v>44623</v>
      </c>
      <c r="G22" s="2">
        <v>5000</v>
      </c>
      <c r="H22" s="3">
        <f t="shared" si="0"/>
        <v>150000</v>
      </c>
    </row>
    <row r="23" spans="1:8" x14ac:dyDescent="0.25">
      <c r="A23">
        <v>22</v>
      </c>
      <c r="B23" t="s">
        <v>123</v>
      </c>
      <c r="C23">
        <v>171</v>
      </c>
      <c r="D23">
        <v>30</v>
      </c>
      <c r="E23" t="s">
        <v>30</v>
      </c>
      <c r="F23" s="1">
        <v>44591</v>
      </c>
      <c r="G23" s="2">
        <v>3000</v>
      </c>
      <c r="H23" s="3">
        <f t="shared" si="0"/>
        <v>90000</v>
      </c>
    </row>
    <row r="24" spans="1:8" x14ac:dyDescent="0.25">
      <c r="A24">
        <v>23</v>
      </c>
      <c r="B24" t="s">
        <v>125</v>
      </c>
      <c r="C24">
        <v>275</v>
      </c>
      <c r="D24">
        <v>10</v>
      </c>
      <c r="E24" t="s">
        <v>27</v>
      </c>
      <c r="F24" s="1">
        <v>45117</v>
      </c>
      <c r="G24" s="2">
        <v>15000</v>
      </c>
      <c r="H24" s="3">
        <f t="shared" si="0"/>
        <v>150000</v>
      </c>
    </row>
    <row r="25" spans="1:8" x14ac:dyDescent="0.25">
      <c r="A25">
        <v>24</v>
      </c>
      <c r="B25" t="s">
        <v>127</v>
      </c>
      <c r="C25">
        <v>579</v>
      </c>
      <c r="D25">
        <v>2</v>
      </c>
      <c r="E25" t="s">
        <v>29</v>
      </c>
      <c r="F25" s="1">
        <v>45117</v>
      </c>
      <c r="G25" s="2">
        <v>4500</v>
      </c>
      <c r="H25" s="3">
        <f t="shared" si="0"/>
        <v>9000</v>
      </c>
    </row>
    <row r="26" spans="1:8" x14ac:dyDescent="0.25">
      <c r="A26">
        <v>25</v>
      </c>
      <c r="B26" t="s">
        <v>124</v>
      </c>
      <c r="C26">
        <v>889</v>
      </c>
      <c r="D26">
        <v>30</v>
      </c>
      <c r="E26" t="s">
        <v>27</v>
      </c>
      <c r="F26" s="1">
        <v>44591</v>
      </c>
      <c r="G26" s="2">
        <v>2500</v>
      </c>
      <c r="H26" s="3">
        <f t="shared" si="0"/>
        <v>75000</v>
      </c>
    </row>
    <row r="27" spans="1:8" x14ac:dyDescent="0.25">
      <c r="A27">
        <v>26</v>
      </c>
      <c r="B27" t="s">
        <v>125</v>
      </c>
      <c r="C27">
        <v>275</v>
      </c>
      <c r="D27">
        <v>20</v>
      </c>
      <c r="E27" t="s">
        <v>30</v>
      </c>
      <c r="F27" s="1">
        <v>44867</v>
      </c>
      <c r="G27" s="2">
        <v>15000</v>
      </c>
      <c r="H27" s="3">
        <f t="shared" si="0"/>
        <v>300000</v>
      </c>
    </row>
    <row r="28" spans="1:8" x14ac:dyDescent="0.25">
      <c r="A28">
        <v>27</v>
      </c>
      <c r="B28" t="s">
        <v>122</v>
      </c>
      <c r="C28">
        <v>772</v>
      </c>
      <c r="D28">
        <v>2</v>
      </c>
      <c r="E28" t="s">
        <v>30</v>
      </c>
      <c r="F28" s="1">
        <v>45006</v>
      </c>
      <c r="G28" s="2">
        <v>5000</v>
      </c>
      <c r="H28" s="3">
        <f t="shared" si="0"/>
        <v>10000</v>
      </c>
    </row>
    <row r="29" spans="1:8" x14ac:dyDescent="0.25">
      <c r="A29">
        <v>28</v>
      </c>
      <c r="B29" t="s">
        <v>127</v>
      </c>
      <c r="C29">
        <v>579</v>
      </c>
      <c r="D29">
        <v>20</v>
      </c>
      <c r="E29" t="s">
        <v>29</v>
      </c>
      <c r="F29" s="1">
        <v>44787</v>
      </c>
      <c r="G29" s="2">
        <v>4500</v>
      </c>
      <c r="H29" s="3">
        <f t="shared" si="0"/>
        <v>90000</v>
      </c>
    </row>
    <row r="30" spans="1:8" x14ac:dyDescent="0.25">
      <c r="A30">
        <v>29</v>
      </c>
      <c r="B30" t="s">
        <v>122</v>
      </c>
      <c r="C30">
        <v>772</v>
      </c>
      <c r="D30">
        <v>20</v>
      </c>
      <c r="E30" t="s">
        <v>29</v>
      </c>
      <c r="F30" s="1">
        <v>44720</v>
      </c>
      <c r="G30" s="2">
        <v>5000</v>
      </c>
      <c r="H30" s="3">
        <f t="shared" si="0"/>
        <v>100000</v>
      </c>
    </row>
    <row r="31" spans="1:8" x14ac:dyDescent="0.25">
      <c r="A31">
        <v>30</v>
      </c>
      <c r="B31" t="s">
        <v>127</v>
      </c>
      <c r="C31">
        <v>579</v>
      </c>
      <c r="D31">
        <v>1</v>
      </c>
      <c r="E31" t="s">
        <v>30</v>
      </c>
      <c r="F31" s="1">
        <v>44892</v>
      </c>
      <c r="G31" s="2">
        <v>4500</v>
      </c>
      <c r="H31" s="3">
        <f t="shared" si="0"/>
        <v>4500</v>
      </c>
    </row>
    <row r="32" spans="1:8" x14ac:dyDescent="0.25">
      <c r="A32">
        <v>31</v>
      </c>
      <c r="B32" t="s">
        <v>124</v>
      </c>
      <c r="C32">
        <v>889</v>
      </c>
      <c r="D32">
        <v>2</v>
      </c>
      <c r="E32" t="s">
        <v>29</v>
      </c>
      <c r="F32" s="1">
        <v>45014</v>
      </c>
      <c r="G32" s="2">
        <v>2500</v>
      </c>
      <c r="H32" s="3">
        <f t="shared" si="0"/>
        <v>5000</v>
      </c>
    </row>
    <row r="33" spans="1:8" x14ac:dyDescent="0.25">
      <c r="A33">
        <v>32</v>
      </c>
      <c r="B33" t="s">
        <v>122</v>
      </c>
      <c r="C33">
        <v>772</v>
      </c>
      <c r="D33">
        <v>30</v>
      </c>
      <c r="E33" t="s">
        <v>28</v>
      </c>
      <c r="F33" s="1">
        <v>44673</v>
      </c>
      <c r="G33" s="2">
        <v>5000</v>
      </c>
      <c r="H33" s="3">
        <f t="shared" si="0"/>
        <v>150000</v>
      </c>
    </row>
    <row r="34" spans="1:8" x14ac:dyDescent="0.25">
      <c r="A34">
        <v>33</v>
      </c>
      <c r="B34" t="s">
        <v>124</v>
      </c>
      <c r="C34">
        <v>889</v>
      </c>
      <c r="D34">
        <v>30</v>
      </c>
      <c r="E34" t="s">
        <v>29</v>
      </c>
      <c r="F34" s="1">
        <v>44706</v>
      </c>
      <c r="G34" s="2">
        <v>2500</v>
      </c>
      <c r="H34" s="3">
        <f t="shared" si="0"/>
        <v>75000</v>
      </c>
    </row>
    <row r="35" spans="1:8" x14ac:dyDescent="0.25">
      <c r="A35">
        <v>34</v>
      </c>
      <c r="B35" t="s">
        <v>122</v>
      </c>
      <c r="C35">
        <v>772</v>
      </c>
      <c r="D35">
        <v>20</v>
      </c>
      <c r="E35" t="s">
        <v>29</v>
      </c>
      <c r="F35" s="1">
        <v>44787</v>
      </c>
      <c r="G35" s="2">
        <v>5000</v>
      </c>
      <c r="H35" s="3">
        <f t="shared" si="0"/>
        <v>100000</v>
      </c>
    </row>
    <row r="36" spans="1:8" x14ac:dyDescent="0.25">
      <c r="A36">
        <v>35</v>
      </c>
      <c r="B36" t="s">
        <v>122</v>
      </c>
      <c r="C36">
        <v>772</v>
      </c>
      <c r="D36">
        <v>1</v>
      </c>
      <c r="E36" t="s">
        <v>28</v>
      </c>
      <c r="F36" s="1">
        <v>45117</v>
      </c>
      <c r="G36" s="2">
        <v>5000</v>
      </c>
      <c r="H36" s="3">
        <f t="shared" si="0"/>
        <v>5000</v>
      </c>
    </row>
    <row r="37" spans="1:8" x14ac:dyDescent="0.25">
      <c r="A37">
        <v>36</v>
      </c>
      <c r="B37" t="s">
        <v>126</v>
      </c>
      <c r="C37">
        <v>160</v>
      </c>
      <c r="D37">
        <v>2</v>
      </c>
      <c r="E37" t="s">
        <v>30</v>
      </c>
      <c r="F37" s="1">
        <v>44710</v>
      </c>
      <c r="G37" s="2">
        <v>3200</v>
      </c>
      <c r="H37" s="3">
        <f t="shared" si="0"/>
        <v>6400</v>
      </c>
    </row>
    <row r="38" spans="1:8" x14ac:dyDescent="0.25">
      <c r="A38">
        <v>37</v>
      </c>
      <c r="B38" t="s">
        <v>125</v>
      </c>
      <c r="C38">
        <v>275</v>
      </c>
      <c r="D38">
        <v>20</v>
      </c>
      <c r="E38" t="s">
        <v>29</v>
      </c>
      <c r="F38" s="1">
        <v>45276</v>
      </c>
      <c r="G38" s="2">
        <v>15000</v>
      </c>
      <c r="H38" s="3">
        <f t="shared" si="0"/>
        <v>300000</v>
      </c>
    </row>
    <row r="39" spans="1:8" x14ac:dyDescent="0.25">
      <c r="A39">
        <v>38</v>
      </c>
      <c r="B39" t="s">
        <v>126</v>
      </c>
      <c r="C39">
        <v>160</v>
      </c>
      <c r="D39">
        <v>30</v>
      </c>
      <c r="E39" t="s">
        <v>28</v>
      </c>
      <c r="F39" s="1">
        <v>44818</v>
      </c>
      <c r="G39" s="2">
        <v>3200</v>
      </c>
      <c r="H39" s="3">
        <f t="shared" si="0"/>
        <v>96000</v>
      </c>
    </row>
    <row r="40" spans="1:8" x14ac:dyDescent="0.25">
      <c r="A40">
        <v>39</v>
      </c>
      <c r="B40" t="s">
        <v>126</v>
      </c>
      <c r="C40">
        <v>160</v>
      </c>
      <c r="D40">
        <v>20</v>
      </c>
      <c r="E40" t="s">
        <v>28</v>
      </c>
      <c r="F40" s="1">
        <v>44673</v>
      </c>
      <c r="G40" s="2">
        <v>3200</v>
      </c>
      <c r="H40" s="3">
        <f t="shared" si="0"/>
        <v>64000</v>
      </c>
    </row>
    <row r="41" spans="1:8" x14ac:dyDescent="0.25">
      <c r="A41">
        <v>40</v>
      </c>
      <c r="B41" t="s">
        <v>122</v>
      </c>
      <c r="C41">
        <v>772</v>
      </c>
      <c r="D41">
        <v>1</v>
      </c>
      <c r="E41" t="s">
        <v>28</v>
      </c>
      <c r="F41" s="1">
        <v>45117</v>
      </c>
      <c r="G41" s="2">
        <v>5000</v>
      </c>
      <c r="H41" s="3">
        <f t="shared" si="0"/>
        <v>5000</v>
      </c>
    </row>
    <row r="42" spans="1:8" x14ac:dyDescent="0.25">
      <c r="A42">
        <v>41</v>
      </c>
      <c r="B42" t="s">
        <v>122</v>
      </c>
      <c r="C42">
        <v>772</v>
      </c>
      <c r="D42">
        <v>30</v>
      </c>
      <c r="E42" t="s">
        <v>27</v>
      </c>
      <c r="F42" s="1">
        <v>44623</v>
      </c>
      <c r="G42" s="2">
        <v>5000</v>
      </c>
      <c r="H42" s="3">
        <f t="shared" si="0"/>
        <v>150000</v>
      </c>
    </row>
    <row r="43" spans="1:8" x14ac:dyDescent="0.25">
      <c r="A43">
        <v>42</v>
      </c>
      <c r="B43" t="s">
        <v>127</v>
      </c>
      <c r="C43">
        <v>579</v>
      </c>
      <c r="D43">
        <v>10</v>
      </c>
      <c r="E43" t="s">
        <v>29</v>
      </c>
      <c r="F43" s="1">
        <v>44892</v>
      </c>
      <c r="G43" s="2">
        <v>4500</v>
      </c>
      <c r="H43" s="3">
        <f t="shared" si="0"/>
        <v>45000</v>
      </c>
    </row>
    <row r="44" spans="1:8" x14ac:dyDescent="0.25">
      <c r="A44">
        <v>43</v>
      </c>
      <c r="B44" t="s">
        <v>125</v>
      </c>
      <c r="C44">
        <v>275</v>
      </c>
      <c r="D44">
        <v>30</v>
      </c>
      <c r="E44" t="s">
        <v>29</v>
      </c>
      <c r="F44" s="1">
        <v>44958</v>
      </c>
      <c r="G44" s="2">
        <v>15000</v>
      </c>
      <c r="H44" s="3">
        <f t="shared" si="0"/>
        <v>450000</v>
      </c>
    </row>
    <row r="45" spans="1:8" x14ac:dyDescent="0.25">
      <c r="A45">
        <v>44</v>
      </c>
      <c r="B45" t="s">
        <v>126</v>
      </c>
      <c r="C45">
        <v>160</v>
      </c>
      <c r="D45">
        <v>10</v>
      </c>
      <c r="E45" t="s">
        <v>27</v>
      </c>
      <c r="F45" s="1">
        <v>45117</v>
      </c>
      <c r="G45" s="2">
        <v>3200</v>
      </c>
      <c r="H45" s="3">
        <f t="shared" si="0"/>
        <v>32000</v>
      </c>
    </row>
    <row r="46" spans="1:8" x14ac:dyDescent="0.25">
      <c r="A46">
        <v>45</v>
      </c>
      <c r="B46" t="s">
        <v>123</v>
      </c>
      <c r="C46">
        <v>171</v>
      </c>
      <c r="D46">
        <v>2</v>
      </c>
      <c r="E46" t="s">
        <v>30</v>
      </c>
      <c r="F46" s="1">
        <v>45006</v>
      </c>
      <c r="G46" s="2">
        <v>3000</v>
      </c>
      <c r="H46" s="3">
        <f t="shared" si="0"/>
        <v>6000</v>
      </c>
    </row>
    <row r="47" spans="1:8" x14ac:dyDescent="0.25">
      <c r="A47">
        <v>46</v>
      </c>
      <c r="B47" t="s">
        <v>125</v>
      </c>
      <c r="C47">
        <v>275</v>
      </c>
      <c r="D47">
        <v>1</v>
      </c>
      <c r="E47" t="s">
        <v>27</v>
      </c>
      <c r="F47" s="1">
        <v>44706</v>
      </c>
      <c r="G47" s="2">
        <v>15000</v>
      </c>
      <c r="H47" s="3">
        <f t="shared" si="0"/>
        <v>15000</v>
      </c>
    </row>
    <row r="48" spans="1:8" x14ac:dyDescent="0.25">
      <c r="A48">
        <v>47</v>
      </c>
      <c r="B48" t="s">
        <v>122</v>
      </c>
      <c r="C48">
        <v>772</v>
      </c>
      <c r="D48">
        <v>2</v>
      </c>
      <c r="E48" t="s">
        <v>29</v>
      </c>
      <c r="F48" s="1">
        <v>45276</v>
      </c>
      <c r="G48" s="2">
        <v>5000</v>
      </c>
      <c r="H48" s="3">
        <f t="shared" si="0"/>
        <v>10000</v>
      </c>
    </row>
    <row r="49" spans="1:8" x14ac:dyDescent="0.25">
      <c r="A49">
        <v>48</v>
      </c>
      <c r="B49" t="s">
        <v>124</v>
      </c>
      <c r="C49">
        <v>889</v>
      </c>
      <c r="D49">
        <v>30</v>
      </c>
      <c r="E49" t="s">
        <v>28</v>
      </c>
      <c r="F49" s="1">
        <v>44818</v>
      </c>
      <c r="G49" s="2">
        <v>2500</v>
      </c>
      <c r="H49" s="3">
        <f t="shared" si="0"/>
        <v>75000</v>
      </c>
    </row>
    <row r="50" spans="1:8" x14ac:dyDescent="0.25">
      <c r="A50">
        <v>49</v>
      </c>
      <c r="B50" t="s">
        <v>125</v>
      </c>
      <c r="C50">
        <v>275</v>
      </c>
      <c r="D50">
        <v>10</v>
      </c>
      <c r="E50" t="s">
        <v>30</v>
      </c>
      <c r="F50" s="1">
        <v>45116</v>
      </c>
      <c r="G50" s="2">
        <v>15000</v>
      </c>
      <c r="H50" s="3">
        <f t="shared" si="0"/>
        <v>150000</v>
      </c>
    </row>
    <row r="51" spans="1:8" x14ac:dyDescent="0.25">
      <c r="A51">
        <v>50</v>
      </c>
      <c r="B51" t="s">
        <v>127</v>
      </c>
      <c r="C51">
        <v>579</v>
      </c>
      <c r="D51">
        <v>20</v>
      </c>
      <c r="E51" t="s">
        <v>27</v>
      </c>
      <c r="F51" s="1">
        <v>45276</v>
      </c>
      <c r="G51" s="2">
        <v>4500</v>
      </c>
      <c r="H51" s="3">
        <f t="shared" si="0"/>
        <v>90000</v>
      </c>
    </row>
    <row r="52" spans="1:8" x14ac:dyDescent="0.25">
      <c r="A52">
        <v>51</v>
      </c>
      <c r="B52" t="s">
        <v>126</v>
      </c>
      <c r="C52">
        <v>160</v>
      </c>
      <c r="D52">
        <v>1</v>
      </c>
      <c r="E52" t="s">
        <v>27</v>
      </c>
      <c r="F52" s="1">
        <v>44787</v>
      </c>
      <c r="G52" s="2">
        <v>3200</v>
      </c>
      <c r="H52" s="3">
        <f t="shared" si="0"/>
        <v>3200</v>
      </c>
    </row>
    <row r="53" spans="1:8" x14ac:dyDescent="0.25">
      <c r="A53">
        <v>52</v>
      </c>
      <c r="B53" t="s">
        <v>124</v>
      </c>
      <c r="C53">
        <v>889</v>
      </c>
      <c r="D53">
        <v>10</v>
      </c>
      <c r="E53" t="s">
        <v>27</v>
      </c>
      <c r="F53" s="1">
        <v>45276</v>
      </c>
      <c r="G53" s="2">
        <v>2500</v>
      </c>
      <c r="H53" s="3">
        <f t="shared" si="0"/>
        <v>25000</v>
      </c>
    </row>
    <row r="54" spans="1:8" x14ac:dyDescent="0.25">
      <c r="A54">
        <v>53</v>
      </c>
      <c r="B54" t="s">
        <v>126</v>
      </c>
      <c r="C54">
        <v>160</v>
      </c>
      <c r="D54">
        <v>20</v>
      </c>
      <c r="E54" t="s">
        <v>27</v>
      </c>
      <c r="F54" s="1">
        <v>44720</v>
      </c>
      <c r="G54" s="2">
        <v>3200</v>
      </c>
      <c r="H54" s="3">
        <f t="shared" si="0"/>
        <v>64000</v>
      </c>
    </row>
    <row r="55" spans="1:8" x14ac:dyDescent="0.25">
      <c r="A55">
        <v>54</v>
      </c>
      <c r="B55" t="s">
        <v>126</v>
      </c>
      <c r="C55">
        <v>160</v>
      </c>
      <c r="D55">
        <v>30</v>
      </c>
      <c r="E55" t="s">
        <v>30</v>
      </c>
      <c r="F55" s="1">
        <v>44892</v>
      </c>
      <c r="G55" s="2">
        <v>3200</v>
      </c>
      <c r="H55" s="3">
        <f t="shared" si="0"/>
        <v>96000</v>
      </c>
    </row>
    <row r="56" spans="1:8" x14ac:dyDescent="0.25">
      <c r="A56">
        <v>55</v>
      </c>
      <c r="B56" t="s">
        <v>123</v>
      </c>
      <c r="C56">
        <v>171</v>
      </c>
      <c r="D56">
        <v>2</v>
      </c>
      <c r="E56" t="s">
        <v>30</v>
      </c>
      <c r="F56" s="1">
        <v>44591</v>
      </c>
      <c r="G56" s="2">
        <v>3000</v>
      </c>
      <c r="H56" s="3">
        <f t="shared" si="0"/>
        <v>6000</v>
      </c>
    </row>
    <row r="57" spans="1:8" x14ac:dyDescent="0.25">
      <c r="A57">
        <v>56</v>
      </c>
      <c r="B57" t="s">
        <v>127</v>
      </c>
      <c r="C57">
        <v>579</v>
      </c>
      <c r="D57">
        <v>20</v>
      </c>
      <c r="E57" t="s">
        <v>28</v>
      </c>
      <c r="F57" s="1">
        <v>44818</v>
      </c>
      <c r="G57" s="2">
        <v>4500</v>
      </c>
      <c r="H57" s="3">
        <f t="shared" si="0"/>
        <v>90000</v>
      </c>
    </row>
    <row r="58" spans="1:8" x14ac:dyDescent="0.25">
      <c r="A58">
        <v>57</v>
      </c>
      <c r="B58" t="s">
        <v>127</v>
      </c>
      <c r="C58">
        <v>579</v>
      </c>
      <c r="D58">
        <v>30</v>
      </c>
      <c r="E58" t="s">
        <v>29</v>
      </c>
      <c r="F58" s="1">
        <v>45014</v>
      </c>
      <c r="G58" s="2">
        <v>4500</v>
      </c>
      <c r="H58" s="3">
        <f t="shared" si="0"/>
        <v>135000</v>
      </c>
    </row>
    <row r="59" spans="1:8" x14ac:dyDescent="0.25">
      <c r="A59">
        <v>58</v>
      </c>
      <c r="B59" t="s">
        <v>122</v>
      </c>
      <c r="C59">
        <v>772</v>
      </c>
      <c r="D59">
        <v>20</v>
      </c>
      <c r="E59" t="s">
        <v>30</v>
      </c>
      <c r="F59" s="1">
        <v>44787</v>
      </c>
      <c r="G59" s="2">
        <v>5000</v>
      </c>
      <c r="H59" s="3">
        <f t="shared" si="0"/>
        <v>100000</v>
      </c>
    </row>
    <row r="60" spans="1:8" x14ac:dyDescent="0.25">
      <c r="A60">
        <v>59</v>
      </c>
      <c r="B60" t="s">
        <v>127</v>
      </c>
      <c r="C60">
        <v>579</v>
      </c>
      <c r="D60">
        <v>20</v>
      </c>
      <c r="E60" t="s">
        <v>28</v>
      </c>
      <c r="F60" s="1">
        <v>45014</v>
      </c>
      <c r="G60" s="2">
        <v>4500</v>
      </c>
      <c r="H60" s="3">
        <f t="shared" si="0"/>
        <v>90000</v>
      </c>
    </row>
    <row r="61" spans="1:8" x14ac:dyDescent="0.25">
      <c r="A61">
        <v>60</v>
      </c>
      <c r="B61" t="s">
        <v>126</v>
      </c>
      <c r="C61">
        <v>160</v>
      </c>
      <c r="D61">
        <v>2</v>
      </c>
      <c r="E61" t="s">
        <v>30</v>
      </c>
      <c r="F61" s="1">
        <v>45276</v>
      </c>
      <c r="G61" s="2">
        <v>3200</v>
      </c>
      <c r="H61" s="3">
        <f t="shared" si="0"/>
        <v>6400</v>
      </c>
    </row>
    <row r="62" spans="1:8" x14ac:dyDescent="0.25">
      <c r="A62">
        <v>61</v>
      </c>
      <c r="B62" t="s">
        <v>127</v>
      </c>
      <c r="C62">
        <v>579</v>
      </c>
      <c r="D62">
        <v>1</v>
      </c>
      <c r="E62" t="s">
        <v>30</v>
      </c>
      <c r="F62" s="1">
        <v>44958</v>
      </c>
      <c r="G62" s="2">
        <v>4500</v>
      </c>
      <c r="H62" s="3">
        <f t="shared" si="0"/>
        <v>4500</v>
      </c>
    </row>
    <row r="63" spans="1:8" x14ac:dyDescent="0.25">
      <c r="A63">
        <v>62</v>
      </c>
      <c r="B63" t="s">
        <v>124</v>
      </c>
      <c r="C63">
        <v>889</v>
      </c>
      <c r="D63">
        <v>2</v>
      </c>
      <c r="E63" t="s">
        <v>29</v>
      </c>
      <c r="F63" s="1">
        <v>45117</v>
      </c>
      <c r="G63" s="2">
        <v>2500</v>
      </c>
      <c r="H63" s="3">
        <f t="shared" si="0"/>
        <v>5000</v>
      </c>
    </row>
    <row r="64" spans="1:8" x14ac:dyDescent="0.25">
      <c r="A64">
        <v>63</v>
      </c>
      <c r="B64" t="s">
        <v>127</v>
      </c>
      <c r="C64">
        <v>579</v>
      </c>
      <c r="D64">
        <v>30</v>
      </c>
      <c r="E64" t="s">
        <v>28</v>
      </c>
      <c r="F64" s="1">
        <v>45014</v>
      </c>
      <c r="G64" s="2">
        <v>4500</v>
      </c>
      <c r="H64" s="3">
        <f t="shared" si="0"/>
        <v>135000</v>
      </c>
    </row>
    <row r="65" spans="1:8" x14ac:dyDescent="0.25">
      <c r="A65">
        <v>64</v>
      </c>
      <c r="B65" t="s">
        <v>125</v>
      </c>
      <c r="C65">
        <v>275</v>
      </c>
      <c r="D65">
        <v>2</v>
      </c>
      <c r="E65" t="s">
        <v>28</v>
      </c>
      <c r="F65" s="1">
        <v>44958</v>
      </c>
      <c r="G65" s="2">
        <v>15000</v>
      </c>
      <c r="H65" s="3">
        <f t="shared" si="0"/>
        <v>30000</v>
      </c>
    </row>
    <row r="66" spans="1:8" x14ac:dyDescent="0.25">
      <c r="A66">
        <v>65</v>
      </c>
      <c r="B66" t="s">
        <v>125</v>
      </c>
      <c r="C66">
        <v>275</v>
      </c>
      <c r="D66">
        <v>1</v>
      </c>
      <c r="E66" t="s">
        <v>30</v>
      </c>
      <c r="F66" s="1">
        <v>44867</v>
      </c>
      <c r="G66" s="2">
        <v>15000</v>
      </c>
      <c r="H66" s="3">
        <f t="shared" si="0"/>
        <v>15000</v>
      </c>
    </row>
    <row r="67" spans="1:8" x14ac:dyDescent="0.25">
      <c r="A67">
        <v>66</v>
      </c>
      <c r="B67" t="s">
        <v>122</v>
      </c>
      <c r="C67">
        <v>772</v>
      </c>
      <c r="D67">
        <v>1</v>
      </c>
      <c r="E67" t="s">
        <v>30</v>
      </c>
      <c r="F67" s="1">
        <v>44710</v>
      </c>
      <c r="G67" s="2">
        <v>5000</v>
      </c>
      <c r="H67" s="3">
        <f t="shared" ref="H67:H130" si="1">G67*D67</f>
        <v>5000</v>
      </c>
    </row>
    <row r="68" spans="1:8" x14ac:dyDescent="0.25">
      <c r="A68">
        <v>67</v>
      </c>
      <c r="B68" t="s">
        <v>124</v>
      </c>
      <c r="C68">
        <v>889</v>
      </c>
      <c r="D68">
        <v>30</v>
      </c>
      <c r="E68" t="s">
        <v>27</v>
      </c>
      <c r="F68" s="1">
        <v>45006</v>
      </c>
      <c r="G68" s="2">
        <v>2500</v>
      </c>
      <c r="H68" s="3">
        <f t="shared" si="1"/>
        <v>75000</v>
      </c>
    </row>
    <row r="69" spans="1:8" x14ac:dyDescent="0.25">
      <c r="A69">
        <v>68</v>
      </c>
      <c r="B69" t="s">
        <v>127</v>
      </c>
      <c r="C69">
        <v>579</v>
      </c>
      <c r="D69">
        <v>10</v>
      </c>
      <c r="E69" t="s">
        <v>27</v>
      </c>
      <c r="F69" s="1">
        <v>45006</v>
      </c>
      <c r="G69" s="2">
        <v>4500</v>
      </c>
      <c r="H69" s="3">
        <f t="shared" si="1"/>
        <v>45000</v>
      </c>
    </row>
    <row r="70" spans="1:8" x14ac:dyDescent="0.25">
      <c r="A70">
        <v>69</v>
      </c>
      <c r="B70" t="s">
        <v>125</v>
      </c>
      <c r="C70">
        <v>275</v>
      </c>
      <c r="D70">
        <v>1</v>
      </c>
      <c r="E70" t="s">
        <v>29</v>
      </c>
      <c r="F70" s="1">
        <v>44787</v>
      </c>
      <c r="G70" s="2">
        <v>15000</v>
      </c>
      <c r="H70" s="3">
        <f t="shared" si="1"/>
        <v>15000</v>
      </c>
    </row>
    <row r="71" spans="1:8" x14ac:dyDescent="0.25">
      <c r="A71">
        <v>70</v>
      </c>
      <c r="B71" t="s">
        <v>127</v>
      </c>
      <c r="C71">
        <v>579</v>
      </c>
      <c r="D71">
        <v>10</v>
      </c>
      <c r="E71" t="s">
        <v>27</v>
      </c>
      <c r="F71" s="1">
        <v>45014</v>
      </c>
      <c r="G71" s="2">
        <v>4500</v>
      </c>
      <c r="H71" s="3">
        <f t="shared" si="1"/>
        <v>45000</v>
      </c>
    </row>
    <row r="72" spans="1:8" x14ac:dyDescent="0.25">
      <c r="A72">
        <v>71</v>
      </c>
      <c r="B72" t="s">
        <v>124</v>
      </c>
      <c r="C72">
        <v>889</v>
      </c>
      <c r="D72">
        <v>30</v>
      </c>
      <c r="E72" t="s">
        <v>28</v>
      </c>
      <c r="F72" s="1">
        <v>45117</v>
      </c>
      <c r="G72" s="2">
        <v>2500</v>
      </c>
      <c r="H72" s="3">
        <f t="shared" si="1"/>
        <v>75000</v>
      </c>
    </row>
    <row r="73" spans="1:8" x14ac:dyDescent="0.25">
      <c r="A73">
        <v>72</v>
      </c>
      <c r="B73" t="s">
        <v>123</v>
      </c>
      <c r="C73">
        <v>171</v>
      </c>
      <c r="D73">
        <v>30</v>
      </c>
      <c r="E73" t="s">
        <v>29</v>
      </c>
      <c r="F73" s="1">
        <v>45117</v>
      </c>
      <c r="G73" s="2">
        <v>3000</v>
      </c>
      <c r="H73" s="3">
        <f t="shared" si="1"/>
        <v>90000</v>
      </c>
    </row>
    <row r="74" spans="1:8" x14ac:dyDescent="0.25">
      <c r="A74">
        <v>73</v>
      </c>
      <c r="B74" t="s">
        <v>125</v>
      </c>
      <c r="C74">
        <v>275</v>
      </c>
      <c r="D74">
        <v>1</v>
      </c>
      <c r="E74" t="s">
        <v>27</v>
      </c>
      <c r="F74" s="1">
        <v>44706</v>
      </c>
      <c r="G74" s="2">
        <v>15000</v>
      </c>
      <c r="H74" s="3">
        <f t="shared" si="1"/>
        <v>15000</v>
      </c>
    </row>
    <row r="75" spans="1:8" x14ac:dyDescent="0.25">
      <c r="A75">
        <v>74</v>
      </c>
      <c r="B75" t="s">
        <v>122</v>
      </c>
      <c r="C75">
        <v>772</v>
      </c>
      <c r="D75">
        <v>30</v>
      </c>
      <c r="E75" t="s">
        <v>29</v>
      </c>
      <c r="F75" s="1">
        <v>44796</v>
      </c>
      <c r="G75" s="2">
        <v>5000</v>
      </c>
      <c r="H75" s="3">
        <f t="shared" si="1"/>
        <v>150000</v>
      </c>
    </row>
    <row r="76" spans="1:8" x14ac:dyDescent="0.25">
      <c r="A76">
        <v>75</v>
      </c>
      <c r="B76" t="s">
        <v>127</v>
      </c>
      <c r="C76">
        <v>579</v>
      </c>
      <c r="D76">
        <v>30</v>
      </c>
      <c r="E76" t="s">
        <v>28</v>
      </c>
      <c r="F76" s="1">
        <v>45006</v>
      </c>
      <c r="G76" s="2">
        <v>4500</v>
      </c>
      <c r="H76" s="3">
        <f t="shared" si="1"/>
        <v>135000</v>
      </c>
    </row>
    <row r="77" spans="1:8" x14ac:dyDescent="0.25">
      <c r="A77">
        <v>76</v>
      </c>
      <c r="B77" t="s">
        <v>123</v>
      </c>
      <c r="C77">
        <v>171</v>
      </c>
      <c r="D77">
        <v>10</v>
      </c>
      <c r="E77" t="s">
        <v>28</v>
      </c>
      <c r="F77" s="1">
        <v>44710</v>
      </c>
      <c r="G77" s="2">
        <v>3000</v>
      </c>
      <c r="H77" s="3">
        <f t="shared" si="1"/>
        <v>30000</v>
      </c>
    </row>
    <row r="78" spans="1:8" x14ac:dyDescent="0.25">
      <c r="A78">
        <v>77</v>
      </c>
      <c r="B78" t="s">
        <v>123</v>
      </c>
      <c r="C78">
        <v>171</v>
      </c>
      <c r="D78">
        <v>1</v>
      </c>
      <c r="E78" t="s">
        <v>29</v>
      </c>
      <c r="F78" s="1">
        <v>44796</v>
      </c>
      <c r="G78" s="2">
        <v>3000</v>
      </c>
      <c r="H78" s="3">
        <f t="shared" si="1"/>
        <v>3000</v>
      </c>
    </row>
    <row r="79" spans="1:8" x14ac:dyDescent="0.25">
      <c r="A79">
        <v>78</v>
      </c>
      <c r="B79" t="s">
        <v>122</v>
      </c>
      <c r="C79">
        <v>772</v>
      </c>
      <c r="D79">
        <v>30</v>
      </c>
      <c r="E79" t="s">
        <v>29</v>
      </c>
      <c r="F79" s="1">
        <v>44673</v>
      </c>
      <c r="G79" s="2">
        <v>5000</v>
      </c>
      <c r="H79" s="3">
        <f t="shared" si="1"/>
        <v>150000</v>
      </c>
    </row>
    <row r="80" spans="1:8" x14ac:dyDescent="0.25">
      <c r="A80">
        <v>79</v>
      </c>
      <c r="B80" t="s">
        <v>126</v>
      </c>
      <c r="C80">
        <v>160</v>
      </c>
      <c r="D80">
        <v>2</v>
      </c>
      <c r="E80" t="s">
        <v>27</v>
      </c>
      <c r="F80" s="1">
        <v>44591</v>
      </c>
      <c r="G80" s="2">
        <v>3200</v>
      </c>
      <c r="H80" s="3">
        <f t="shared" si="1"/>
        <v>6400</v>
      </c>
    </row>
    <row r="81" spans="1:8" x14ac:dyDescent="0.25">
      <c r="A81">
        <v>80</v>
      </c>
      <c r="B81" t="s">
        <v>123</v>
      </c>
      <c r="C81">
        <v>171</v>
      </c>
      <c r="D81">
        <v>2</v>
      </c>
      <c r="E81" t="s">
        <v>28</v>
      </c>
      <c r="F81" s="1">
        <v>44788</v>
      </c>
      <c r="G81" s="2">
        <v>3000</v>
      </c>
      <c r="H81" s="3">
        <f t="shared" si="1"/>
        <v>6000</v>
      </c>
    </row>
    <row r="82" spans="1:8" x14ac:dyDescent="0.25">
      <c r="A82">
        <v>81</v>
      </c>
      <c r="B82" t="s">
        <v>122</v>
      </c>
      <c r="C82">
        <v>772</v>
      </c>
      <c r="D82">
        <v>2</v>
      </c>
      <c r="E82" t="s">
        <v>27</v>
      </c>
      <c r="F82" s="1">
        <v>45116</v>
      </c>
      <c r="G82" s="2">
        <v>5000</v>
      </c>
      <c r="H82" s="3">
        <f t="shared" si="1"/>
        <v>10000</v>
      </c>
    </row>
    <row r="83" spans="1:8" x14ac:dyDescent="0.25">
      <c r="A83">
        <v>82</v>
      </c>
      <c r="B83" t="s">
        <v>122</v>
      </c>
      <c r="C83">
        <v>772</v>
      </c>
      <c r="D83">
        <v>30</v>
      </c>
      <c r="E83" t="s">
        <v>28</v>
      </c>
      <c r="F83" s="1">
        <v>45117</v>
      </c>
      <c r="G83" s="2">
        <v>5000</v>
      </c>
      <c r="H83" s="3">
        <f t="shared" si="1"/>
        <v>150000</v>
      </c>
    </row>
    <row r="84" spans="1:8" x14ac:dyDescent="0.25">
      <c r="A84">
        <v>83</v>
      </c>
      <c r="B84" t="s">
        <v>126</v>
      </c>
      <c r="C84">
        <v>160</v>
      </c>
      <c r="D84">
        <v>20</v>
      </c>
      <c r="E84" t="s">
        <v>29</v>
      </c>
      <c r="F84" s="1">
        <v>44787</v>
      </c>
      <c r="G84" s="2">
        <v>3200</v>
      </c>
      <c r="H84" s="3">
        <f t="shared" si="1"/>
        <v>64000</v>
      </c>
    </row>
    <row r="85" spans="1:8" x14ac:dyDescent="0.25">
      <c r="A85">
        <v>84</v>
      </c>
      <c r="B85" t="s">
        <v>124</v>
      </c>
      <c r="C85">
        <v>889</v>
      </c>
      <c r="D85">
        <v>10</v>
      </c>
      <c r="E85" t="s">
        <v>28</v>
      </c>
      <c r="F85" s="1">
        <v>44818</v>
      </c>
      <c r="G85" s="2">
        <v>2500</v>
      </c>
      <c r="H85" s="3">
        <f t="shared" si="1"/>
        <v>25000</v>
      </c>
    </row>
    <row r="86" spans="1:8" x14ac:dyDescent="0.25">
      <c r="A86">
        <v>85</v>
      </c>
      <c r="B86" t="s">
        <v>127</v>
      </c>
      <c r="C86">
        <v>579</v>
      </c>
      <c r="D86">
        <v>20</v>
      </c>
      <c r="E86" t="s">
        <v>30</v>
      </c>
      <c r="F86" s="1">
        <v>44788</v>
      </c>
      <c r="G86" s="2">
        <v>4500</v>
      </c>
      <c r="H86" s="3">
        <f t="shared" si="1"/>
        <v>90000</v>
      </c>
    </row>
    <row r="87" spans="1:8" x14ac:dyDescent="0.25">
      <c r="A87">
        <v>86</v>
      </c>
      <c r="B87" t="s">
        <v>127</v>
      </c>
      <c r="C87">
        <v>579</v>
      </c>
      <c r="D87">
        <v>20</v>
      </c>
      <c r="E87" t="s">
        <v>27</v>
      </c>
      <c r="F87" s="1">
        <v>44673</v>
      </c>
      <c r="G87" s="2">
        <v>4500</v>
      </c>
      <c r="H87" s="3">
        <f t="shared" si="1"/>
        <v>90000</v>
      </c>
    </row>
    <row r="88" spans="1:8" x14ac:dyDescent="0.25">
      <c r="A88">
        <v>87</v>
      </c>
      <c r="B88" t="s">
        <v>122</v>
      </c>
      <c r="C88">
        <v>772</v>
      </c>
      <c r="D88">
        <v>1</v>
      </c>
      <c r="E88" t="s">
        <v>29</v>
      </c>
      <c r="F88" s="1">
        <v>44623</v>
      </c>
      <c r="G88" s="2">
        <v>5000</v>
      </c>
      <c r="H88" s="3">
        <f t="shared" si="1"/>
        <v>5000</v>
      </c>
    </row>
    <row r="89" spans="1:8" x14ac:dyDescent="0.25">
      <c r="A89">
        <v>88</v>
      </c>
      <c r="B89" t="s">
        <v>127</v>
      </c>
      <c r="C89">
        <v>579</v>
      </c>
      <c r="D89">
        <v>2</v>
      </c>
      <c r="E89" t="s">
        <v>27</v>
      </c>
      <c r="F89" s="1">
        <v>44818</v>
      </c>
      <c r="G89" s="2">
        <v>4500</v>
      </c>
      <c r="H89" s="3">
        <f t="shared" si="1"/>
        <v>9000</v>
      </c>
    </row>
    <row r="90" spans="1:8" x14ac:dyDescent="0.25">
      <c r="A90">
        <v>89</v>
      </c>
      <c r="B90" t="s">
        <v>124</v>
      </c>
      <c r="C90">
        <v>889</v>
      </c>
      <c r="D90">
        <v>30</v>
      </c>
      <c r="E90" t="s">
        <v>27</v>
      </c>
      <c r="F90" s="1">
        <v>45006</v>
      </c>
      <c r="G90" s="2">
        <v>2500</v>
      </c>
      <c r="H90" s="3">
        <f t="shared" si="1"/>
        <v>75000</v>
      </c>
    </row>
    <row r="91" spans="1:8" x14ac:dyDescent="0.25">
      <c r="A91">
        <v>90</v>
      </c>
      <c r="B91" t="s">
        <v>126</v>
      </c>
      <c r="C91">
        <v>160</v>
      </c>
      <c r="D91">
        <v>10</v>
      </c>
      <c r="E91" t="s">
        <v>29</v>
      </c>
      <c r="F91" s="1">
        <v>44710</v>
      </c>
      <c r="G91" s="2">
        <v>3200</v>
      </c>
      <c r="H91" s="3">
        <f t="shared" si="1"/>
        <v>32000</v>
      </c>
    </row>
    <row r="92" spans="1:8" x14ac:dyDescent="0.25">
      <c r="A92">
        <v>91</v>
      </c>
      <c r="B92" t="s">
        <v>124</v>
      </c>
      <c r="C92">
        <v>889</v>
      </c>
      <c r="D92">
        <v>2</v>
      </c>
      <c r="E92" t="s">
        <v>30</v>
      </c>
      <c r="F92" s="1">
        <v>44958</v>
      </c>
      <c r="G92" s="2">
        <v>2500</v>
      </c>
      <c r="H92" s="3">
        <f t="shared" si="1"/>
        <v>5000</v>
      </c>
    </row>
    <row r="93" spans="1:8" x14ac:dyDescent="0.25">
      <c r="A93">
        <v>92</v>
      </c>
      <c r="B93" t="s">
        <v>126</v>
      </c>
      <c r="C93">
        <v>160</v>
      </c>
      <c r="D93">
        <v>10</v>
      </c>
      <c r="E93" t="s">
        <v>30</v>
      </c>
      <c r="F93" s="1">
        <v>44867</v>
      </c>
      <c r="G93" s="2">
        <v>3200</v>
      </c>
      <c r="H93" s="3">
        <f t="shared" si="1"/>
        <v>32000</v>
      </c>
    </row>
    <row r="94" spans="1:8" x14ac:dyDescent="0.25">
      <c r="A94">
        <v>93</v>
      </c>
      <c r="B94" t="s">
        <v>125</v>
      </c>
      <c r="C94">
        <v>275</v>
      </c>
      <c r="D94">
        <v>30</v>
      </c>
      <c r="E94" t="s">
        <v>30</v>
      </c>
      <c r="F94" s="1">
        <v>44720</v>
      </c>
      <c r="G94" s="2">
        <v>15000</v>
      </c>
      <c r="H94" s="3">
        <f t="shared" si="1"/>
        <v>450000</v>
      </c>
    </row>
    <row r="95" spans="1:8" x14ac:dyDescent="0.25">
      <c r="A95">
        <v>94</v>
      </c>
      <c r="B95" t="s">
        <v>127</v>
      </c>
      <c r="C95">
        <v>579</v>
      </c>
      <c r="D95">
        <v>10</v>
      </c>
      <c r="E95" t="s">
        <v>28</v>
      </c>
      <c r="F95" s="1">
        <v>45117</v>
      </c>
      <c r="G95" s="2">
        <v>4500</v>
      </c>
      <c r="H95" s="3">
        <f t="shared" si="1"/>
        <v>45000</v>
      </c>
    </row>
    <row r="96" spans="1:8" x14ac:dyDescent="0.25">
      <c r="A96">
        <v>95</v>
      </c>
      <c r="B96" t="s">
        <v>126</v>
      </c>
      <c r="C96">
        <v>160</v>
      </c>
      <c r="D96">
        <v>20</v>
      </c>
      <c r="E96" t="s">
        <v>28</v>
      </c>
      <c r="F96" s="1">
        <v>44710</v>
      </c>
      <c r="G96" s="2">
        <v>3200</v>
      </c>
      <c r="H96" s="3">
        <f t="shared" si="1"/>
        <v>64000</v>
      </c>
    </row>
    <row r="97" spans="1:8" x14ac:dyDescent="0.25">
      <c r="A97">
        <v>96</v>
      </c>
      <c r="B97" t="s">
        <v>125</v>
      </c>
      <c r="C97">
        <v>275</v>
      </c>
      <c r="D97">
        <v>20</v>
      </c>
      <c r="E97" t="s">
        <v>27</v>
      </c>
      <c r="F97" s="1">
        <v>45117</v>
      </c>
      <c r="G97" s="2">
        <v>15000</v>
      </c>
      <c r="H97" s="3">
        <f t="shared" si="1"/>
        <v>300000</v>
      </c>
    </row>
    <row r="98" spans="1:8" x14ac:dyDescent="0.25">
      <c r="A98">
        <v>97</v>
      </c>
      <c r="B98" t="s">
        <v>123</v>
      </c>
      <c r="C98">
        <v>171</v>
      </c>
      <c r="D98">
        <v>1</v>
      </c>
      <c r="E98" t="s">
        <v>28</v>
      </c>
      <c r="F98" s="1">
        <v>44710</v>
      </c>
      <c r="G98" s="2">
        <v>3000</v>
      </c>
      <c r="H98" s="3">
        <f t="shared" si="1"/>
        <v>3000</v>
      </c>
    </row>
    <row r="99" spans="1:8" x14ac:dyDescent="0.25">
      <c r="A99">
        <v>98</v>
      </c>
      <c r="B99" t="s">
        <v>127</v>
      </c>
      <c r="C99">
        <v>579</v>
      </c>
      <c r="D99">
        <v>20</v>
      </c>
      <c r="E99" t="s">
        <v>30</v>
      </c>
      <c r="F99" s="1">
        <v>44781</v>
      </c>
      <c r="G99" s="2">
        <v>4500</v>
      </c>
      <c r="H99" s="3">
        <f t="shared" si="1"/>
        <v>90000</v>
      </c>
    </row>
    <row r="100" spans="1:8" x14ac:dyDescent="0.25">
      <c r="A100">
        <v>99</v>
      </c>
      <c r="B100" t="s">
        <v>126</v>
      </c>
      <c r="C100">
        <v>160</v>
      </c>
      <c r="D100">
        <v>10</v>
      </c>
      <c r="E100" t="s">
        <v>29</v>
      </c>
      <c r="F100" s="1">
        <v>44867</v>
      </c>
      <c r="G100" s="2">
        <v>3200</v>
      </c>
      <c r="H100" s="3">
        <f t="shared" si="1"/>
        <v>32000</v>
      </c>
    </row>
    <row r="101" spans="1:8" x14ac:dyDescent="0.25">
      <c r="A101">
        <v>100</v>
      </c>
      <c r="B101" t="s">
        <v>126</v>
      </c>
      <c r="C101">
        <v>160</v>
      </c>
      <c r="D101">
        <v>10</v>
      </c>
      <c r="E101" t="s">
        <v>30</v>
      </c>
      <c r="F101" s="1">
        <v>45116</v>
      </c>
      <c r="G101" s="2">
        <v>3200</v>
      </c>
      <c r="H101" s="3">
        <f t="shared" si="1"/>
        <v>32000</v>
      </c>
    </row>
    <row r="102" spans="1:8" x14ac:dyDescent="0.25">
      <c r="A102">
        <v>101</v>
      </c>
      <c r="B102" t="s">
        <v>125</v>
      </c>
      <c r="C102">
        <v>275</v>
      </c>
      <c r="D102">
        <v>30</v>
      </c>
      <c r="E102" t="s">
        <v>28</v>
      </c>
      <c r="F102" s="1">
        <v>44720</v>
      </c>
      <c r="G102" s="2">
        <v>15000</v>
      </c>
      <c r="H102" s="3">
        <f t="shared" si="1"/>
        <v>450000</v>
      </c>
    </row>
    <row r="103" spans="1:8" x14ac:dyDescent="0.25">
      <c r="A103">
        <v>102</v>
      </c>
      <c r="B103" t="s">
        <v>123</v>
      </c>
      <c r="C103">
        <v>171</v>
      </c>
      <c r="D103">
        <v>1</v>
      </c>
      <c r="E103" t="s">
        <v>29</v>
      </c>
      <c r="F103" s="1">
        <v>45014</v>
      </c>
      <c r="G103" s="2">
        <v>3000</v>
      </c>
      <c r="H103" s="3">
        <f t="shared" si="1"/>
        <v>3000</v>
      </c>
    </row>
    <row r="104" spans="1:8" x14ac:dyDescent="0.25">
      <c r="A104">
        <v>103</v>
      </c>
      <c r="B104" t="s">
        <v>124</v>
      </c>
      <c r="C104">
        <v>889</v>
      </c>
      <c r="D104">
        <v>1</v>
      </c>
      <c r="E104" t="s">
        <v>30</v>
      </c>
      <c r="F104" s="1">
        <v>45117</v>
      </c>
      <c r="G104" s="2">
        <v>2500</v>
      </c>
      <c r="H104" s="3">
        <f t="shared" si="1"/>
        <v>2500</v>
      </c>
    </row>
    <row r="105" spans="1:8" x14ac:dyDescent="0.25">
      <c r="A105">
        <v>104</v>
      </c>
      <c r="B105" t="s">
        <v>124</v>
      </c>
      <c r="C105">
        <v>889</v>
      </c>
      <c r="D105">
        <v>20</v>
      </c>
      <c r="E105" t="s">
        <v>28</v>
      </c>
      <c r="F105" s="1">
        <v>44818</v>
      </c>
      <c r="G105" s="2">
        <v>2500</v>
      </c>
      <c r="H105" s="3">
        <f t="shared" si="1"/>
        <v>50000</v>
      </c>
    </row>
    <row r="106" spans="1:8" x14ac:dyDescent="0.25">
      <c r="A106">
        <v>105</v>
      </c>
      <c r="B106" t="s">
        <v>127</v>
      </c>
      <c r="C106">
        <v>579</v>
      </c>
      <c r="D106">
        <v>20</v>
      </c>
      <c r="E106" t="s">
        <v>30</v>
      </c>
      <c r="F106" s="1">
        <v>44720</v>
      </c>
      <c r="G106" s="2">
        <v>4500</v>
      </c>
      <c r="H106" s="3">
        <f t="shared" si="1"/>
        <v>90000</v>
      </c>
    </row>
    <row r="107" spans="1:8" x14ac:dyDescent="0.25">
      <c r="A107">
        <v>106</v>
      </c>
      <c r="B107" t="s">
        <v>126</v>
      </c>
      <c r="C107">
        <v>160</v>
      </c>
      <c r="D107">
        <v>10</v>
      </c>
      <c r="E107" t="s">
        <v>29</v>
      </c>
      <c r="F107" s="1">
        <v>45014</v>
      </c>
      <c r="G107" s="2">
        <v>3200</v>
      </c>
      <c r="H107" s="3">
        <f t="shared" si="1"/>
        <v>32000</v>
      </c>
    </row>
    <row r="108" spans="1:8" x14ac:dyDescent="0.25">
      <c r="A108">
        <v>107</v>
      </c>
      <c r="B108" t="s">
        <v>127</v>
      </c>
      <c r="C108">
        <v>579</v>
      </c>
      <c r="D108">
        <v>20</v>
      </c>
      <c r="E108" t="s">
        <v>28</v>
      </c>
      <c r="F108" s="1">
        <v>44591</v>
      </c>
      <c r="G108" s="2">
        <v>4500</v>
      </c>
      <c r="H108" s="3">
        <f t="shared" si="1"/>
        <v>90000</v>
      </c>
    </row>
    <row r="109" spans="1:8" x14ac:dyDescent="0.25">
      <c r="A109">
        <v>108</v>
      </c>
      <c r="B109" t="s">
        <v>126</v>
      </c>
      <c r="C109">
        <v>160</v>
      </c>
      <c r="D109">
        <v>20</v>
      </c>
      <c r="E109" t="s">
        <v>28</v>
      </c>
      <c r="F109" s="1">
        <v>45014</v>
      </c>
      <c r="G109" s="2">
        <v>3200</v>
      </c>
      <c r="H109" s="3">
        <f t="shared" si="1"/>
        <v>64000</v>
      </c>
    </row>
    <row r="110" spans="1:8" x14ac:dyDescent="0.25">
      <c r="A110">
        <v>109</v>
      </c>
      <c r="B110" t="s">
        <v>122</v>
      </c>
      <c r="C110">
        <v>772</v>
      </c>
      <c r="D110">
        <v>2</v>
      </c>
      <c r="E110" t="s">
        <v>27</v>
      </c>
      <c r="F110" s="1">
        <v>44720</v>
      </c>
      <c r="G110" s="2">
        <v>5000</v>
      </c>
      <c r="H110" s="3">
        <f t="shared" si="1"/>
        <v>10000</v>
      </c>
    </row>
    <row r="111" spans="1:8" x14ac:dyDescent="0.25">
      <c r="A111">
        <v>110</v>
      </c>
      <c r="B111" t="s">
        <v>126</v>
      </c>
      <c r="C111">
        <v>160</v>
      </c>
      <c r="D111">
        <v>10</v>
      </c>
      <c r="E111" t="s">
        <v>27</v>
      </c>
      <c r="F111" s="1">
        <v>45006</v>
      </c>
      <c r="G111" s="2">
        <v>3200</v>
      </c>
      <c r="H111" s="3">
        <f t="shared" si="1"/>
        <v>32000</v>
      </c>
    </row>
    <row r="112" spans="1:8" x14ac:dyDescent="0.25">
      <c r="A112">
        <v>111</v>
      </c>
      <c r="B112" t="s">
        <v>127</v>
      </c>
      <c r="C112">
        <v>579</v>
      </c>
      <c r="D112">
        <v>30</v>
      </c>
      <c r="E112" t="s">
        <v>29</v>
      </c>
      <c r="F112" s="1">
        <v>44673</v>
      </c>
      <c r="G112" s="2">
        <v>4500</v>
      </c>
      <c r="H112" s="3">
        <f t="shared" si="1"/>
        <v>135000</v>
      </c>
    </row>
    <row r="113" spans="1:8" x14ac:dyDescent="0.25">
      <c r="A113">
        <v>112</v>
      </c>
      <c r="B113" t="s">
        <v>125</v>
      </c>
      <c r="C113">
        <v>275</v>
      </c>
      <c r="D113">
        <v>2</v>
      </c>
      <c r="E113" t="s">
        <v>30</v>
      </c>
      <c r="F113" s="1">
        <v>44958</v>
      </c>
      <c r="G113" s="2">
        <v>15000</v>
      </c>
      <c r="H113" s="3">
        <f t="shared" si="1"/>
        <v>30000</v>
      </c>
    </row>
    <row r="114" spans="1:8" x14ac:dyDescent="0.25">
      <c r="A114">
        <v>113</v>
      </c>
      <c r="B114" t="s">
        <v>126</v>
      </c>
      <c r="C114">
        <v>160</v>
      </c>
      <c r="D114">
        <v>2</v>
      </c>
      <c r="E114" t="s">
        <v>28</v>
      </c>
      <c r="F114" s="1">
        <v>45006</v>
      </c>
      <c r="G114" s="2">
        <v>3200</v>
      </c>
      <c r="H114" s="3">
        <f t="shared" si="1"/>
        <v>6400</v>
      </c>
    </row>
    <row r="115" spans="1:8" x14ac:dyDescent="0.25">
      <c r="A115">
        <v>114</v>
      </c>
      <c r="B115" t="s">
        <v>125</v>
      </c>
      <c r="C115">
        <v>275</v>
      </c>
      <c r="D115">
        <v>1</v>
      </c>
      <c r="E115" t="s">
        <v>28</v>
      </c>
      <c r="F115" s="1">
        <v>44591</v>
      </c>
      <c r="G115" s="2">
        <v>15000</v>
      </c>
      <c r="H115" s="3">
        <f t="shared" si="1"/>
        <v>15000</v>
      </c>
    </row>
    <row r="116" spans="1:8" x14ac:dyDescent="0.25">
      <c r="A116">
        <v>115</v>
      </c>
      <c r="B116" t="s">
        <v>122</v>
      </c>
      <c r="C116">
        <v>772</v>
      </c>
      <c r="D116">
        <v>1</v>
      </c>
      <c r="E116" t="s">
        <v>30</v>
      </c>
      <c r="F116" s="1">
        <v>44788</v>
      </c>
      <c r="G116" s="2">
        <v>5000</v>
      </c>
      <c r="H116" s="3">
        <f t="shared" si="1"/>
        <v>5000</v>
      </c>
    </row>
    <row r="117" spans="1:8" x14ac:dyDescent="0.25">
      <c r="A117">
        <v>116</v>
      </c>
      <c r="B117" t="s">
        <v>125</v>
      </c>
      <c r="C117">
        <v>275</v>
      </c>
      <c r="D117">
        <v>2</v>
      </c>
      <c r="E117" t="s">
        <v>27</v>
      </c>
      <c r="F117" s="1">
        <v>44867</v>
      </c>
      <c r="G117" s="2">
        <v>15000</v>
      </c>
      <c r="H117" s="3">
        <f t="shared" si="1"/>
        <v>30000</v>
      </c>
    </row>
    <row r="118" spans="1:8" x14ac:dyDescent="0.25">
      <c r="A118">
        <v>117</v>
      </c>
      <c r="B118" t="s">
        <v>125</v>
      </c>
      <c r="C118">
        <v>275</v>
      </c>
      <c r="D118">
        <v>2</v>
      </c>
      <c r="E118" t="s">
        <v>30</v>
      </c>
      <c r="F118" s="1">
        <v>44710</v>
      </c>
      <c r="G118" s="2">
        <v>15000</v>
      </c>
      <c r="H118" s="3">
        <f t="shared" si="1"/>
        <v>30000</v>
      </c>
    </row>
    <row r="119" spans="1:8" x14ac:dyDescent="0.25">
      <c r="A119">
        <v>118</v>
      </c>
      <c r="B119" t="s">
        <v>125</v>
      </c>
      <c r="C119">
        <v>275</v>
      </c>
      <c r="D119">
        <v>1</v>
      </c>
      <c r="E119" t="s">
        <v>28</v>
      </c>
      <c r="F119" s="1">
        <v>45116</v>
      </c>
      <c r="G119" s="2">
        <v>15000</v>
      </c>
      <c r="H119" s="3">
        <f t="shared" si="1"/>
        <v>15000</v>
      </c>
    </row>
    <row r="120" spans="1:8" x14ac:dyDescent="0.25">
      <c r="A120">
        <v>119</v>
      </c>
      <c r="B120" t="s">
        <v>123</v>
      </c>
      <c r="C120">
        <v>171</v>
      </c>
      <c r="D120">
        <v>2</v>
      </c>
      <c r="E120" t="s">
        <v>28</v>
      </c>
      <c r="F120" s="1">
        <v>44787</v>
      </c>
      <c r="G120" s="2">
        <v>3000</v>
      </c>
      <c r="H120" s="3">
        <f t="shared" si="1"/>
        <v>6000</v>
      </c>
    </row>
    <row r="121" spans="1:8" x14ac:dyDescent="0.25">
      <c r="A121">
        <v>120</v>
      </c>
      <c r="B121" t="s">
        <v>123</v>
      </c>
      <c r="C121">
        <v>171</v>
      </c>
      <c r="D121">
        <v>20</v>
      </c>
      <c r="E121" t="s">
        <v>27</v>
      </c>
      <c r="F121" s="1">
        <v>44818</v>
      </c>
      <c r="G121" s="2">
        <v>3000</v>
      </c>
      <c r="H121" s="3">
        <f t="shared" si="1"/>
        <v>60000</v>
      </c>
    </row>
    <row r="122" spans="1:8" x14ac:dyDescent="0.25">
      <c r="A122">
        <v>121</v>
      </c>
      <c r="B122" t="s">
        <v>123</v>
      </c>
      <c r="C122">
        <v>171</v>
      </c>
      <c r="D122">
        <v>30</v>
      </c>
      <c r="E122" t="s">
        <v>29</v>
      </c>
      <c r="F122" s="1">
        <v>44958</v>
      </c>
      <c r="G122" s="2">
        <v>3000</v>
      </c>
      <c r="H122" s="3">
        <f t="shared" si="1"/>
        <v>90000</v>
      </c>
    </row>
    <row r="123" spans="1:8" x14ac:dyDescent="0.25">
      <c r="A123">
        <v>122</v>
      </c>
      <c r="B123" t="s">
        <v>123</v>
      </c>
      <c r="C123">
        <v>171</v>
      </c>
      <c r="D123">
        <v>20</v>
      </c>
      <c r="E123" t="s">
        <v>28</v>
      </c>
      <c r="F123" s="1">
        <v>44892</v>
      </c>
      <c r="G123" s="2">
        <v>3000</v>
      </c>
      <c r="H123" s="3">
        <f t="shared" si="1"/>
        <v>60000</v>
      </c>
    </row>
    <row r="124" spans="1:8" x14ac:dyDescent="0.25">
      <c r="A124">
        <v>123</v>
      </c>
      <c r="B124" t="s">
        <v>125</v>
      </c>
      <c r="C124">
        <v>275</v>
      </c>
      <c r="D124">
        <v>1</v>
      </c>
      <c r="E124" t="s">
        <v>29</v>
      </c>
      <c r="F124" s="1">
        <v>44720</v>
      </c>
      <c r="G124" s="2">
        <v>15000</v>
      </c>
      <c r="H124" s="3">
        <f t="shared" si="1"/>
        <v>15000</v>
      </c>
    </row>
    <row r="125" spans="1:8" x14ac:dyDescent="0.25">
      <c r="A125">
        <v>124</v>
      </c>
      <c r="B125" t="s">
        <v>122</v>
      </c>
      <c r="C125">
        <v>772</v>
      </c>
      <c r="D125">
        <v>20</v>
      </c>
      <c r="E125" t="s">
        <v>30</v>
      </c>
      <c r="F125" s="1">
        <v>45014</v>
      </c>
      <c r="G125" s="2">
        <v>5000</v>
      </c>
      <c r="H125" s="3">
        <f t="shared" si="1"/>
        <v>100000</v>
      </c>
    </row>
    <row r="126" spans="1:8" x14ac:dyDescent="0.25">
      <c r="A126">
        <v>125</v>
      </c>
      <c r="B126" t="s">
        <v>122</v>
      </c>
      <c r="C126">
        <v>772</v>
      </c>
      <c r="D126">
        <v>30</v>
      </c>
      <c r="E126" t="s">
        <v>27</v>
      </c>
      <c r="F126" s="1">
        <v>44720</v>
      </c>
      <c r="G126" s="2">
        <v>5000</v>
      </c>
      <c r="H126" s="3">
        <f t="shared" si="1"/>
        <v>150000</v>
      </c>
    </row>
    <row r="127" spans="1:8" x14ac:dyDescent="0.25">
      <c r="A127">
        <v>126</v>
      </c>
      <c r="B127" t="s">
        <v>124</v>
      </c>
      <c r="C127">
        <v>889</v>
      </c>
      <c r="D127">
        <v>20</v>
      </c>
      <c r="E127" t="s">
        <v>27</v>
      </c>
      <c r="F127" s="1">
        <v>44818</v>
      </c>
      <c r="G127" s="2">
        <v>2500</v>
      </c>
      <c r="H127" s="3">
        <f t="shared" si="1"/>
        <v>50000</v>
      </c>
    </row>
    <row r="128" spans="1:8" x14ac:dyDescent="0.25">
      <c r="A128">
        <v>127</v>
      </c>
      <c r="B128" t="s">
        <v>123</v>
      </c>
      <c r="C128">
        <v>171</v>
      </c>
      <c r="D128">
        <v>30</v>
      </c>
      <c r="E128" t="s">
        <v>29</v>
      </c>
      <c r="F128" s="1">
        <v>44862</v>
      </c>
      <c r="G128" s="2">
        <v>3000</v>
      </c>
      <c r="H128" s="3">
        <f t="shared" si="1"/>
        <v>90000</v>
      </c>
    </row>
    <row r="129" spans="1:8" x14ac:dyDescent="0.25">
      <c r="A129">
        <v>128</v>
      </c>
      <c r="B129" t="s">
        <v>125</v>
      </c>
      <c r="C129">
        <v>275</v>
      </c>
      <c r="D129">
        <v>1</v>
      </c>
      <c r="E129" t="s">
        <v>30</v>
      </c>
      <c r="F129" s="1">
        <v>44623</v>
      </c>
      <c r="G129" s="2">
        <v>15000</v>
      </c>
      <c r="H129" s="3">
        <f t="shared" si="1"/>
        <v>15000</v>
      </c>
    </row>
    <row r="130" spans="1:8" x14ac:dyDescent="0.25">
      <c r="A130">
        <v>129</v>
      </c>
      <c r="B130" t="s">
        <v>122</v>
      </c>
      <c r="C130">
        <v>772</v>
      </c>
      <c r="D130">
        <v>2</v>
      </c>
      <c r="E130" t="s">
        <v>27</v>
      </c>
      <c r="F130" s="1">
        <v>45014</v>
      </c>
      <c r="G130" s="2">
        <v>5000</v>
      </c>
      <c r="H130" s="3">
        <f t="shared" si="1"/>
        <v>10000</v>
      </c>
    </row>
    <row r="131" spans="1:8" x14ac:dyDescent="0.25">
      <c r="A131">
        <v>130</v>
      </c>
      <c r="B131" t="s">
        <v>124</v>
      </c>
      <c r="C131">
        <v>889</v>
      </c>
      <c r="D131">
        <v>10</v>
      </c>
      <c r="E131" t="s">
        <v>29</v>
      </c>
      <c r="F131" s="1">
        <v>44892</v>
      </c>
      <c r="G131" s="2">
        <v>2500</v>
      </c>
      <c r="H131" s="3">
        <f t="shared" ref="H131:H194" si="2">G131*D131</f>
        <v>25000</v>
      </c>
    </row>
    <row r="132" spans="1:8" x14ac:dyDescent="0.25">
      <c r="A132">
        <v>131</v>
      </c>
      <c r="B132" t="s">
        <v>127</v>
      </c>
      <c r="C132">
        <v>579</v>
      </c>
      <c r="D132">
        <v>20</v>
      </c>
      <c r="E132" t="s">
        <v>29</v>
      </c>
      <c r="F132" s="1">
        <v>45116</v>
      </c>
      <c r="G132" s="2">
        <v>4500</v>
      </c>
      <c r="H132" s="3">
        <f t="shared" si="2"/>
        <v>90000</v>
      </c>
    </row>
    <row r="133" spans="1:8" x14ac:dyDescent="0.25">
      <c r="A133">
        <v>132</v>
      </c>
      <c r="B133" t="s">
        <v>127</v>
      </c>
      <c r="C133">
        <v>579</v>
      </c>
      <c r="D133">
        <v>2</v>
      </c>
      <c r="E133" t="s">
        <v>30</v>
      </c>
      <c r="F133" s="1">
        <v>44591</v>
      </c>
      <c r="G133" s="2">
        <v>4500</v>
      </c>
      <c r="H133" s="3">
        <f t="shared" si="2"/>
        <v>9000</v>
      </c>
    </row>
    <row r="134" spans="1:8" x14ac:dyDescent="0.25">
      <c r="A134">
        <v>133</v>
      </c>
      <c r="B134" t="s">
        <v>127</v>
      </c>
      <c r="C134">
        <v>579</v>
      </c>
      <c r="D134">
        <v>30</v>
      </c>
      <c r="E134" t="s">
        <v>29</v>
      </c>
      <c r="F134" s="1">
        <v>44623</v>
      </c>
      <c r="G134" s="2">
        <v>4500</v>
      </c>
      <c r="H134" s="3">
        <f t="shared" si="2"/>
        <v>135000</v>
      </c>
    </row>
    <row r="135" spans="1:8" x14ac:dyDescent="0.25">
      <c r="A135">
        <v>134</v>
      </c>
      <c r="B135" t="s">
        <v>123</v>
      </c>
      <c r="C135">
        <v>171</v>
      </c>
      <c r="D135">
        <v>2</v>
      </c>
      <c r="E135" t="s">
        <v>30</v>
      </c>
      <c r="F135" s="1">
        <v>44710</v>
      </c>
      <c r="G135" s="2">
        <v>3000</v>
      </c>
      <c r="H135" s="3">
        <f t="shared" si="2"/>
        <v>6000</v>
      </c>
    </row>
    <row r="136" spans="1:8" x14ac:dyDescent="0.25">
      <c r="A136">
        <v>135</v>
      </c>
      <c r="B136" t="s">
        <v>122</v>
      </c>
      <c r="C136">
        <v>772</v>
      </c>
      <c r="D136">
        <v>2</v>
      </c>
      <c r="E136" t="s">
        <v>29</v>
      </c>
      <c r="F136" s="1">
        <v>44818</v>
      </c>
      <c r="G136" s="2">
        <v>5000</v>
      </c>
      <c r="H136" s="3">
        <f t="shared" si="2"/>
        <v>10000</v>
      </c>
    </row>
    <row r="137" spans="1:8" x14ac:dyDescent="0.25">
      <c r="A137">
        <v>136</v>
      </c>
      <c r="B137" t="s">
        <v>125</v>
      </c>
      <c r="C137">
        <v>275</v>
      </c>
      <c r="D137">
        <v>30</v>
      </c>
      <c r="E137" t="s">
        <v>30</v>
      </c>
      <c r="F137" s="1">
        <v>45116</v>
      </c>
      <c r="G137" s="2">
        <v>15000</v>
      </c>
      <c r="H137" s="3">
        <f t="shared" si="2"/>
        <v>450000</v>
      </c>
    </row>
    <row r="138" spans="1:8" x14ac:dyDescent="0.25">
      <c r="A138">
        <v>137</v>
      </c>
      <c r="B138" t="s">
        <v>124</v>
      </c>
      <c r="C138">
        <v>889</v>
      </c>
      <c r="D138">
        <v>10</v>
      </c>
      <c r="E138" t="s">
        <v>27</v>
      </c>
      <c r="F138" s="1">
        <v>44781</v>
      </c>
      <c r="G138" s="2">
        <v>2500</v>
      </c>
      <c r="H138" s="3">
        <f t="shared" si="2"/>
        <v>25000</v>
      </c>
    </row>
    <row r="139" spans="1:8" x14ac:dyDescent="0.25">
      <c r="A139">
        <v>138</v>
      </c>
      <c r="B139" t="s">
        <v>127</v>
      </c>
      <c r="C139">
        <v>579</v>
      </c>
      <c r="D139">
        <v>2</v>
      </c>
      <c r="E139" t="s">
        <v>27</v>
      </c>
      <c r="F139" s="1">
        <v>44787</v>
      </c>
      <c r="G139" s="2">
        <v>4500</v>
      </c>
      <c r="H139" s="3">
        <f t="shared" si="2"/>
        <v>9000</v>
      </c>
    </row>
    <row r="140" spans="1:8" x14ac:dyDescent="0.25">
      <c r="A140">
        <v>139</v>
      </c>
      <c r="B140" t="s">
        <v>122</v>
      </c>
      <c r="C140">
        <v>772</v>
      </c>
      <c r="D140">
        <v>30</v>
      </c>
      <c r="E140" t="s">
        <v>30</v>
      </c>
      <c r="F140" s="1">
        <v>45014</v>
      </c>
      <c r="G140" s="2">
        <v>5000</v>
      </c>
      <c r="H140" s="3">
        <f t="shared" si="2"/>
        <v>150000</v>
      </c>
    </row>
    <row r="141" spans="1:8" x14ac:dyDescent="0.25">
      <c r="A141">
        <v>140</v>
      </c>
      <c r="B141" t="s">
        <v>126</v>
      </c>
      <c r="C141">
        <v>160</v>
      </c>
      <c r="D141">
        <v>10</v>
      </c>
      <c r="E141" t="s">
        <v>27</v>
      </c>
      <c r="F141" s="1">
        <v>45014</v>
      </c>
      <c r="G141" s="2">
        <v>3200</v>
      </c>
      <c r="H141" s="3">
        <f t="shared" si="2"/>
        <v>32000</v>
      </c>
    </row>
    <row r="142" spans="1:8" x14ac:dyDescent="0.25">
      <c r="A142">
        <v>141</v>
      </c>
      <c r="B142" t="s">
        <v>122</v>
      </c>
      <c r="C142">
        <v>772</v>
      </c>
      <c r="D142">
        <v>2</v>
      </c>
      <c r="E142" t="s">
        <v>30</v>
      </c>
      <c r="F142" s="1">
        <v>45117</v>
      </c>
      <c r="G142" s="2">
        <v>5000</v>
      </c>
      <c r="H142" s="3">
        <f t="shared" si="2"/>
        <v>10000</v>
      </c>
    </row>
    <row r="143" spans="1:8" x14ac:dyDescent="0.25">
      <c r="A143">
        <v>142</v>
      </c>
      <c r="B143" t="s">
        <v>126</v>
      </c>
      <c r="C143">
        <v>160</v>
      </c>
      <c r="D143">
        <v>20</v>
      </c>
      <c r="E143" t="s">
        <v>30</v>
      </c>
      <c r="F143" s="1">
        <v>44862</v>
      </c>
      <c r="G143" s="2">
        <v>3200</v>
      </c>
      <c r="H143" s="3">
        <f t="shared" si="2"/>
        <v>64000</v>
      </c>
    </row>
    <row r="144" spans="1:8" x14ac:dyDescent="0.25">
      <c r="A144">
        <v>143</v>
      </c>
      <c r="B144" t="s">
        <v>123</v>
      </c>
      <c r="C144">
        <v>171</v>
      </c>
      <c r="D144">
        <v>30</v>
      </c>
      <c r="E144" t="s">
        <v>29</v>
      </c>
      <c r="F144" s="1">
        <v>44867</v>
      </c>
      <c r="G144" s="2">
        <v>3000</v>
      </c>
      <c r="H144" s="3">
        <f t="shared" si="2"/>
        <v>90000</v>
      </c>
    </row>
    <row r="145" spans="1:8" x14ac:dyDescent="0.25">
      <c r="A145">
        <v>144</v>
      </c>
      <c r="B145" t="s">
        <v>122</v>
      </c>
      <c r="C145">
        <v>772</v>
      </c>
      <c r="D145">
        <v>30</v>
      </c>
      <c r="E145" t="s">
        <v>29</v>
      </c>
      <c r="F145" s="1">
        <v>45014</v>
      </c>
      <c r="G145" s="2">
        <v>5000</v>
      </c>
      <c r="H145" s="3">
        <f t="shared" si="2"/>
        <v>150000</v>
      </c>
    </row>
    <row r="146" spans="1:8" x14ac:dyDescent="0.25">
      <c r="A146">
        <v>145</v>
      </c>
      <c r="B146" t="s">
        <v>122</v>
      </c>
      <c r="C146">
        <v>772</v>
      </c>
      <c r="D146">
        <v>10</v>
      </c>
      <c r="E146" t="s">
        <v>30</v>
      </c>
      <c r="F146" s="1">
        <v>44862</v>
      </c>
      <c r="G146" s="2">
        <v>5000</v>
      </c>
      <c r="H146" s="3">
        <f t="shared" si="2"/>
        <v>50000</v>
      </c>
    </row>
    <row r="147" spans="1:8" x14ac:dyDescent="0.25">
      <c r="A147">
        <v>146</v>
      </c>
      <c r="B147" t="s">
        <v>126</v>
      </c>
      <c r="C147">
        <v>160</v>
      </c>
      <c r="D147">
        <v>1</v>
      </c>
      <c r="E147" t="s">
        <v>29</v>
      </c>
      <c r="F147" s="1">
        <v>44720</v>
      </c>
      <c r="G147" s="2">
        <v>3200</v>
      </c>
      <c r="H147" s="3">
        <f t="shared" si="2"/>
        <v>3200</v>
      </c>
    </row>
    <row r="148" spans="1:8" x14ac:dyDescent="0.25">
      <c r="A148">
        <v>147</v>
      </c>
      <c r="B148" t="s">
        <v>126</v>
      </c>
      <c r="C148">
        <v>160</v>
      </c>
      <c r="D148">
        <v>20</v>
      </c>
      <c r="E148" t="s">
        <v>27</v>
      </c>
      <c r="F148" s="1">
        <v>44720</v>
      </c>
      <c r="G148" s="2">
        <v>3200</v>
      </c>
      <c r="H148" s="3">
        <f t="shared" si="2"/>
        <v>64000</v>
      </c>
    </row>
    <row r="149" spans="1:8" x14ac:dyDescent="0.25">
      <c r="A149">
        <v>148</v>
      </c>
      <c r="B149" t="s">
        <v>123</v>
      </c>
      <c r="C149">
        <v>171</v>
      </c>
      <c r="D149">
        <v>30</v>
      </c>
      <c r="E149" t="s">
        <v>29</v>
      </c>
      <c r="F149" s="1">
        <v>44787</v>
      </c>
      <c r="G149" s="2">
        <v>3000</v>
      </c>
      <c r="H149" s="3">
        <f t="shared" si="2"/>
        <v>90000</v>
      </c>
    </row>
    <row r="150" spans="1:8" x14ac:dyDescent="0.25">
      <c r="A150">
        <v>149</v>
      </c>
      <c r="B150" t="s">
        <v>127</v>
      </c>
      <c r="C150">
        <v>579</v>
      </c>
      <c r="D150">
        <v>1</v>
      </c>
      <c r="E150" t="s">
        <v>27</v>
      </c>
      <c r="F150" s="1">
        <v>44720</v>
      </c>
      <c r="G150" s="2">
        <v>4500</v>
      </c>
      <c r="H150" s="3">
        <f t="shared" si="2"/>
        <v>4500</v>
      </c>
    </row>
    <row r="151" spans="1:8" x14ac:dyDescent="0.25">
      <c r="A151">
        <v>150</v>
      </c>
      <c r="B151" t="s">
        <v>127</v>
      </c>
      <c r="C151">
        <v>579</v>
      </c>
      <c r="D151">
        <v>1</v>
      </c>
      <c r="E151" t="s">
        <v>27</v>
      </c>
      <c r="F151" s="1">
        <v>44706</v>
      </c>
      <c r="G151" s="2">
        <v>4500</v>
      </c>
      <c r="H151" s="3">
        <f t="shared" si="2"/>
        <v>4500</v>
      </c>
    </row>
    <row r="152" spans="1:8" x14ac:dyDescent="0.25">
      <c r="A152">
        <v>151</v>
      </c>
      <c r="B152" t="s">
        <v>127</v>
      </c>
      <c r="C152">
        <v>579</v>
      </c>
      <c r="D152">
        <v>1</v>
      </c>
      <c r="E152" t="s">
        <v>29</v>
      </c>
      <c r="F152" s="1">
        <v>44788</v>
      </c>
      <c r="G152" s="2">
        <v>4500</v>
      </c>
      <c r="H152" s="3">
        <f t="shared" si="2"/>
        <v>4500</v>
      </c>
    </row>
    <row r="153" spans="1:8" x14ac:dyDescent="0.25">
      <c r="A153">
        <v>152</v>
      </c>
      <c r="B153" t="s">
        <v>123</v>
      </c>
      <c r="C153">
        <v>171</v>
      </c>
      <c r="D153">
        <v>30</v>
      </c>
      <c r="E153" t="s">
        <v>27</v>
      </c>
      <c r="F153" s="1">
        <v>45006</v>
      </c>
      <c r="G153" s="2">
        <v>3000</v>
      </c>
      <c r="H153" s="3">
        <f t="shared" si="2"/>
        <v>90000</v>
      </c>
    </row>
    <row r="154" spans="1:8" x14ac:dyDescent="0.25">
      <c r="A154">
        <v>153</v>
      </c>
      <c r="B154" t="s">
        <v>122</v>
      </c>
      <c r="C154">
        <v>772</v>
      </c>
      <c r="D154">
        <v>2</v>
      </c>
      <c r="E154" t="s">
        <v>27</v>
      </c>
      <c r="F154" s="1">
        <v>45014</v>
      </c>
      <c r="G154" s="2">
        <v>5000</v>
      </c>
      <c r="H154" s="3">
        <f t="shared" si="2"/>
        <v>10000</v>
      </c>
    </row>
    <row r="155" spans="1:8" x14ac:dyDescent="0.25">
      <c r="A155">
        <v>154</v>
      </c>
      <c r="B155" t="s">
        <v>122</v>
      </c>
      <c r="C155">
        <v>772</v>
      </c>
      <c r="D155">
        <v>10</v>
      </c>
      <c r="E155" t="s">
        <v>29</v>
      </c>
      <c r="F155" s="1">
        <v>44591</v>
      </c>
      <c r="G155" s="2">
        <v>5000</v>
      </c>
      <c r="H155" s="3">
        <f t="shared" si="2"/>
        <v>50000</v>
      </c>
    </row>
    <row r="156" spans="1:8" x14ac:dyDescent="0.25">
      <c r="A156">
        <v>155</v>
      </c>
      <c r="B156" t="s">
        <v>125</v>
      </c>
      <c r="C156">
        <v>275</v>
      </c>
      <c r="D156">
        <v>10</v>
      </c>
      <c r="E156" t="s">
        <v>27</v>
      </c>
      <c r="F156" s="1">
        <v>44591</v>
      </c>
      <c r="G156" s="2">
        <v>15000</v>
      </c>
      <c r="H156" s="3">
        <f t="shared" si="2"/>
        <v>150000</v>
      </c>
    </row>
    <row r="157" spans="1:8" x14ac:dyDescent="0.25">
      <c r="A157">
        <v>156</v>
      </c>
      <c r="B157" t="s">
        <v>126</v>
      </c>
      <c r="C157">
        <v>160</v>
      </c>
      <c r="D157">
        <v>1</v>
      </c>
      <c r="E157" t="s">
        <v>29</v>
      </c>
      <c r="F157" s="1">
        <v>44862</v>
      </c>
      <c r="G157" s="2">
        <v>3200</v>
      </c>
      <c r="H157" s="3">
        <f t="shared" si="2"/>
        <v>3200</v>
      </c>
    </row>
    <row r="158" spans="1:8" x14ac:dyDescent="0.25">
      <c r="A158">
        <v>157</v>
      </c>
      <c r="B158" t="s">
        <v>124</v>
      </c>
      <c r="C158">
        <v>889</v>
      </c>
      <c r="D158">
        <v>2</v>
      </c>
      <c r="E158" t="s">
        <v>29</v>
      </c>
      <c r="F158" s="1">
        <v>44787</v>
      </c>
      <c r="G158" s="2">
        <v>2500</v>
      </c>
      <c r="H158" s="3">
        <f t="shared" si="2"/>
        <v>5000</v>
      </c>
    </row>
    <row r="159" spans="1:8" x14ac:dyDescent="0.25">
      <c r="A159">
        <v>158</v>
      </c>
      <c r="B159" t="s">
        <v>127</v>
      </c>
      <c r="C159">
        <v>579</v>
      </c>
      <c r="D159">
        <v>2</v>
      </c>
      <c r="E159" t="s">
        <v>29</v>
      </c>
      <c r="F159" s="1">
        <v>45116</v>
      </c>
      <c r="G159" s="2">
        <v>4500</v>
      </c>
      <c r="H159" s="3">
        <f t="shared" si="2"/>
        <v>9000</v>
      </c>
    </row>
    <row r="160" spans="1:8" x14ac:dyDescent="0.25">
      <c r="A160">
        <v>159</v>
      </c>
      <c r="B160" t="s">
        <v>127</v>
      </c>
      <c r="C160">
        <v>579</v>
      </c>
      <c r="D160">
        <v>2</v>
      </c>
      <c r="E160" t="s">
        <v>28</v>
      </c>
      <c r="F160" s="1">
        <v>44796</v>
      </c>
      <c r="G160" s="2">
        <v>4500</v>
      </c>
      <c r="H160" s="3">
        <f t="shared" si="2"/>
        <v>9000</v>
      </c>
    </row>
    <row r="161" spans="1:8" x14ac:dyDescent="0.25">
      <c r="A161">
        <v>160</v>
      </c>
      <c r="B161" t="s">
        <v>123</v>
      </c>
      <c r="C161">
        <v>171</v>
      </c>
      <c r="D161">
        <v>2</v>
      </c>
      <c r="E161" t="s">
        <v>30</v>
      </c>
      <c r="F161" s="1">
        <v>44787</v>
      </c>
      <c r="G161" s="2">
        <v>3000</v>
      </c>
      <c r="H161" s="3">
        <f t="shared" si="2"/>
        <v>6000</v>
      </c>
    </row>
    <row r="162" spans="1:8" x14ac:dyDescent="0.25">
      <c r="A162">
        <v>161</v>
      </c>
      <c r="B162" t="s">
        <v>127</v>
      </c>
      <c r="C162">
        <v>579</v>
      </c>
      <c r="D162">
        <v>10</v>
      </c>
      <c r="E162" t="s">
        <v>27</v>
      </c>
      <c r="F162" s="1">
        <v>44720</v>
      </c>
      <c r="G162" s="2">
        <v>4500</v>
      </c>
      <c r="H162" s="3">
        <f t="shared" si="2"/>
        <v>45000</v>
      </c>
    </row>
    <row r="163" spans="1:8" x14ac:dyDescent="0.25">
      <c r="A163">
        <v>162</v>
      </c>
      <c r="B163" t="s">
        <v>124</v>
      </c>
      <c r="C163">
        <v>889</v>
      </c>
      <c r="D163">
        <v>20</v>
      </c>
      <c r="E163" t="s">
        <v>29</v>
      </c>
      <c r="F163" s="1">
        <v>44788</v>
      </c>
      <c r="G163" s="2">
        <v>2500</v>
      </c>
      <c r="H163" s="3">
        <f t="shared" si="2"/>
        <v>50000</v>
      </c>
    </row>
    <row r="164" spans="1:8" x14ac:dyDescent="0.25">
      <c r="A164">
        <v>163</v>
      </c>
      <c r="B164" t="s">
        <v>125</v>
      </c>
      <c r="C164">
        <v>275</v>
      </c>
      <c r="D164">
        <v>1</v>
      </c>
      <c r="E164" t="s">
        <v>30</v>
      </c>
      <c r="F164" s="1">
        <v>44818</v>
      </c>
      <c r="G164" s="2">
        <v>15000</v>
      </c>
      <c r="H164" s="3">
        <f t="shared" si="2"/>
        <v>15000</v>
      </c>
    </row>
    <row r="165" spans="1:8" x14ac:dyDescent="0.25">
      <c r="A165">
        <v>164</v>
      </c>
      <c r="B165" t="s">
        <v>126</v>
      </c>
      <c r="C165">
        <v>160</v>
      </c>
      <c r="D165">
        <v>10</v>
      </c>
      <c r="E165" t="s">
        <v>29</v>
      </c>
      <c r="F165" s="1">
        <v>44623</v>
      </c>
      <c r="G165" s="2">
        <v>3200</v>
      </c>
      <c r="H165" s="3">
        <f t="shared" si="2"/>
        <v>32000</v>
      </c>
    </row>
    <row r="166" spans="1:8" x14ac:dyDescent="0.25">
      <c r="A166">
        <v>165</v>
      </c>
      <c r="B166" t="s">
        <v>123</v>
      </c>
      <c r="C166">
        <v>171</v>
      </c>
      <c r="D166">
        <v>1</v>
      </c>
      <c r="E166" t="s">
        <v>30</v>
      </c>
      <c r="F166" s="1">
        <v>44787</v>
      </c>
      <c r="G166" s="2">
        <v>3000</v>
      </c>
      <c r="H166" s="3">
        <f t="shared" si="2"/>
        <v>3000</v>
      </c>
    </row>
    <row r="167" spans="1:8" x14ac:dyDescent="0.25">
      <c r="A167">
        <v>166</v>
      </c>
      <c r="B167" t="s">
        <v>126</v>
      </c>
      <c r="C167">
        <v>160</v>
      </c>
      <c r="D167">
        <v>20</v>
      </c>
      <c r="E167" t="s">
        <v>30</v>
      </c>
      <c r="F167" s="1">
        <v>44710</v>
      </c>
      <c r="G167" s="2">
        <v>3200</v>
      </c>
      <c r="H167" s="3">
        <f t="shared" si="2"/>
        <v>64000</v>
      </c>
    </row>
    <row r="168" spans="1:8" x14ac:dyDescent="0.25">
      <c r="A168">
        <v>167</v>
      </c>
      <c r="B168" t="s">
        <v>124</v>
      </c>
      <c r="C168">
        <v>889</v>
      </c>
      <c r="D168">
        <v>20</v>
      </c>
      <c r="E168" t="s">
        <v>30</v>
      </c>
      <c r="F168" s="1">
        <v>44673</v>
      </c>
      <c r="G168" s="2">
        <v>2500</v>
      </c>
      <c r="H168" s="3">
        <f t="shared" si="2"/>
        <v>50000</v>
      </c>
    </row>
    <row r="169" spans="1:8" x14ac:dyDescent="0.25">
      <c r="A169">
        <v>168</v>
      </c>
      <c r="B169" t="s">
        <v>124</v>
      </c>
      <c r="C169">
        <v>889</v>
      </c>
      <c r="D169">
        <v>30</v>
      </c>
      <c r="E169" t="s">
        <v>28</v>
      </c>
      <c r="F169" s="1">
        <v>44958</v>
      </c>
      <c r="G169" s="2">
        <v>2500</v>
      </c>
      <c r="H169" s="3">
        <f t="shared" si="2"/>
        <v>75000</v>
      </c>
    </row>
    <row r="170" spans="1:8" x14ac:dyDescent="0.25">
      <c r="A170">
        <v>169</v>
      </c>
      <c r="B170" t="s">
        <v>124</v>
      </c>
      <c r="C170">
        <v>889</v>
      </c>
      <c r="D170">
        <v>30</v>
      </c>
      <c r="E170" t="s">
        <v>29</v>
      </c>
      <c r="F170" s="1">
        <v>44720</v>
      </c>
      <c r="G170" s="2">
        <v>2500</v>
      </c>
      <c r="H170" s="3">
        <f t="shared" si="2"/>
        <v>75000</v>
      </c>
    </row>
    <row r="171" spans="1:8" x14ac:dyDescent="0.25">
      <c r="A171">
        <v>170</v>
      </c>
      <c r="B171" t="s">
        <v>126</v>
      </c>
      <c r="C171">
        <v>160</v>
      </c>
      <c r="D171">
        <v>10</v>
      </c>
      <c r="E171" t="s">
        <v>28</v>
      </c>
      <c r="F171" s="1">
        <v>45014</v>
      </c>
      <c r="G171" s="2">
        <v>3200</v>
      </c>
      <c r="H171" s="3">
        <f t="shared" si="2"/>
        <v>32000</v>
      </c>
    </row>
    <row r="172" spans="1:8" x14ac:dyDescent="0.25">
      <c r="A172">
        <v>171</v>
      </c>
      <c r="B172" t="s">
        <v>126</v>
      </c>
      <c r="C172">
        <v>160</v>
      </c>
      <c r="D172">
        <v>30</v>
      </c>
      <c r="E172" t="s">
        <v>27</v>
      </c>
      <c r="F172" s="1">
        <v>44796</v>
      </c>
      <c r="G172" s="2">
        <v>3200</v>
      </c>
      <c r="H172" s="3">
        <f t="shared" si="2"/>
        <v>96000</v>
      </c>
    </row>
    <row r="173" spans="1:8" x14ac:dyDescent="0.25">
      <c r="A173">
        <v>172</v>
      </c>
      <c r="B173" t="s">
        <v>122</v>
      </c>
      <c r="C173">
        <v>772</v>
      </c>
      <c r="D173">
        <v>2</v>
      </c>
      <c r="E173" t="s">
        <v>28</v>
      </c>
      <c r="F173" s="1">
        <v>44958</v>
      </c>
      <c r="G173" s="2">
        <v>5000</v>
      </c>
      <c r="H173" s="3">
        <f t="shared" si="2"/>
        <v>10000</v>
      </c>
    </row>
    <row r="174" spans="1:8" x14ac:dyDescent="0.25">
      <c r="A174">
        <v>173</v>
      </c>
      <c r="B174" t="s">
        <v>127</v>
      </c>
      <c r="C174">
        <v>579</v>
      </c>
      <c r="D174">
        <v>2</v>
      </c>
      <c r="E174" t="s">
        <v>28</v>
      </c>
      <c r="F174" s="1">
        <v>45116</v>
      </c>
      <c r="G174" s="2">
        <v>4500</v>
      </c>
      <c r="H174" s="3">
        <f t="shared" si="2"/>
        <v>9000</v>
      </c>
    </row>
    <row r="175" spans="1:8" x14ac:dyDescent="0.25">
      <c r="A175">
        <v>174</v>
      </c>
      <c r="B175" t="s">
        <v>125</v>
      </c>
      <c r="C175">
        <v>275</v>
      </c>
      <c r="D175">
        <v>20</v>
      </c>
      <c r="E175" t="s">
        <v>29</v>
      </c>
      <c r="F175" s="1">
        <v>44787</v>
      </c>
      <c r="G175" s="2">
        <v>15000</v>
      </c>
      <c r="H175" s="3">
        <f t="shared" si="2"/>
        <v>300000</v>
      </c>
    </row>
    <row r="176" spans="1:8" x14ac:dyDescent="0.25">
      <c r="A176">
        <v>175</v>
      </c>
      <c r="B176" t="s">
        <v>123</v>
      </c>
      <c r="C176">
        <v>171</v>
      </c>
      <c r="D176">
        <v>1</v>
      </c>
      <c r="E176" t="s">
        <v>30</v>
      </c>
      <c r="F176" s="1">
        <v>44867</v>
      </c>
      <c r="G176" s="2">
        <v>3000</v>
      </c>
      <c r="H176" s="3">
        <f t="shared" si="2"/>
        <v>3000</v>
      </c>
    </row>
    <row r="177" spans="1:8" x14ac:dyDescent="0.25">
      <c r="A177">
        <v>176</v>
      </c>
      <c r="B177" t="s">
        <v>125</v>
      </c>
      <c r="C177">
        <v>275</v>
      </c>
      <c r="D177">
        <v>1</v>
      </c>
      <c r="E177" t="s">
        <v>30</v>
      </c>
      <c r="F177" s="1">
        <v>44720</v>
      </c>
      <c r="G177" s="2">
        <v>15000</v>
      </c>
      <c r="H177" s="3">
        <f t="shared" si="2"/>
        <v>15000</v>
      </c>
    </row>
    <row r="178" spans="1:8" x14ac:dyDescent="0.25">
      <c r="A178">
        <v>177</v>
      </c>
      <c r="B178" t="s">
        <v>123</v>
      </c>
      <c r="C178">
        <v>171</v>
      </c>
      <c r="D178">
        <v>1</v>
      </c>
      <c r="E178" t="s">
        <v>29</v>
      </c>
      <c r="F178" s="1">
        <v>44867</v>
      </c>
      <c r="G178" s="2">
        <v>3000</v>
      </c>
      <c r="H178" s="3">
        <f t="shared" si="2"/>
        <v>3000</v>
      </c>
    </row>
    <row r="179" spans="1:8" x14ac:dyDescent="0.25">
      <c r="A179">
        <v>178</v>
      </c>
      <c r="B179" t="s">
        <v>124</v>
      </c>
      <c r="C179">
        <v>889</v>
      </c>
      <c r="D179">
        <v>2</v>
      </c>
      <c r="E179" t="s">
        <v>27</v>
      </c>
      <c r="F179" s="1">
        <v>44591</v>
      </c>
      <c r="G179" s="2">
        <v>2500</v>
      </c>
      <c r="H179" s="3">
        <f t="shared" si="2"/>
        <v>5000</v>
      </c>
    </row>
    <row r="180" spans="1:8" x14ac:dyDescent="0.25">
      <c r="A180">
        <v>179</v>
      </c>
      <c r="B180" t="s">
        <v>126</v>
      </c>
      <c r="C180">
        <v>160</v>
      </c>
      <c r="D180">
        <v>20</v>
      </c>
      <c r="E180" t="s">
        <v>27</v>
      </c>
      <c r="F180" s="1">
        <v>44862</v>
      </c>
      <c r="G180" s="2">
        <v>3200</v>
      </c>
      <c r="H180" s="3">
        <f t="shared" si="2"/>
        <v>64000</v>
      </c>
    </row>
    <row r="181" spans="1:8" x14ac:dyDescent="0.25">
      <c r="A181">
        <v>180</v>
      </c>
      <c r="B181" t="s">
        <v>126</v>
      </c>
      <c r="C181">
        <v>160</v>
      </c>
      <c r="D181">
        <v>10</v>
      </c>
      <c r="E181" t="s">
        <v>27</v>
      </c>
      <c r="F181" s="1">
        <v>45116</v>
      </c>
      <c r="G181" s="2">
        <v>3200</v>
      </c>
      <c r="H181" s="3">
        <f t="shared" si="2"/>
        <v>32000</v>
      </c>
    </row>
    <row r="182" spans="1:8" x14ac:dyDescent="0.25">
      <c r="A182">
        <v>181</v>
      </c>
      <c r="B182" t="s">
        <v>122</v>
      </c>
      <c r="C182">
        <v>772</v>
      </c>
      <c r="D182">
        <v>1</v>
      </c>
      <c r="E182" t="s">
        <v>27</v>
      </c>
      <c r="F182" s="1">
        <v>45276</v>
      </c>
      <c r="G182" s="2">
        <v>5000</v>
      </c>
      <c r="H182" s="3">
        <f t="shared" si="2"/>
        <v>5000</v>
      </c>
    </row>
    <row r="183" spans="1:8" x14ac:dyDescent="0.25">
      <c r="A183">
        <v>182</v>
      </c>
      <c r="B183" t="s">
        <v>125</v>
      </c>
      <c r="C183">
        <v>275</v>
      </c>
      <c r="D183">
        <v>2</v>
      </c>
      <c r="E183" t="s">
        <v>30</v>
      </c>
      <c r="F183" s="1">
        <v>44781</v>
      </c>
      <c r="G183" s="2">
        <v>15000</v>
      </c>
      <c r="H183" s="3">
        <f t="shared" si="2"/>
        <v>30000</v>
      </c>
    </row>
    <row r="184" spans="1:8" x14ac:dyDescent="0.25">
      <c r="A184">
        <v>183</v>
      </c>
      <c r="B184" t="s">
        <v>123</v>
      </c>
      <c r="C184">
        <v>171</v>
      </c>
      <c r="D184">
        <v>30</v>
      </c>
      <c r="E184" t="s">
        <v>30</v>
      </c>
      <c r="F184" s="1">
        <v>44720</v>
      </c>
      <c r="G184" s="2">
        <v>3000</v>
      </c>
      <c r="H184" s="3">
        <f t="shared" si="2"/>
        <v>90000</v>
      </c>
    </row>
    <row r="185" spans="1:8" x14ac:dyDescent="0.25">
      <c r="A185">
        <v>184</v>
      </c>
      <c r="B185" t="s">
        <v>124</v>
      </c>
      <c r="C185">
        <v>889</v>
      </c>
      <c r="D185">
        <v>10</v>
      </c>
      <c r="E185" t="s">
        <v>29</v>
      </c>
      <c r="F185" s="1">
        <v>45014</v>
      </c>
      <c r="G185" s="2">
        <v>2500</v>
      </c>
      <c r="H185" s="3">
        <f t="shared" si="2"/>
        <v>25000</v>
      </c>
    </row>
    <row r="186" spans="1:8" x14ac:dyDescent="0.25">
      <c r="A186">
        <v>185</v>
      </c>
      <c r="B186" t="s">
        <v>125</v>
      </c>
      <c r="C186">
        <v>275</v>
      </c>
      <c r="D186">
        <v>1</v>
      </c>
      <c r="E186" t="s">
        <v>30</v>
      </c>
      <c r="F186" s="1">
        <v>44867</v>
      </c>
      <c r="G186" s="2">
        <v>15000</v>
      </c>
      <c r="H186" s="3">
        <f t="shared" si="2"/>
        <v>15000</v>
      </c>
    </row>
    <row r="187" spans="1:8" x14ac:dyDescent="0.25">
      <c r="A187">
        <v>186</v>
      </c>
      <c r="B187" t="s">
        <v>127</v>
      </c>
      <c r="C187">
        <v>579</v>
      </c>
      <c r="D187">
        <v>20</v>
      </c>
      <c r="E187" t="s">
        <v>29</v>
      </c>
      <c r="F187" s="1">
        <v>45116</v>
      </c>
      <c r="G187" s="2">
        <v>4500</v>
      </c>
      <c r="H187" s="3">
        <f t="shared" si="2"/>
        <v>90000</v>
      </c>
    </row>
    <row r="188" spans="1:8" x14ac:dyDescent="0.25">
      <c r="A188">
        <v>187</v>
      </c>
      <c r="B188" t="s">
        <v>122</v>
      </c>
      <c r="C188">
        <v>772</v>
      </c>
      <c r="D188">
        <v>1</v>
      </c>
      <c r="E188" t="s">
        <v>30</v>
      </c>
      <c r="F188" s="1">
        <v>45116</v>
      </c>
      <c r="G188" s="2">
        <v>5000</v>
      </c>
      <c r="H188" s="3">
        <f t="shared" si="2"/>
        <v>5000</v>
      </c>
    </row>
    <row r="189" spans="1:8" x14ac:dyDescent="0.25">
      <c r="A189">
        <v>188</v>
      </c>
      <c r="B189" t="s">
        <v>127</v>
      </c>
      <c r="C189">
        <v>579</v>
      </c>
      <c r="D189">
        <v>20</v>
      </c>
      <c r="E189" t="s">
        <v>30</v>
      </c>
      <c r="F189" s="1">
        <v>44720</v>
      </c>
      <c r="G189" s="2">
        <v>4500</v>
      </c>
      <c r="H189" s="3">
        <f t="shared" si="2"/>
        <v>90000</v>
      </c>
    </row>
    <row r="190" spans="1:8" x14ac:dyDescent="0.25">
      <c r="A190">
        <v>189</v>
      </c>
      <c r="B190" t="s">
        <v>124</v>
      </c>
      <c r="C190">
        <v>889</v>
      </c>
      <c r="D190">
        <v>1</v>
      </c>
      <c r="E190" t="s">
        <v>29</v>
      </c>
      <c r="F190" s="1">
        <v>44818</v>
      </c>
      <c r="G190" s="2">
        <v>2500</v>
      </c>
      <c r="H190" s="3">
        <f t="shared" si="2"/>
        <v>2500</v>
      </c>
    </row>
    <row r="191" spans="1:8" x14ac:dyDescent="0.25">
      <c r="A191">
        <v>190</v>
      </c>
      <c r="B191" t="s">
        <v>125</v>
      </c>
      <c r="C191">
        <v>275</v>
      </c>
      <c r="D191">
        <v>10</v>
      </c>
      <c r="E191" t="s">
        <v>27</v>
      </c>
      <c r="F191" s="1">
        <v>44867</v>
      </c>
      <c r="G191" s="2">
        <v>15000</v>
      </c>
      <c r="H191" s="3">
        <f t="shared" si="2"/>
        <v>150000</v>
      </c>
    </row>
    <row r="192" spans="1:8" x14ac:dyDescent="0.25">
      <c r="A192">
        <v>191</v>
      </c>
      <c r="B192" t="s">
        <v>125</v>
      </c>
      <c r="C192">
        <v>275</v>
      </c>
      <c r="D192">
        <v>30</v>
      </c>
      <c r="E192" t="s">
        <v>27</v>
      </c>
      <c r="F192" s="1">
        <v>44673</v>
      </c>
      <c r="G192" s="2">
        <v>15000</v>
      </c>
      <c r="H192" s="3">
        <f t="shared" si="2"/>
        <v>450000</v>
      </c>
    </row>
    <row r="193" spans="1:8" x14ac:dyDescent="0.25">
      <c r="A193">
        <v>192</v>
      </c>
      <c r="B193" t="s">
        <v>123</v>
      </c>
      <c r="C193">
        <v>171</v>
      </c>
      <c r="D193">
        <v>30</v>
      </c>
      <c r="E193" t="s">
        <v>27</v>
      </c>
      <c r="F193" s="1">
        <v>44591</v>
      </c>
      <c r="G193" s="2">
        <v>3000</v>
      </c>
      <c r="H193" s="3">
        <f t="shared" si="2"/>
        <v>90000</v>
      </c>
    </row>
    <row r="194" spans="1:8" x14ac:dyDescent="0.25">
      <c r="A194">
        <v>193</v>
      </c>
      <c r="B194" t="s">
        <v>122</v>
      </c>
      <c r="C194">
        <v>772</v>
      </c>
      <c r="D194">
        <v>2</v>
      </c>
      <c r="E194" t="s">
        <v>30</v>
      </c>
      <c r="F194" s="1">
        <v>45014</v>
      </c>
      <c r="G194" s="2">
        <v>5000</v>
      </c>
      <c r="H194" s="3">
        <f t="shared" si="2"/>
        <v>10000</v>
      </c>
    </row>
    <row r="195" spans="1:8" x14ac:dyDescent="0.25">
      <c r="A195">
        <v>194</v>
      </c>
      <c r="B195" t="s">
        <v>124</v>
      </c>
      <c r="C195">
        <v>889</v>
      </c>
      <c r="D195">
        <v>10</v>
      </c>
      <c r="E195" t="s">
        <v>30</v>
      </c>
      <c r="F195" s="1">
        <v>44958</v>
      </c>
      <c r="G195" s="2">
        <v>2500</v>
      </c>
      <c r="H195" s="3">
        <f t="shared" ref="H195:H201" si="3">G195*D195</f>
        <v>25000</v>
      </c>
    </row>
    <row r="196" spans="1:8" x14ac:dyDescent="0.25">
      <c r="A196">
        <v>195</v>
      </c>
      <c r="B196" t="s">
        <v>124</v>
      </c>
      <c r="C196">
        <v>889</v>
      </c>
      <c r="D196">
        <v>30</v>
      </c>
      <c r="E196" t="s">
        <v>27</v>
      </c>
      <c r="F196" s="1">
        <v>44706</v>
      </c>
      <c r="G196" s="2">
        <v>2500</v>
      </c>
      <c r="H196" s="3">
        <f t="shared" si="3"/>
        <v>75000</v>
      </c>
    </row>
    <row r="197" spans="1:8" x14ac:dyDescent="0.25">
      <c r="A197">
        <v>196</v>
      </c>
      <c r="B197" t="s">
        <v>122</v>
      </c>
      <c r="C197">
        <v>772</v>
      </c>
      <c r="D197">
        <v>30</v>
      </c>
      <c r="E197" t="s">
        <v>29</v>
      </c>
      <c r="F197" s="1">
        <v>44706</v>
      </c>
      <c r="G197" s="2">
        <v>5000</v>
      </c>
      <c r="H197" s="3">
        <f t="shared" si="3"/>
        <v>150000</v>
      </c>
    </row>
    <row r="198" spans="1:8" x14ac:dyDescent="0.25">
      <c r="A198">
        <v>197</v>
      </c>
      <c r="B198" t="s">
        <v>127</v>
      </c>
      <c r="C198">
        <v>579</v>
      </c>
      <c r="D198">
        <v>30</v>
      </c>
      <c r="E198" t="s">
        <v>30</v>
      </c>
      <c r="F198" s="1">
        <v>44818</v>
      </c>
      <c r="G198" s="2">
        <v>4500</v>
      </c>
      <c r="H198" s="3">
        <f t="shared" si="3"/>
        <v>135000</v>
      </c>
    </row>
    <row r="199" spans="1:8" x14ac:dyDescent="0.25">
      <c r="A199">
        <v>198</v>
      </c>
      <c r="B199" t="s">
        <v>124</v>
      </c>
      <c r="C199">
        <v>889</v>
      </c>
      <c r="D199">
        <v>2</v>
      </c>
      <c r="E199" t="s">
        <v>30</v>
      </c>
      <c r="F199" s="1">
        <v>44818</v>
      </c>
      <c r="G199" s="2">
        <v>2500</v>
      </c>
      <c r="H199" s="3">
        <f t="shared" si="3"/>
        <v>5000</v>
      </c>
    </row>
    <row r="200" spans="1:8" x14ac:dyDescent="0.25">
      <c r="A200">
        <v>199</v>
      </c>
      <c r="B200" t="s">
        <v>122</v>
      </c>
      <c r="C200">
        <v>772</v>
      </c>
      <c r="D200">
        <v>30</v>
      </c>
      <c r="E200" t="s">
        <v>30</v>
      </c>
      <c r="F200" s="1">
        <v>44591</v>
      </c>
      <c r="G200" s="2">
        <v>5000</v>
      </c>
      <c r="H200" s="3">
        <f t="shared" si="3"/>
        <v>150000</v>
      </c>
    </row>
    <row r="201" spans="1:8" x14ac:dyDescent="0.25">
      <c r="A201">
        <v>200</v>
      </c>
      <c r="B201" t="s">
        <v>125</v>
      </c>
      <c r="C201">
        <v>275</v>
      </c>
      <c r="D201">
        <v>20</v>
      </c>
      <c r="E201" t="s">
        <v>29</v>
      </c>
      <c r="F201" s="1">
        <v>44892</v>
      </c>
      <c r="G201" s="2">
        <v>15000</v>
      </c>
      <c r="H201" s="3">
        <f t="shared" si="3"/>
        <v>300000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"/>
  <sheetViews>
    <sheetView zoomScale="60" zoomScaleNormal="60" workbookViewId="0">
      <selection activeCell="C85" sqref="C85"/>
    </sheetView>
  </sheetViews>
  <sheetFormatPr defaultRowHeight="15" x14ac:dyDescent="0.25"/>
  <cols>
    <col min="1" max="1" width="26.5703125" bestFit="1" customWidth="1"/>
    <col min="2" max="2" width="29.85546875" bestFit="1" customWidth="1"/>
    <col min="3" max="4" width="30.42578125" bestFit="1" customWidth="1"/>
    <col min="5" max="5" width="29.85546875" bestFit="1" customWidth="1"/>
    <col min="6" max="6" width="30.42578125" bestFit="1" customWidth="1"/>
    <col min="7" max="8" width="11" bestFit="1" customWidth="1"/>
    <col min="9" max="9" width="10" bestFit="1" customWidth="1"/>
    <col min="10" max="11" width="11" bestFit="1" customWidth="1"/>
  </cols>
  <sheetData>
    <row r="1" spans="1:4" ht="15.75" x14ac:dyDescent="0.25">
      <c r="C1" t="s">
        <v>158</v>
      </c>
      <c r="D1" s="11" t="s">
        <v>150</v>
      </c>
    </row>
    <row r="2" spans="1:4" x14ac:dyDescent="0.25">
      <c r="C2">
        <f>GETPIVOTDATA("Quantidade",$A$38)</f>
        <v>1477</v>
      </c>
      <c r="D2" s="2">
        <f>GETPIVOTDATA("Total",$A$3)</f>
        <v>64997900000</v>
      </c>
    </row>
    <row r="3" spans="1:4" x14ac:dyDescent="0.25">
      <c r="A3" s="4" t="s">
        <v>34</v>
      </c>
      <c r="B3" t="s">
        <v>136</v>
      </c>
    </row>
    <row r="4" spans="1:4" x14ac:dyDescent="0.25">
      <c r="A4" s="5" t="s">
        <v>15</v>
      </c>
      <c r="B4" s="3">
        <v>14274000000</v>
      </c>
      <c r="C4" s="15">
        <f>B4/$B$13</f>
        <v>0.21960709499845379</v>
      </c>
    </row>
    <row r="5" spans="1:4" x14ac:dyDescent="0.25">
      <c r="A5" s="5" t="s">
        <v>23</v>
      </c>
      <c r="B5" s="3">
        <v>12166000000</v>
      </c>
      <c r="C5" s="15">
        <f t="shared" ref="C5:C12" si="0">B5/$B$13</f>
        <v>0.18717527797051906</v>
      </c>
    </row>
    <row r="6" spans="1:4" x14ac:dyDescent="0.25">
      <c r="A6" s="5" t="s">
        <v>20</v>
      </c>
      <c r="B6" s="3">
        <v>7632000000</v>
      </c>
      <c r="C6" s="15">
        <f t="shared" si="0"/>
        <v>0.11741917815806356</v>
      </c>
    </row>
    <row r="7" spans="1:4" x14ac:dyDescent="0.25">
      <c r="A7" s="5" t="s">
        <v>18</v>
      </c>
      <c r="B7" s="3">
        <v>6574600000</v>
      </c>
      <c r="C7" s="15">
        <f t="shared" si="0"/>
        <v>0.10115096026179307</v>
      </c>
    </row>
    <row r="8" spans="1:4" x14ac:dyDescent="0.25">
      <c r="A8" s="5" t="s">
        <v>21</v>
      </c>
      <c r="B8" s="3">
        <v>5601800000</v>
      </c>
      <c r="C8" s="15">
        <f t="shared" si="0"/>
        <v>8.6184322878123748E-2</v>
      </c>
    </row>
    <row r="9" spans="1:4" x14ac:dyDescent="0.25">
      <c r="A9" s="5" t="s">
        <v>25</v>
      </c>
      <c r="B9" s="3">
        <v>5194800000</v>
      </c>
      <c r="C9" s="15">
        <f t="shared" si="0"/>
        <v>7.9922582114191384E-2</v>
      </c>
    </row>
    <row r="10" spans="1:4" x14ac:dyDescent="0.25">
      <c r="A10" s="5" t="s">
        <v>13</v>
      </c>
      <c r="B10" s="3">
        <v>5189600000</v>
      </c>
      <c r="C10" s="15">
        <f t="shared" si="0"/>
        <v>7.9842579529492488E-2</v>
      </c>
    </row>
    <row r="11" spans="1:4" x14ac:dyDescent="0.25">
      <c r="A11" s="5" t="s">
        <v>8</v>
      </c>
      <c r="B11" s="3">
        <v>5087600000</v>
      </c>
      <c r="C11" s="15">
        <f t="shared" si="0"/>
        <v>7.8273298060398872E-2</v>
      </c>
    </row>
    <row r="12" spans="1:4" x14ac:dyDescent="0.25">
      <c r="A12" s="5" t="s">
        <v>11</v>
      </c>
      <c r="B12" s="3">
        <v>3277500000</v>
      </c>
      <c r="C12" s="15">
        <f t="shared" si="0"/>
        <v>5.0424706028964011E-2</v>
      </c>
    </row>
    <row r="13" spans="1:4" x14ac:dyDescent="0.25">
      <c r="A13" s="5" t="s">
        <v>35</v>
      </c>
      <c r="B13" s="3">
        <v>64997900000</v>
      </c>
    </row>
    <row r="17" spans="1:2" x14ac:dyDescent="0.25">
      <c r="A17" s="5"/>
    </row>
    <row r="18" spans="1:2" x14ac:dyDescent="0.25">
      <c r="A18" s="4" t="s">
        <v>34</v>
      </c>
      <c r="B18" t="s">
        <v>36</v>
      </c>
    </row>
    <row r="19" spans="1:2" x14ac:dyDescent="0.25">
      <c r="A19" s="5" t="s">
        <v>28</v>
      </c>
      <c r="B19">
        <v>153</v>
      </c>
    </row>
    <row r="20" spans="1:2" x14ac:dyDescent="0.25">
      <c r="A20" s="5" t="s">
        <v>29</v>
      </c>
      <c r="B20">
        <v>304</v>
      </c>
    </row>
    <row r="21" spans="1:2" x14ac:dyDescent="0.25">
      <c r="A21" s="5" t="s">
        <v>30</v>
      </c>
      <c r="B21">
        <v>492</v>
      </c>
    </row>
    <row r="22" spans="1:2" x14ac:dyDescent="0.25">
      <c r="A22" s="5" t="s">
        <v>27</v>
      </c>
      <c r="B22">
        <v>528</v>
      </c>
    </row>
    <row r="23" spans="1:2" x14ac:dyDescent="0.25">
      <c r="A23" s="5" t="s">
        <v>35</v>
      </c>
      <c r="B23">
        <v>1477</v>
      </c>
    </row>
    <row r="28" spans="1:2" x14ac:dyDescent="0.25">
      <c r="A28" s="4" t="s">
        <v>34</v>
      </c>
      <c r="B28" t="s">
        <v>136</v>
      </c>
    </row>
    <row r="29" spans="1:2" x14ac:dyDescent="0.25">
      <c r="A29" s="5" t="s">
        <v>28</v>
      </c>
      <c r="B29" s="3">
        <v>7297450000</v>
      </c>
    </row>
    <row r="30" spans="1:2" x14ac:dyDescent="0.25">
      <c r="A30" s="5" t="s">
        <v>29</v>
      </c>
      <c r="B30" s="3">
        <v>12058450000</v>
      </c>
    </row>
    <row r="31" spans="1:2" x14ac:dyDescent="0.25">
      <c r="A31" s="5" t="s">
        <v>30</v>
      </c>
      <c r="B31" s="3">
        <v>22246550000</v>
      </c>
    </row>
    <row r="32" spans="1:2" x14ac:dyDescent="0.25">
      <c r="A32" s="5" t="s">
        <v>27</v>
      </c>
      <c r="B32" s="3">
        <v>23395450000</v>
      </c>
    </row>
    <row r="33" spans="1:4" x14ac:dyDescent="0.25">
      <c r="A33" s="5" t="s">
        <v>35</v>
      </c>
      <c r="B33" s="3">
        <v>64997900000</v>
      </c>
    </row>
    <row r="38" spans="1:4" x14ac:dyDescent="0.25">
      <c r="A38" s="4" t="s">
        <v>34</v>
      </c>
      <c r="B38" t="s">
        <v>36</v>
      </c>
    </row>
    <row r="39" spans="1:4" x14ac:dyDescent="0.25">
      <c r="A39" s="5" t="s">
        <v>31</v>
      </c>
      <c r="B39">
        <v>859</v>
      </c>
    </row>
    <row r="40" spans="1:4" x14ac:dyDescent="0.25">
      <c r="A40" s="5" t="s">
        <v>32</v>
      </c>
      <c r="B40">
        <v>525</v>
      </c>
    </row>
    <row r="41" spans="1:4" x14ac:dyDescent="0.25">
      <c r="A41" s="5" t="s">
        <v>17</v>
      </c>
      <c r="B41">
        <v>48</v>
      </c>
    </row>
    <row r="42" spans="1:4" x14ac:dyDescent="0.25">
      <c r="A42" s="5" t="s">
        <v>10</v>
      </c>
      <c r="B42">
        <v>45</v>
      </c>
    </row>
    <row r="43" spans="1:4" x14ac:dyDescent="0.25">
      <c r="A43" s="5" t="s">
        <v>35</v>
      </c>
      <c r="B43">
        <v>1477</v>
      </c>
      <c r="C43">
        <f>GETPIVOTDATA("Quantidade",$A$38)</f>
        <v>1477</v>
      </c>
    </row>
    <row r="47" spans="1:4" x14ac:dyDescent="0.25">
      <c r="A47" s="4" t="s">
        <v>136</v>
      </c>
      <c r="B47" s="4" t="s">
        <v>149</v>
      </c>
    </row>
    <row r="48" spans="1:4" x14ac:dyDescent="0.25">
      <c r="A48" s="4" t="s">
        <v>34</v>
      </c>
      <c r="B48" t="s">
        <v>137</v>
      </c>
      <c r="C48" t="s">
        <v>142</v>
      </c>
      <c r="D48" t="s">
        <v>35</v>
      </c>
    </row>
    <row r="49" spans="1:4" x14ac:dyDescent="0.25">
      <c r="A49" s="5" t="s">
        <v>138</v>
      </c>
      <c r="B49" s="3">
        <v>4200350000</v>
      </c>
      <c r="C49" s="3">
        <v>11843600000</v>
      </c>
      <c r="D49" s="3">
        <v>16043950000</v>
      </c>
    </row>
    <row r="50" spans="1:4" x14ac:dyDescent="0.25">
      <c r="A50" s="5" t="s">
        <v>139</v>
      </c>
      <c r="B50" s="3">
        <v>13464950000</v>
      </c>
      <c r="C50" s="3"/>
      <c r="D50" s="3">
        <v>13464950000</v>
      </c>
    </row>
    <row r="51" spans="1:4" x14ac:dyDescent="0.25">
      <c r="A51" s="5" t="s">
        <v>140</v>
      </c>
      <c r="B51" s="3">
        <v>14556950000</v>
      </c>
      <c r="C51" s="3">
        <v>10644400000</v>
      </c>
      <c r="D51" s="3">
        <v>25201350000</v>
      </c>
    </row>
    <row r="52" spans="1:4" x14ac:dyDescent="0.25">
      <c r="A52" s="5" t="s">
        <v>141</v>
      </c>
      <c r="B52" s="3">
        <v>4884700000</v>
      </c>
      <c r="C52" s="3">
        <v>5402950000</v>
      </c>
      <c r="D52" s="3">
        <v>10287650000</v>
      </c>
    </row>
    <row r="53" spans="1:4" x14ac:dyDescent="0.25">
      <c r="A53" s="5" t="s">
        <v>35</v>
      </c>
      <c r="B53" s="3">
        <v>37106950000</v>
      </c>
      <c r="C53" s="3">
        <v>27890950000</v>
      </c>
      <c r="D53" s="3">
        <v>64997900000</v>
      </c>
    </row>
    <row r="60" spans="1:4" x14ac:dyDescent="0.25">
      <c r="A60" s="4" t="s">
        <v>34</v>
      </c>
      <c r="B60" t="s">
        <v>36</v>
      </c>
      <c r="C60" t="s">
        <v>37</v>
      </c>
    </row>
    <row r="61" spans="1:4" x14ac:dyDescent="0.25">
      <c r="A61" s="5" t="s">
        <v>137</v>
      </c>
      <c r="B61" s="8">
        <v>850</v>
      </c>
      <c r="C61" s="8">
        <v>5864700000</v>
      </c>
    </row>
    <row r="62" spans="1:4" x14ac:dyDescent="0.25">
      <c r="A62" s="7" t="s">
        <v>138</v>
      </c>
      <c r="B62" s="8">
        <v>94</v>
      </c>
      <c r="C62" s="8">
        <v>761850000</v>
      </c>
    </row>
    <row r="63" spans="1:4" x14ac:dyDescent="0.25">
      <c r="A63" s="7" t="s">
        <v>139</v>
      </c>
      <c r="B63" s="8">
        <v>322</v>
      </c>
      <c r="C63" s="8">
        <v>2158050000</v>
      </c>
    </row>
    <row r="64" spans="1:4" x14ac:dyDescent="0.25">
      <c r="A64" s="7" t="s">
        <v>140</v>
      </c>
      <c r="B64" s="8">
        <v>321</v>
      </c>
      <c r="C64" s="8">
        <v>1802100000</v>
      </c>
    </row>
    <row r="65" spans="1:3" x14ac:dyDescent="0.25">
      <c r="A65" s="7" t="s">
        <v>141</v>
      </c>
      <c r="B65" s="8">
        <v>113</v>
      </c>
      <c r="C65" s="8">
        <v>1142700000</v>
      </c>
    </row>
    <row r="66" spans="1:3" x14ac:dyDescent="0.25">
      <c r="A66" s="5" t="s">
        <v>142</v>
      </c>
      <c r="B66" s="8">
        <v>627</v>
      </c>
      <c r="C66" s="8">
        <v>3047100000</v>
      </c>
    </row>
    <row r="67" spans="1:3" x14ac:dyDescent="0.25">
      <c r="A67" s="7" t="s">
        <v>138</v>
      </c>
      <c r="B67" s="8">
        <v>305</v>
      </c>
      <c r="C67" s="8">
        <v>1463700000</v>
      </c>
    </row>
    <row r="68" spans="1:3" x14ac:dyDescent="0.25">
      <c r="A68" s="7" t="s">
        <v>140</v>
      </c>
      <c r="B68" s="8">
        <v>218</v>
      </c>
      <c r="C68" s="8">
        <v>1187650000</v>
      </c>
    </row>
    <row r="69" spans="1:3" x14ac:dyDescent="0.25">
      <c r="A69" s="7" t="s">
        <v>141</v>
      </c>
      <c r="B69" s="8">
        <v>104</v>
      </c>
      <c r="C69" s="8">
        <v>395750000</v>
      </c>
    </row>
    <row r="70" spans="1:3" x14ac:dyDescent="0.25">
      <c r="A70" s="5" t="s">
        <v>35</v>
      </c>
      <c r="B70" s="8">
        <v>1477</v>
      </c>
      <c r="C70" s="8">
        <v>8911800000</v>
      </c>
    </row>
    <row r="80" spans="1:3" x14ac:dyDescent="0.25">
      <c r="A80" s="4" t="s">
        <v>34</v>
      </c>
      <c r="B80" t="s">
        <v>136</v>
      </c>
    </row>
    <row r="81" spans="1:2" x14ac:dyDescent="0.25">
      <c r="A81" s="5" t="s">
        <v>17</v>
      </c>
      <c r="B81" s="3">
        <v>2153550000</v>
      </c>
    </row>
    <row r="82" spans="1:2" x14ac:dyDescent="0.25">
      <c r="A82" s="5" t="s">
        <v>31</v>
      </c>
      <c r="B82" s="3">
        <v>37389150000</v>
      </c>
    </row>
    <row r="83" spans="1:2" x14ac:dyDescent="0.25">
      <c r="A83" s="5" t="s">
        <v>32</v>
      </c>
      <c r="B83" s="3">
        <v>23486850000</v>
      </c>
    </row>
    <row r="84" spans="1:2" x14ac:dyDescent="0.25">
      <c r="A84" s="5" t="s">
        <v>10</v>
      </c>
      <c r="B84" s="3">
        <v>1968350000</v>
      </c>
    </row>
    <row r="85" spans="1:2" x14ac:dyDescent="0.25">
      <c r="A85" s="5" t="s">
        <v>35</v>
      </c>
      <c r="B85" s="3">
        <v>64997900000</v>
      </c>
    </row>
  </sheetData>
  <pageMargins left="0.511811024" right="0.511811024" top="0.78740157499999996" bottom="0.78740157499999996" header="0.31496062000000002" footer="0.31496062000000002"/>
  <pageSetup paperSize="9" orientation="portrait" r:id="rId8"/>
  <drawing r:id="rId9"/>
  <extLst>
    <ext xmlns:x14="http://schemas.microsoft.com/office/spreadsheetml/2009/9/main" uri="{A8765BA9-456A-4dab-B4F3-ACF838C121DE}">
      <x14:slicerList>
        <x14:slicer r:id="rId10"/>
      </x14:slicerList>
    </ext>
    <ext xmlns:x15="http://schemas.microsoft.com/office/spreadsheetml/2010/11/main" uri="{7E03D99C-DC04-49d9-9315-930204A7B6E9}">
      <x15:timelineRefs>
        <x15:timelineRef r:id="rId11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25202-8B39-4E29-AE4A-2D47330E3619}">
  <dimension ref="A1:J203"/>
  <sheetViews>
    <sheetView topLeftCell="A158" workbookViewId="0">
      <selection activeCell="I202" sqref="I202"/>
    </sheetView>
  </sheetViews>
  <sheetFormatPr defaultRowHeight="15" x14ac:dyDescent="0.25"/>
  <cols>
    <col min="1" max="1" width="5" bestFit="1" customWidth="1"/>
    <col min="2" max="2" width="15.7109375" bestFit="1" customWidth="1"/>
    <col min="3" max="3" width="9.42578125" bestFit="1" customWidth="1"/>
    <col min="4" max="4" width="13.7109375" bestFit="1" customWidth="1"/>
    <col min="5" max="5" width="13.28515625" bestFit="1" customWidth="1"/>
    <col min="6" max="6" width="19.42578125" bestFit="1" customWidth="1"/>
    <col min="7" max="7" width="10.7109375" bestFit="1" customWidth="1"/>
    <col min="8" max="8" width="16.85546875" style="2" bestFit="1" customWidth="1"/>
    <col min="9" max="9" width="15.5703125" customWidth="1"/>
    <col min="10" max="10" width="15.85546875" bestFit="1" customWidth="1"/>
  </cols>
  <sheetData>
    <row r="1" spans="1:10" x14ac:dyDescent="0.25">
      <c r="A1" t="s">
        <v>0</v>
      </c>
      <c r="B1" t="s">
        <v>38</v>
      </c>
      <c r="C1" t="s">
        <v>2</v>
      </c>
      <c r="D1" t="s">
        <v>3</v>
      </c>
      <c r="E1" t="s">
        <v>4</v>
      </c>
      <c r="F1" t="s">
        <v>39</v>
      </c>
      <c r="G1" t="s">
        <v>6</v>
      </c>
      <c r="H1" s="2" t="s">
        <v>7</v>
      </c>
      <c r="I1" t="s">
        <v>40</v>
      </c>
      <c r="J1" t="s">
        <v>145</v>
      </c>
    </row>
    <row r="2" spans="1:10" x14ac:dyDescent="0.25">
      <c r="A2">
        <v>1</v>
      </c>
      <c r="B2" t="s">
        <v>41</v>
      </c>
      <c r="C2">
        <v>134</v>
      </c>
      <c r="D2">
        <v>2</v>
      </c>
      <c r="E2" t="s">
        <v>28</v>
      </c>
      <c r="F2" t="s">
        <v>42</v>
      </c>
      <c r="G2" s="1">
        <v>44706</v>
      </c>
      <c r="H2" s="2">
        <v>10200</v>
      </c>
      <c r="I2" s="3">
        <f>H2/D2</f>
        <v>5100</v>
      </c>
      <c r="J2" s="3">
        <f>Tabela1[[#This Row],[Valor]]*0.3</f>
        <v>3060</v>
      </c>
    </row>
    <row r="3" spans="1:10" x14ac:dyDescent="0.25">
      <c r="A3">
        <v>2</v>
      </c>
      <c r="B3" t="s">
        <v>43</v>
      </c>
      <c r="C3">
        <v>875</v>
      </c>
      <c r="D3">
        <v>20</v>
      </c>
      <c r="E3" t="s">
        <v>29</v>
      </c>
      <c r="F3" t="s">
        <v>44</v>
      </c>
      <c r="G3" s="1">
        <v>45014</v>
      </c>
      <c r="H3" s="2">
        <v>1970</v>
      </c>
      <c r="I3" s="3">
        <f t="shared" ref="I3:I66" si="0">H3/D3</f>
        <v>98.5</v>
      </c>
      <c r="J3" s="3">
        <f>Tabela1[[#This Row],[Valor]]*0.3</f>
        <v>591</v>
      </c>
    </row>
    <row r="4" spans="1:10" x14ac:dyDescent="0.25">
      <c r="A4">
        <v>3</v>
      </c>
      <c r="B4" t="s">
        <v>45</v>
      </c>
      <c r="C4">
        <v>102</v>
      </c>
      <c r="D4">
        <v>30</v>
      </c>
      <c r="E4" t="s">
        <v>28</v>
      </c>
      <c r="F4" t="s">
        <v>46</v>
      </c>
      <c r="G4" s="1">
        <v>44787</v>
      </c>
      <c r="H4" s="2">
        <v>24000</v>
      </c>
      <c r="I4" s="3">
        <f t="shared" si="0"/>
        <v>800</v>
      </c>
      <c r="J4" s="3">
        <f>Tabela1[[#This Row],[Valor]]*0.3</f>
        <v>7200</v>
      </c>
    </row>
    <row r="5" spans="1:10" x14ac:dyDescent="0.25">
      <c r="A5">
        <v>4</v>
      </c>
      <c r="B5" t="s">
        <v>47</v>
      </c>
      <c r="C5">
        <v>456</v>
      </c>
      <c r="D5">
        <v>1</v>
      </c>
      <c r="E5" t="s">
        <v>27</v>
      </c>
      <c r="F5" t="s">
        <v>48</v>
      </c>
      <c r="G5" s="1">
        <v>45276</v>
      </c>
      <c r="H5" s="2">
        <v>300500</v>
      </c>
      <c r="I5" s="3">
        <f t="shared" si="0"/>
        <v>300500</v>
      </c>
      <c r="J5" s="3">
        <f>Tabela1[[#This Row],[Valor]]*0.3</f>
        <v>90150</v>
      </c>
    </row>
    <row r="6" spans="1:10" x14ac:dyDescent="0.25">
      <c r="A6">
        <v>5</v>
      </c>
      <c r="B6" t="s">
        <v>49</v>
      </c>
      <c r="C6">
        <v>217</v>
      </c>
      <c r="D6">
        <v>30</v>
      </c>
      <c r="E6" t="s">
        <v>29</v>
      </c>
      <c r="F6" t="s">
        <v>50</v>
      </c>
      <c r="G6" s="1">
        <v>45116</v>
      </c>
      <c r="H6" s="2">
        <v>2170</v>
      </c>
      <c r="I6" s="3">
        <f t="shared" si="0"/>
        <v>72.333333333333329</v>
      </c>
      <c r="J6" s="3">
        <f>Tabela1[[#This Row],[Valor]]*0.3</f>
        <v>651</v>
      </c>
    </row>
    <row r="7" spans="1:10" x14ac:dyDescent="0.25">
      <c r="A7">
        <v>6</v>
      </c>
      <c r="B7" t="s">
        <v>43</v>
      </c>
      <c r="C7">
        <v>875</v>
      </c>
      <c r="D7">
        <v>30</v>
      </c>
      <c r="E7" t="s">
        <v>28</v>
      </c>
      <c r="F7" t="s">
        <v>44</v>
      </c>
      <c r="G7" s="1">
        <v>44706</v>
      </c>
      <c r="H7" s="2">
        <v>1970</v>
      </c>
      <c r="I7" s="3">
        <f t="shared" si="0"/>
        <v>65.666666666666671</v>
      </c>
      <c r="J7" s="3">
        <f>Tabela1[[#This Row],[Valor]]*0.3</f>
        <v>591</v>
      </c>
    </row>
    <row r="8" spans="1:10" x14ac:dyDescent="0.25">
      <c r="A8">
        <v>7</v>
      </c>
      <c r="B8" t="s">
        <v>43</v>
      </c>
      <c r="C8">
        <v>875</v>
      </c>
      <c r="D8">
        <v>10</v>
      </c>
      <c r="E8" t="s">
        <v>28</v>
      </c>
      <c r="F8" t="s">
        <v>44</v>
      </c>
      <c r="G8" s="1">
        <v>45006</v>
      </c>
      <c r="H8" s="2">
        <v>1970</v>
      </c>
      <c r="I8" s="3">
        <f t="shared" si="0"/>
        <v>197</v>
      </c>
      <c r="J8" s="3">
        <f>Tabela1[[#This Row],[Valor]]*0.3</f>
        <v>591</v>
      </c>
    </row>
    <row r="9" spans="1:10" x14ac:dyDescent="0.25">
      <c r="A9">
        <v>8</v>
      </c>
      <c r="B9" t="s">
        <v>41</v>
      </c>
      <c r="C9">
        <v>134</v>
      </c>
      <c r="D9">
        <v>1</v>
      </c>
      <c r="E9" t="s">
        <v>30</v>
      </c>
      <c r="F9" t="s">
        <v>42</v>
      </c>
      <c r="G9" s="1">
        <v>44720</v>
      </c>
      <c r="H9" s="2">
        <v>10200</v>
      </c>
      <c r="I9" s="3">
        <f t="shared" si="0"/>
        <v>10200</v>
      </c>
      <c r="J9" s="3">
        <f>Tabela1[[#This Row],[Valor]]*0.3</f>
        <v>3060</v>
      </c>
    </row>
    <row r="10" spans="1:10" x14ac:dyDescent="0.25">
      <c r="A10">
        <v>9</v>
      </c>
      <c r="B10" t="s">
        <v>47</v>
      </c>
      <c r="C10">
        <v>456</v>
      </c>
      <c r="D10">
        <v>10</v>
      </c>
      <c r="E10" t="s">
        <v>30</v>
      </c>
      <c r="F10" t="s">
        <v>48</v>
      </c>
      <c r="G10" s="1">
        <v>44591</v>
      </c>
      <c r="H10" s="2">
        <v>300500</v>
      </c>
      <c r="I10" s="3">
        <f t="shared" si="0"/>
        <v>30050</v>
      </c>
      <c r="J10" s="3">
        <f>Tabela1[[#This Row],[Valor]]*0.3</f>
        <v>90150</v>
      </c>
    </row>
    <row r="11" spans="1:10" x14ac:dyDescent="0.25">
      <c r="A11">
        <v>10</v>
      </c>
      <c r="B11" t="s">
        <v>47</v>
      </c>
      <c r="C11">
        <v>456</v>
      </c>
      <c r="D11">
        <v>10</v>
      </c>
      <c r="E11" t="s">
        <v>30</v>
      </c>
      <c r="F11" t="s">
        <v>48</v>
      </c>
      <c r="G11" s="1">
        <v>44720</v>
      </c>
      <c r="H11" s="2">
        <v>300500</v>
      </c>
      <c r="I11" s="3">
        <f t="shared" si="0"/>
        <v>30050</v>
      </c>
      <c r="J11" s="3">
        <f>Tabela1[[#This Row],[Valor]]*0.3</f>
        <v>90150</v>
      </c>
    </row>
    <row r="12" spans="1:10" x14ac:dyDescent="0.25">
      <c r="A12">
        <v>11</v>
      </c>
      <c r="B12" t="s">
        <v>45</v>
      </c>
      <c r="C12">
        <v>102</v>
      </c>
      <c r="D12">
        <v>30</v>
      </c>
      <c r="E12" t="s">
        <v>30</v>
      </c>
      <c r="F12" t="s">
        <v>46</v>
      </c>
      <c r="G12" s="1">
        <v>44796</v>
      </c>
      <c r="H12" s="2">
        <v>24000</v>
      </c>
      <c r="I12" s="3">
        <f t="shared" si="0"/>
        <v>800</v>
      </c>
      <c r="J12" s="3">
        <f>Tabela1[[#This Row],[Valor]]*0.3</f>
        <v>7200</v>
      </c>
    </row>
    <row r="13" spans="1:10" x14ac:dyDescent="0.25">
      <c r="A13">
        <v>12</v>
      </c>
      <c r="B13" t="s">
        <v>41</v>
      </c>
      <c r="C13">
        <v>134</v>
      </c>
      <c r="D13">
        <v>1</v>
      </c>
      <c r="E13" t="s">
        <v>30</v>
      </c>
      <c r="F13" t="s">
        <v>42</v>
      </c>
      <c r="G13" s="1">
        <v>44720</v>
      </c>
      <c r="H13" s="2">
        <v>10200</v>
      </c>
      <c r="I13" s="3">
        <f t="shared" si="0"/>
        <v>10200</v>
      </c>
      <c r="J13" s="3">
        <f>Tabela1[[#This Row],[Valor]]*0.3</f>
        <v>3060</v>
      </c>
    </row>
    <row r="14" spans="1:10" x14ac:dyDescent="0.25">
      <c r="A14">
        <v>13</v>
      </c>
      <c r="B14" t="s">
        <v>51</v>
      </c>
      <c r="C14">
        <v>476</v>
      </c>
      <c r="D14">
        <v>30</v>
      </c>
      <c r="E14" t="s">
        <v>28</v>
      </c>
      <c r="F14" t="s">
        <v>52</v>
      </c>
      <c r="G14" s="1">
        <v>44623</v>
      </c>
      <c r="H14" s="2">
        <v>20550</v>
      </c>
      <c r="I14" s="3">
        <f t="shared" si="0"/>
        <v>685</v>
      </c>
      <c r="J14" s="3">
        <f>Tabela1[[#This Row],[Valor]]*0.3</f>
        <v>6165</v>
      </c>
    </row>
    <row r="15" spans="1:10" x14ac:dyDescent="0.25">
      <c r="A15">
        <v>14</v>
      </c>
      <c r="B15" t="s">
        <v>53</v>
      </c>
      <c r="C15">
        <v>579</v>
      </c>
      <c r="D15">
        <v>20</v>
      </c>
      <c r="E15" t="s">
        <v>28</v>
      </c>
      <c r="F15" t="s">
        <v>54</v>
      </c>
      <c r="G15" s="1">
        <v>44818</v>
      </c>
      <c r="H15" s="2">
        <v>80050</v>
      </c>
      <c r="I15" s="3">
        <f t="shared" si="0"/>
        <v>4002.5</v>
      </c>
      <c r="J15" s="3">
        <f>Tabela1[[#This Row],[Valor]]*0.3</f>
        <v>24015</v>
      </c>
    </row>
    <row r="16" spans="1:10" x14ac:dyDescent="0.25">
      <c r="A16">
        <v>15</v>
      </c>
      <c r="B16" t="s">
        <v>41</v>
      </c>
      <c r="C16">
        <v>134</v>
      </c>
      <c r="D16">
        <v>20</v>
      </c>
      <c r="E16" t="s">
        <v>29</v>
      </c>
      <c r="F16" t="s">
        <v>42</v>
      </c>
      <c r="G16" s="1">
        <v>45276</v>
      </c>
      <c r="H16" s="2">
        <v>10200</v>
      </c>
      <c r="I16" s="3">
        <f t="shared" si="0"/>
        <v>510</v>
      </c>
      <c r="J16" s="3">
        <f>Tabela1[[#This Row],[Valor]]*0.3</f>
        <v>3060</v>
      </c>
    </row>
    <row r="17" spans="1:10" x14ac:dyDescent="0.25">
      <c r="A17">
        <v>16</v>
      </c>
      <c r="B17" t="s">
        <v>53</v>
      </c>
      <c r="C17">
        <v>579</v>
      </c>
      <c r="D17">
        <v>1</v>
      </c>
      <c r="E17" t="s">
        <v>30</v>
      </c>
      <c r="F17" t="s">
        <v>54</v>
      </c>
      <c r="G17" s="1">
        <v>45117</v>
      </c>
      <c r="H17" s="2">
        <v>80050</v>
      </c>
      <c r="I17" s="3">
        <f t="shared" si="0"/>
        <v>80050</v>
      </c>
      <c r="J17" s="3">
        <f>Tabela1[[#This Row],[Valor]]*0.3</f>
        <v>24015</v>
      </c>
    </row>
    <row r="18" spans="1:10" x14ac:dyDescent="0.25">
      <c r="A18">
        <v>17</v>
      </c>
      <c r="B18" t="s">
        <v>53</v>
      </c>
      <c r="C18">
        <v>579</v>
      </c>
      <c r="D18">
        <v>20</v>
      </c>
      <c r="E18" t="s">
        <v>30</v>
      </c>
      <c r="F18" t="s">
        <v>54</v>
      </c>
      <c r="G18" s="1">
        <v>44706</v>
      </c>
      <c r="H18" s="2">
        <v>80050</v>
      </c>
      <c r="I18" s="3">
        <f t="shared" si="0"/>
        <v>4002.5</v>
      </c>
      <c r="J18" s="3">
        <f>Tabela1[[#This Row],[Valor]]*0.3</f>
        <v>24015</v>
      </c>
    </row>
    <row r="19" spans="1:10" x14ac:dyDescent="0.25">
      <c r="A19">
        <v>18</v>
      </c>
      <c r="B19" t="s">
        <v>45</v>
      </c>
      <c r="C19">
        <v>102</v>
      </c>
      <c r="D19">
        <v>10</v>
      </c>
      <c r="E19" t="s">
        <v>29</v>
      </c>
      <c r="F19" t="s">
        <v>46</v>
      </c>
      <c r="G19" s="1">
        <v>44958</v>
      </c>
      <c r="H19" s="2">
        <v>24000</v>
      </c>
      <c r="I19" s="3">
        <f t="shared" si="0"/>
        <v>2400</v>
      </c>
      <c r="J19" s="3">
        <f>Tabela1[[#This Row],[Valor]]*0.3</f>
        <v>7200</v>
      </c>
    </row>
    <row r="20" spans="1:10" x14ac:dyDescent="0.25">
      <c r="A20">
        <v>19</v>
      </c>
      <c r="B20" t="s">
        <v>55</v>
      </c>
      <c r="C20">
        <v>147</v>
      </c>
      <c r="D20">
        <v>20</v>
      </c>
      <c r="E20" t="s">
        <v>28</v>
      </c>
      <c r="F20" t="s">
        <v>56</v>
      </c>
      <c r="G20" s="1">
        <v>45116</v>
      </c>
      <c r="H20" s="2">
        <v>2100</v>
      </c>
      <c r="I20" s="3">
        <f t="shared" si="0"/>
        <v>105</v>
      </c>
      <c r="J20" s="3">
        <f>Tabela1[[#This Row],[Valor]]*0.3</f>
        <v>630</v>
      </c>
    </row>
    <row r="21" spans="1:10" x14ac:dyDescent="0.25">
      <c r="A21">
        <v>20</v>
      </c>
      <c r="B21" t="s">
        <v>45</v>
      </c>
      <c r="C21">
        <v>102</v>
      </c>
      <c r="D21">
        <v>20</v>
      </c>
      <c r="E21" t="s">
        <v>27</v>
      </c>
      <c r="F21" t="s">
        <v>46</v>
      </c>
      <c r="G21" s="1">
        <v>45276</v>
      </c>
      <c r="H21" s="2">
        <v>24000</v>
      </c>
      <c r="I21" s="3">
        <f t="shared" si="0"/>
        <v>1200</v>
      </c>
      <c r="J21" s="3">
        <f>Tabela1[[#This Row],[Valor]]*0.3</f>
        <v>7200</v>
      </c>
    </row>
    <row r="22" spans="1:10" x14ac:dyDescent="0.25">
      <c r="A22">
        <v>21</v>
      </c>
      <c r="B22" t="s">
        <v>43</v>
      </c>
      <c r="C22">
        <v>875</v>
      </c>
      <c r="D22">
        <v>30</v>
      </c>
      <c r="E22" t="s">
        <v>28</v>
      </c>
      <c r="F22" t="s">
        <v>44</v>
      </c>
      <c r="G22" s="1">
        <v>45116</v>
      </c>
      <c r="H22" s="2">
        <v>1970</v>
      </c>
      <c r="I22" s="3">
        <f t="shared" si="0"/>
        <v>65.666666666666671</v>
      </c>
      <c r="J22" s="3">
        <f>Tabela1[[#This Row],[Valor]]*0.3</f>
        <v>591</v>
      </c>
    </row>
    <row r="23" spans="1:10" x14ac:dyDescent="0.25">
      <c r="A23">
        <v>22</v>
      </c>
      <c r="B23" t="s">
        <v>51</v>
      </c>
      <c r="C23">
        <v>476</v>
      </c>
      <c r="D23">
        <v>2</v>
      </c>
      <c r="E23" t="s">
        <v>29</v>
      </c>
      <c r="F23" t="s">
        <v>52</v>
      </c>
      <c r="G23" s="1">
        <v>44710</v>
      </c>
      <c r="H23" s="2">
        <v>20550</v>
      </c>
      <c r="I23" s="3">
        <f t="shared" si="0"/>
        <v>10275</v>
      </c>
      <c r="J23" s="3">
        <f>Tabela1[[#This Row],[Valor]]*0.3</f>
        <v>6165</v>
      </c>
    </row>
    <row r="24" spans="1:10" x14ac:dyDescent="0.25">
      <c r="A24">
        <v>23</v>
      </c>
      <c r="B24" t="s">
        <v>53</v>
      </c>
      <c r="C24">
        <v>579</v>
      </c>
      <c r="D24">
        <v>10</v>
      </c>
      <c r="E24" t="s">
        <v>28</v>
      </c>
      <c r="F24" t="s">
        <v>54</v>
      </c>
      <c r="G24" s="1">
        <v>45014</v>
      </c>
      <c r="H24" s="2">
        <v>80050</v>
      </c>
      <c r="I24" s="3">
        <f t="shared" si="0"/>
        <v>8005</v>
      </c>
      <c r="J24" s="3">
        <f>Tabela1[[#This Row],[Valor]]*0.3</f>
        <v>24015</v>
      </c>
    </row>
    <row r="25" spans="1:10" x14ac:dyDescent="0.25">
      <c r="A25">
        <v>24</v>
      </c>
      <c r="B25" t="s">
        <v>53</v>
      </c>
      <c r="C25">
        <v>579</v>
      </c>
      <c r="D25">
        <v>20</v>
      </c>
      <c r="E25" t="s">
        <v>30</v>
      </c>
      <c r="F25" t="s">
        <v>54</v>
      </c>
      <c r="G25" s="1">
        <v>44787</v>
      </c>
      <c r="H25" s="2">
        <v>80050</v>
      </c>
      <c r="I25" s="3">
        <f t="shared" si="0"/>
        <v>4002.5</v>
      </c>
      <c r="J25" s="3">
        <f>Tabela1[[#This Row],[Valor]]*0.3</f>
        <v>24015</v>
      </c>
    </row>
    <row r="26" spans="1:10" x14ac:dyDescent="0.25">
      <c r="A26">
        <v>25</v>
      </c>
      <c r="B26" t="s">
        <v>51</v>
      </c>
      <c r="C26">
        <v>476</v>
      </c>
      <c r="D26">
        <v>1</v>
      </c>
      <c r="E26" t="s">
        <v>30</v>
      </c>
      <c r="F26" t="s">
        <v>52</v>
      </c>
      <c r="G26" s="1">
        <v>45014</v>
      </c>
      <c r="H26" s="2">
        <v>20550</v>
      </c>
      <c r="I26" s="3">
        <f t="shared" si="0"/>
        <v>20550</v>
      </c>
      <c r="J26" s="3">
        <f>Tabela1[[#This Row],[Valor]]*0.3</f>
        <v>6165</v>
      </c>
    </row>
    <row r="27" spans="1:10" x14ac:dyDescent="0.25">
      <c r="A27">
        <v>26</v>
      </c>
      <c r="B27" t="s">
        <v>49</v>
      </c>
      <c r="C27">
        <v>217</v>
      </c>
      <c r="D27">
        <v>30</v>
      </c>
      <c r="E27" t="s">
        <v>29</v>
      </c>
      <c r="F27" t="s">
        <v>50</v>
      </c>
      <c r="G27" s="1">
        <v>44720</v>
      </c>
      <c r="H27" s="2">
        <v>2170</v>
      </c>
      <c r="I27" s="3">
        <f t="shared" si="0"/>
        <v>72.333333333333329</v>
      </c>
      <c r="J27" s="3">
        <f>Tabela1[[#This Row],[Valor]]*0.3</f>
        <v>651</v>
      </c>
    </row>
    <row r="28" spans="1:10" x14ac:dyDescent="0.25">
      <c r="A28">
        <v>27</v>
      </c>
      <c r="B28" t="s">
        <v>47</v>
      </c>
      <c r="C28">
        <v>456</v>
      </c>
      <c r="D28">
        <v>20</v>
      </c>
      <c r="E28" t="s">
        <v>27</v>
      </c>
      <c r="F28" t="s">
        <v>48</v>
      </c>
      <c r="G28" s="1">
        <v>44710</v>
      </c>
      <c r="H28" s="2">
        <v>300500</v>
      </c>
      <c r="I28" s="3">
        <f t="shared" si="0"/>
        <v>15025</v>
      </c>
      <c r="J28" s="3">
        <f>Tabela1[[#This Row],[Valor]]*0.3</f>
        <v>90150</v>
      </c>
    </row>
    <row r="29" spans="1:10" x14ac:dyDescent="0.25">
      <c r="A29">
        <v>28</v>
      </c>
      <c r="B29" t="s">
        <v>51</v>
      </c>
      <c r="C29">
        <v>476</v>
      </c>
      <c r="D29">
        <v>2</v>
      </c>
      <c r="E29" t="s">
        <v>30</v>
      </c>
      <c r="F29" t="s">
        <v>52</v>
      </c>
      <c r="G29" s="1">
        <v>44892</v>
      </c>
      <c r="H29" s="2">
        <v>20550</v>
      </c>
      <c r="I29" s="3">
        <f t="shared" si="0"/>
        <v>10275</v>
      </c>
      <c r="J29" s="3">
        <f>Tabela1[[#This Row],[Valor]]*0.3</f>
        <v>6165</v>
      </c>
    </row>
    <row r="30" spans="1:10" x14ac:dyDescent="0.25">
      <c r="A30">
        <v>29</v>
      </c>
      <c r="B30" t="s">
        <v>43</v>
      </c>
      <c r="C30">
        <v>875</v>
      </c>
      <c r="D30">
        <v>1</v>
      </c>
      <c r="E30" t="s">
        <v>30</v>
      </c>
      <c r="F30" t="s">
        <v>44</v>
      </c>
      <c r="G30" s="1">
        <v>44892</v>
      </c>
      <c r="H30" s="2">
        <v>1970</v>
      </c>
      <c r="I30" s="3">
        <f t="shared" si="0"/>
        <v>1970</v>
      </c>
      <c r="J30" s="3">
        <f>Tabela1[[#This Row],[Valor]]*0.3</f>
        <v>591</v>
      </c>
    </row>
    <row r="31" spans="1:10" x14ac:dyDescent="0.25">
      <c r="A31">
        <v>30</v>
      </c>
      <c r="B31" t="s">
        <v>47</v>
      </c>
      <c r="C31">
        <v>456</v>
      </c>
      <c r="D31">
        <v>1</v>
      </c>
      <c r="E31" t="s">
        <v>28</v>
      </c>
      <c r="F31" t="s">
        <v>48</v>
      </c>
      <c r="G31" s="1">
        <v>44591</v>
      </c>
      <c r="H31" s="2">
        <v>300500</v>
      </c>
      <c r="I31" s="3">
        <f t="shared" si="0"/>
        <v>300500</v>
      </c>
      <c r="J31" s="3">
        <f>Tabela1[[#This Row],[Valor]]*0.3</f>
        <v>90150</v>
      </c>
    </row>
    <row r="32" spans="1:10" x14ac:dyDescent="0.25">
      <c r="A32">
        <v>31</v>
      </c>
      <c r="B32" t="s">
        <v>41</v>
      </c>
      <c r="C32">
        <v>134</v>
      </c>
      <c r="D32">
        <v>1</v>
      </c>
      <c r="E32" t="s">
        <v>27</v>
      </c>
      <c r="F32" t="s">
        <v>42</v>
      </c>
      <c r="G32" s="1">
        <v>44710</v>
      </c>
      <c r="H32" s="2">
        <v>10200</v>
      </c>
      <c r="I32" s="3">
        <f t="shared" si="0"/>
        <v>10200</v>
      </c>
      <c r="J32" s="3">
        <f>Tabela1[[#This Row],[Valor]]*0.3</f>
        <v>3060</v>
      </c>
    </row>
    <row r="33" spans="1:10" x14ac:dyDescent="0.25">
      <c r="A33">
        <v>32</v>
      </c>
      <c r="B33" t="s">
        <v>41</v>
      </c>
      <c r="C33">
        <v>134</v>
      </c>
      <c r="D33">
        <v>1</v>
      </c>
      <c r="E33" t="s">
        <v>29</v>
      </c>
      <c r="F33" t="s">
        <v>42</v>
      </c>
      <c r="G33" s="1">
        <v>44867</v>
      </c>
      <c r="H33" s="2">
        <v>10200</v>
      </c>
      <c r="I33" s="3">
        <f t="shared" si="0"/>
        <v>10200</v>
      </c>
      <c r="J33" s="3">
        <f>Tabela1[[#This Row],[Valor]]*0.3</f>
        <v>3060</v>
      </c>
    </row>
    <row r="34" spans="1:10" x14ac:dyDescent="0.25">
      <c r="A34">
        <v>33</v>
      </c>
      <c r="B34" t="s">
        <v>47</v>
      </c>
      <c r="C34">
        <v>456</v>
      </c>
      <c r="D34">
        <v>2</v>
      </c>
      <c r="E34" t="s">
        <v>28</v>
      </c>
      <c r="F34" t="s">
        <v>48</v>
      </c>
      <c r="G34" s="1">
        <v>45117</v>
      </c>
      <c r="H34" s="2">
        <v>300500</v>
      </c>
      <c r="I34" s="3">
        <f t="shared" si="0"/>
        <v>150250</v>
      </c>
      <c r="J34" s="3">
        <f>Tabela1[[#This Row],[Valor]]*0.3</f>
        <v>90150</v>
      </c>
    </row>
    <row r="35" spans="1:10" x14ac:dyDescent="0.25">
      <c r="A35">
        <v>34</v>
      </c>
      <c r="B35" t="s">
        <v>43</v>
      </c>
      <c r="C35">
        <v>875</v>
      </c>
      <c r="D35">
        <v>1</v>
      </c>
      <c r="E35" t="s">
        <v>30</v>
      </c>
      <c r="F35" t="s">
        <v>44</v>
      </c>
      <c r="G35" s="1">
        <v>44796</v>
      </c>
      <c r="H35" s="2">
        <v>1970</v>
      </c>
      <c r="I35" s="3">
        <f t="shared" si="0"/>
        <v>1970</v>
      </c>
      <c r="J35" s="3">
        <f>Tabela1[[#This Row],[Valor]]*0.3</f>
        <v>591</v>
      </c>
    </row>
    <row r="36" spans="1:10" x14ac:dyDescent="0.25">
      <c r="A36">
        <v>35</v>
      </c>
      <c r="B36" t="s">
        <v>53</v>
      </c>
      <c r="C36">
        <v>579</v>
      </c>
      <c r="D36">
        <v>1</v>
      </c>
      <c r="E36" t="s">
        <v>29</v>
      </c>
      <c r="F36" t="s">
        <v>54</v>
      </c>
      <c r="G36" s="1">
        <v>44673</v>
      </c>
      <c r="H36" s="2">
        <v>80050</v>
      </c>
      <c r="I36" s="3">
        <f t="shared" si="0"/>
        <v>80050</v>
      </c>
      <c r="J36" s="3">
        <f>Tabela1[[#This Row],[Valor]]*0.3</f>
        <v>24015</v>
      </c>
    </row>
    <row r="37" spans="1:10" x14ac:dyDescent="0.25">
      <c r="A37">
        <v>36</v>
      </c>
      <c r="B37" t="s">
        <v>47</v>
      </c>
      <c r="C37">
        <v>456</v>
      </c>
      <c r="D37">
        <v>10</v>
      </c>
      <c r="E37" t="s">
        <v>30</v>
      </c>
      <c r="F37" t="s">
        <v>48</v>
      </c>
      <c r="G37" s="1">
        <v>44673</v>
      </c>
      <c r="H37" s="2">
        <v>300500</v>
      </c>
      <c r="I37" s="3">
        <f t="shared" si="0"/>
        <v>30050</v>
      </c>
      <c r="J37" s="3">
        <f>Tabela1[[#This Row],[Valor]]*0.3</f>
        <v>90150</v>
      </c>
    </row>
    <row r="38" spans="1:10" x14ac:dyDescent="0.25">
      <c r="A38">
        <v>37</v>
      </c>
      <c r="B38" t="s">
        <v>55</v>
      </c>
      <c r="C38">
        <v>147</v>
      </c>
      <c r="D38">
        <v>1</v>
      </c>
      <c r="E38" t="s">
        <v>27</v>
      </c>
      <c r="F38" t="s">
        <v>56</v>
      </c>
      <c r="G38" s="1">
        <v>44720</v>
      </c>
      <c r="H38" s="2">
        <v>2100</v>
      </c>
      <c r="I38" s="3">
        <f t="shared" si="0"/>
        <v>2100</v>
      </c>
      <c r="J38" s="3">
        <f>Tabela1[[#This Row],[Valor]]*0.3</f>
        <v>630</v>
      </c>
    </row>
    <row r="39" spans="1:10" x14ac:dyDescent="0.25">
      <c r="A39">
        <v>38</v>
      </c>
      <c r="B39" t="s">
        <v>49</v>
      </c>
      <c r="C39">
        <v>217</v>
      </c>
      <c r="D39">
        <v>20</v>
      </c>
      <c r="E39" t="s">
        <v>27</v>
      </c>
      <c r="F39" t="s">
        <v>50</v>
      </c>
      <c r="G39" s="1">
        <v>44781</v>
      </c>
      <c r="H39" s="2">
        <v>2170</v>
      </c>
      <c r="I39" s="3">
        <f t="shared" si="0"/>
        <v>108.5</v>
      </c>
      <c r="J39" s="3">
        <f>Tabela1[[#This Row],[Valor]]*0.3</f>
        <v>651</v>
      </c>
    </row>
    <row r="40" spans="1:10" x14ac:dyDescent="0.25">
      <c r="A40">
        <v>39</v>
      </c>
      <c r="B40" t="s">
        <v>55</v>
      </c>
      <c r="C40">
        <v>147</v>
      </c>
      <c r="D40">
        <v>2</v>
      </c>
      <c r="E40" t="s">
        <v>27</v>
      </c>
      <c r="F40" t="s">
        <v>56</v>
      </c>
      <c r="G40" s="1">
        <v>44623</v>
      </c>
      <c r="H40" s="2">
        <v>2100</v>
      </c>
      <c r="I40" s="3">
        <f t="shared" si="0"/>
        <v>1050</v>
      </c>
      <c r="J40" s="3">
        <f>Tabela1[[#This Row],[Valor]]*0.3</f>
        <v>630</v>
      </c>
    </row>
    <row r="41" spans="1:10" x14ac:dyDescent="0.25">
      <c r="A41">
        <v>40</v>
      </c>
      <c r="B41" t="s">
        <v>51</v>
      </c>
      <c r="C41">
        <v>476</v>
      </c>
      <c r="D41">
        <v>20</v>
      </c>
      <c r="E41" t="s">
        <v>29</v>
      </c>
      <c r="F41" t="s">
        <v>52</v>
      </c>
      <c r="G41" s="1">
        <v>44673</v>
      </c>
      <c r="H41" s="2">
        <v>20550</v>
      </c>
      <c r="I41" s="3">
        <f t="shared" si="0"/>
        <v>1027.5</v>
      </c>
      <c r="J41" s="3">
        <f>Tabela1[[#This Row],[Valor]]*0.3</f>
        <v>6165</v>
      </c>
    </row>
    <row r="42" spans="1:10" x14ac:dyDescent="0.25">
      <c r="A42">
        <v>41</v>
      </c>
      <c r="B42" t="s">
        <v>51</v>
      </c>
      <c r="C42">
        <v>476</v>
      </c>
      <c r="D42">
        <v>2</v>
      </c>
      <c r="E42" t="s">
        <v>30</v>
      </c>
      <c r="F42" t="s">
        <v>52</v>
      </c>
      <c r="G42" s="1">
        <v>44892</v>
      </c>
      <c r="H42" s="2">
        <v>20550</v>
      </c>
      <c r="I42" s="3">
        <f t="shared" si="0"/>
        <v>10275</v>
      </c>
      <c r="J42" s="3">
        <f>Tabela1[[#This Row],[Valor]]*0.3</f>
        <v>6165</v>
      </c>
    </row>
    <row r="43" spans="1:10" x14ac:dyDescent="0.25">
      <c r="A43">
        <v>42</v>
      </c>
      <c r="B43" t="s">
        <v>55</v>
      </c>
      <c r="C43">
        <v>147</v>
      </c>
      <c r="D43">
        <v>2</v>
      </c>
      <c r="E43" t="s">
        <v>29</v>
      </c>
      <c r="F43" t="s">
        <v>56</v>
      </c>
      <c r="G43" s="1">
        <v>44720</v>
      </c>
      <c r="H43" s="2">
        <v>2100</v>
      </c>
      <c r="I43" s="3">
        <f t="shared" si="0"/>
        <v>1050</v>
      </c>
      <c r="J43" s="3">
        <f>Tabela1[[#This Row],[Valor]]*0.3</f>
        <v>630</v>
      </c>
    </row>
    <row r="44" spans="1:10" x14ac:dyDescent="0.25">
      <c r="A44">
        <v>43</v>
      </c>
      <c r="B44" t="s">
        <v>43</v>
      </c>
      <c r="C44">
        <v>875</v>
      </c>
      <c r="D44">
        <v>1</v>
      </c>
      <c r="E44" t="s">
        <v>29</v>
      </c>
      <c r="F44" t="s">
        <v>44</v>
      </c>
      <c r="G44" s="1">
        <v>44862</v>
      </c>
      <c r="H44" s="2">
        <v>1970</v>
      </c>
      <c r="I44" s="3">
        <f t="shared" si="0"/>
        <v>1970</v>
      </c>
      <c r="J44" s="3">
        <f>Tabela1[[#This Row],[Valor]]*0.3</f>
        <v>591</v>
      </c>
    </row>
    <row r="45" spans="1:10" x14ac:dyDescent="0.25">
      <c r="A45">
        <v>44</v>
      </c>
      <c r="B45" t="s">
        <v>45</v>
      </c>
      <c r="C45">
        <v>102</v>
      </c>
      <c r="D45">
        <v>1</v>
      </c>
      <c r="E45" t="s">
        <v>28</v>
      </c>
      <c r="F45" t="s">
        <v>46</v>
      </c>
      <c r="G45" s="1">
        <v>44862</v>
      </c>
      <c r="H45" s="2">
        <v>24000</v>
      </c>
      <c r="I45" s="3">
        <f t="shared" si="0"/>
        <v>24000</v>
      </c>
      <c r="J45" s="3">
        <f>Tabela1[[#This Row],[Valor]]*0.3</f>
        <v>7200</v>
      </c>
    </row>
    <row r="46" spans="1:10" x14ac:dyDescent="0.25">
      <c r="A46">
        <v>45</v>
      </c>
      <c r="B46" t="s">
        <v>47</v>
      </c>
      <c r="C46">
        <v>456</v>
      </c>
      <c r="D46">
        <v>10</v>
      </c>
      <c r="E46" t="s">
        <v>29</v>
      </c>
      <c r="F46" t="s">
        <v>48</v>
      </c>
      <c r="G46" s="1">
        <v>44867</v>
      </c>
      <c r="H46" s="2">
        <v>300500</v>
      </c>
      <c r="I46" s="3">
        <f t="shared" si="0"/>
        <v>30050</v>
      </c>
      <c r="J46" s="3">
        <f>Tabela1[[#This Row],[Valor]]*0.3</f>
        <v>90150</v>
      </c>
    </row>
    <row r="47" spans="1:10" x14ac:dyDescent="0.25">
      <c r="A47">
        <v>46</v>
      </c>
      <c r="B47" t="s">
        <v>45</v>
      </c>
      <c r="C47">
        <v>102</v>
      </c>
      <c r="D47">
        <v>2</v>
      </c>
      <c r="E47" t="s">
        <v>29</v>
      </c>
      <c r="F47" t="s">
        <v>46</v>
      </c>
      <c r="G47" s="1">
        <v>45014</v>
      </c>
      <c r="H47" s="2">
        <v>24000</v>
      </c>
      <c r="I47" s="3">
        <f t="shared" si="0"/>
        <v>12000</v>
      </c>
      <c r="J47" s="3">
        <f>Tabela1[[#This Row],[Valor]]*0.3</f>
        <v>7200</v>
      </c>
    </row>
    <row r="48" spans="1:10" x14ac:dyDescent="0.25">
      <c r="A48">
        <v>47</v>
      </c>
      <c r="B48" t="s">
        <v>41</v>
      </c>
      <c r="C48">
        <v>134</v>
      </c>
      <c r="D48">
        <v>1</v>
      </c>
      <c r="E48" t="s">
        <v>29</v>
      </c>
      <c r="F48" t="s">
        <v>42</v>
      </c>
      <c r="G48" s="1">
        <v>44673</v>
      </c>
      <c r="H48" s="2">
        <v>10200</v>
      </c>
      <c r="I48" s="3">
        <f t="shared" si="0"/>
        <v>10200</v>
      </c>
      <c r="J48" s="3">
        <f>Tabela1[[#This Row],[Valor]]*0.3</f>
        <v>3060</v>
      </c>
    </row>
    <row r="49" spans="1:10" x14ac:dyDescent="0.25">
      <c r="A49">
        <v>48</v>
      </c>
      <c r="B49" t="s">
        <v>41</v>
      </c>
      <c r="C49">
        <v>134</v>
      </c>
      <c r="D49">
        <v>2</v>
      </c>
      <c r="E49" t="s">
        <v>30</v>
      </c>
      <c r="F49" t="s">
        <v>42</v>
      </c>
      <c r="G49" s="1">
        <v>45276</v>
      </c>
      <c r="H49" s="2">
        <v>10200</v>
      </c>
      <c r="I49" s="3">
        <f t="shared" si="0"/>
        <v>5100</v>
      </c>
      <c r="J49" s="3">
        <f>Tabela1[[#This Row],[Valor]]*0.3</f>
        <v>3060</v>
      </c>
    </row>
    <row r="50" spans="1:10" x14ac:dyDescent="0.25">
      <c r="A50">
        <v>49</v>
      </c>
      <c r="B50" t="s">
        <v>55</v>
      </c>
      <c r="C50">
        <v>147</v>
      </c>
      <c r="D50">
        <v>30</v>
      </c>
      <c r="E50" t="s">
        <v>28</v>
      </c>
      <c r="F50" t="s">
        <v>56</v>
      </c>
      <c r="G50" s="1">
        <v>44673</v>
      </c>
      <c r="H50" s="2">
        <v>2100</v>
      </c>
      <c r="I50" s="3">
        <f t="shared" si="0"/>
        <v>70</v>
      </c>
      <c r="J50" s="3">
        <f>Tabela1[[#This Row],[Valor]]*0.3</f>
        <v>630</v>
      </c>
    </row>
    <row r="51" spans="1:10" x14ac:dyDescent="0.25">
      <c r="A51">
        <v>50</v>
      </c>
      <c r="B51" t="s">
        <v>41</v>
      </c>
      <c r="C51">
        <v>134</v>
      </c>
      <c r="D51">
        <v>30</v>
      </c>
      <c r="E51" t="s">
        <v>30</v>
      </c>
      <c r="F51" t="s">
        <v>42</v>
      </c>
      <c r="G51" s="1">
        <v>44787</v>
      </c>
      <c r="H51" s="2">
        <v>10200</v>
      </c>
      <c r="I51" s="3">
        <f t="shared" si="0"/>
        <v>340</v>
      </c>
      <c r="J51" s="3">
        <f>Tabela1[[#This Row],[Valor]]*0.3</f>
        <v>3060</v>
      </c>
    </row>
    <row r="52" spans="1:10" x14ac:dyDescent="0.25">
      <c r="A52">
        <v>51</v>
      </c>
      <c r="B52" t="s">
        <v>45</v>
      </c>
      <c r="C52">
        <v>102</v>
      </c>
      <c r="D52">
        <v>30</v>
      </c>
      <c r="E52" t="s">
        <v>30</v>
      </c>
      <c r="F52" t="s">
        <v>46</v>
      </c>
      <c r="G52" s="1">
        <v>44788</v>
      </c>
      <c r="H52" s="2">
        <v>24000</v>
      </c>
      <c r="I52" s="3">
        <f t="shared" si="0"/>
        <v>800</v>
      </c>
      <c r="J52" s="3">
        <f>Tabela1[[#This Row],[Valor]]*0.3</f>
        <v>7200</v>
      </c>
    </row>
    <row r="53" spans="1:10" x14ac:dyDescent="0.25">
      <c r="A53">
        <v>52</v>
      </c>
      <c r="B53" t="s">
        <v>43</v>
      </c>
      <c r="C53">
        <v>875</v>
      </c>
      <c r="D53">
        <v>10</v>
      </c>
      <c r="E53" t="s">
        <v>29</v>
      </c>
      <c r="F53" t="s">
        <v>44</v>
      </c>
      <c r="G53" s="1">
        <v>45276</v>
      </c>
      <c r="H53" s="2">
        <v>1970</v>
      </c>
      <c r="I53" s="3">
        <f t="shared" si="0"/>
        <v>197</v>
      </c>
      <c r="J53" s="3">
        <f>Tabela1[[#This Row],[Valor]]*0.3</f>
        <v>591</v>
      </c>
    </row>
    <row r="54" spans="1:10" x14ac:dyDescent="0.25">
      <c r="A54">
        <v>53</v>
      </c>
      <c r="B54" t="s">
        <v>43</v>
      </c>
      <c r="C54">
        <v>875</v>
      </c>
      <c r="D54">
        <v>20</v>
      </c>
      <c r="E54" t="s">
        <v>29</v>
      </c>
      <c r="F54" t="s">
        <v>44</v>
      </c>
      <c r="G54" s="1">
        <v>45006</v>
      </c>
      <c r="H54" s="2">
        <v>1970</v>
      </c>
      <c r="I54" s="3">
        <f t="shared" si="0"/>
        <v>98.5</v>
      </c>
      <c r="J54" s="3">
        <f>Tabela1[[#This Row],[Valor]]*0.3</f>
        <v>591</v>
      </c>
    </row>
    <row r="55" spans="1:10" x14ac:dyDescent="0.25">
      <c r="A55">
        <v>54</v>
      </c>
      <c r="B55" t="s">
        <v>47</v>
      </c>
      <c r="C55">
        <v>456</v>
      </c>
      <c r="D55">
        <v>20</v>
      </c>
      <c r="E55" t="s">
        <v>28</v>
      </c>
      <c r="F55" t="s">
        <v>48</v>
      </c>
      <c r="G55" s="1">
        <v>44720</v>
      </c>
      <c r="H55" s="2">
        <v>300500</v>
      </c>
      <c r="I55" s="3">
        <f t="shared" si="0"/>
        <v>15025</v>
      </c>
      <c r="J55" s="3">
        <f>Tabela1[[#This Row],[Valor]]*0.3</f>
        <v>90150</v>
      </c>
    </row>
    <row r="56" spans="1:10" x14ac:dyDescent="0.25">
      <c r="A56">
        <v>55</v>
      </c>
      <c r="B56" t="s">
        <v>47</v>
      </c>
      <c r="C56">
        <v>456</v>
      </c>
      <c r="D56">
        <v>20</v>
      </c>
      <c r="E56" t="s">
        <v>30</v>
      </c>
      <c r="F56" t="s">
        <v>48</v>
      </c>
      <c r="G56" s="1">
        <v>45014</v>
      </c>
      <c r="H56" s="2">
        <v>300500</v>
      </c>
      <c r="I56" s="3">
        <f t="shared" si="0"/>
        <v>15025</v>
      </c>
      <c r="J56" s="3">
        <f>Tabela1[[#This Row],[Valor]]*0.3</f>
        <v>90150</v>
      </c>
    </row>
    <row r="57" spans="1:10" x14ac:dyDescent="0.25">
      <c r="A57">
        <v>56</v>
      </c>
      <c r="B57" t="s">
        <v>53</v>
      </c>
      <c r="C57">
        <v>579</v>
      </c>
      <c r="D57">
        <v>10</v>
      </c>
      <c r="E57" t="s">
        <v>28</v>
      </c>
      <c r="F57" t="s">
        <v>54</v>
      </c>
      <c r="G57" s="1">
        <v>44720</v>
      </c>
      <c r="H57" s="2">
        <v>80050</v>
      </c>
      <c r="I57" s="3">
        <f t="shared" si="0"/>
        <v>8005</v>
      </c>
      <c r="J57" s="3">
        <f>Tabela1[[#This Row],[Valor]]*0.3</f>
        <v>24015</v>
      </c>
    </row>
    <row r="58" spans="1:10" x14ac:dyDescent="0.25">
      <c r="A58">
        <v>57</v>
      </c>
      <c r="B58" t="s">
        <v>41</v>
      </c>
      <c r="C58">
        <v>134</v>
      </c>
      <c r="D58">
        <v>2</v>
      </c>
      <c r="E58" t="s">
        <v>27</v>
      </c>
      <c r="F58" t="s">
        <v>42</v>
      </c>
      <c r="G58" s="1">
        <v>45014</v>
      </c>
      <c r="H58" s="2">
        <v>10200</v>
      </c>
      <c r="I58" s="3">
        <f t="shared" si="0"/>
        <v>5100</v>
      </c>
      <c r="J58" s="3">
        <f>Tabela1[[#This Row],[Valor]]*0.3</f>
        <v>3060</v>
      </c>
    </row>
    <row r="59" spans="1:10" x14ac:dyDescent="0.25">
      <c r="A59">
        <v>58</v>
      </c>
      <c r="B59" t="s">
        <v>47</v>
      </c>
      <c r="C59">
        <v>456</v>
      </c>
      <c r="D59">
        <v>10</v>
      </c>
      <c r="E59" t="s">
        <v>28</v>
      </c>
      <c r="F59" t="s">
        <v>48</v>
      </c>
      <c r="G59" s="1">
        <v>44818</v>
      </c>
      <c r="H59" s="2">
        <v>300500</v>
      </c>
      <c r="I59" s="3">
        <f t="shared" si="0"/>
        <v>30050</v>
      </c>
      <c r="J59" s="3">
        <f>Tabela1[[#This Row],[Valor]]*0.3</f>
        <v>90150</v>
      </c>
    </row>
    <row r="60" spans="1:10" x14ac:dyDescent="0.25">
      <c r="A60">
        <v>59</v>
      </c>
      <c r="B60" t="s">
        <v>47</v>
      </c>
      <c r="C60">
        <v>456</v>
      </c>
      <c r="D60">
        <v>20</v>
      </c>
      <c r="E60" t="s">
        <v>30</v>
      </c>
      <c r="F60" t="s">
        <v>48</v>
      </c>
      <c r="G60" s="1">
        <v>44892</v>
      </c>
      <c r="H60" s="2">
        <v>300500</v>
      </c>
      <c r="I60" s="3">
        <f t="shared" si="0"/>
        <v>15025</v>
      </c>
      <c r="J60" s="3">
        <f>Tabela1[[#This Row],[Valor]]*0.3</f>
        <v>90150</v>
      </c>
    </row>
    <row r="61" spans="1:10" x14ac:dyDescent="0.25">
      <c r="A61">
        <v>60</v>
      </c>
      <c r="B61" t="s">
        <v>51</v>
      </c>
      <c r="C61">
        <v>476</v>
      </c>
      <c r="D61">
        <v>20</v>
      </c>
      <c r="E61" t="s">
        <v>28</v>
      </c>
      <c r="F61" t="s">
        <v>52</v>
      </c>
      <c r="G61" s="1">
        <v>44818</v>
      </c>
      <c r="H61" s="2">
        <v>20550</v>
      </c>
      <c r="I61" s="3">
        <f t="shared" si="0"/>
        <v>1027.5</v>
      </c>
      <c r="J61" s="3">
        <f>Tabela1[[#This Row],[Valor]]*0.3</f>
        <v>6165</v>
      </c>
    </row>
    <row r="62" spans="1:10" x14ac:dyDescent="0.25">
      <c r="A62">
        <v>61</v>
      </c>
      <c r="B62" t="s">
        <v>45</v>
      </c>
      <c r="C62">
        <v>102</v>
      </c>
      <c r="D62">
        <v>1</v>
      </c>
      <c r="E62" t="s">
        <v>27</v>
      </c>
      <c r="F62" t="s">
        <v>46</v>
      </c>
      <c r="G62" s="1">
        <v>44673</v>
      </c>
      <c r="H62" s="2">
        <v>24000</v>
      </c>
      <c r="I62" s="3">
        <f t="shared" si="0"/>
        <v>24000</v>
      </c>
      <c r="J62" s="3">
        <f>Tabela1[[#This Row],[Valor]]*0.3</f>
        <v>7200</v>
      </c>
    </row>
    <row r="63" spans="1:10" x14ac:dyDescent="0.25">
      <c r="A63">
        <v>62</v>
      </c>
      <c r="B63" t="s">
        <v>51</v>
      </c>
      <c r="C63">
        <v>476</v>
      </c>
      <c r="D63">
        <v>1</v>
      </c>
      <c r="E63" t="s">
        <v>28</v>
      </c>
      <c r="F63" t="s">
        <v>52</v>
      </c>
      <c r="G63" s="1">
        <v>44788</v>
      </c>
      <c r="H63" s="2">
        <v>20550</v>
      </c>
      <c r="I63" s="3">
        <f t="shared" si="0"/>
        <v>20550</v>
      </c>
      <c r="J63" s="3">
        <f>Tabela1[[#This Row],[Valor]]*0.3</f>
        <v>6165</v>
      </c>
    </row>
    <row r="64" spans="1:10" x14ac:dyDescent="0.25">
      <c r="A64">
        <v>63</v>
      </c>
      <c r="B64" t="s">
        <v>49</v>
      </c>
      <c r="C64">
        <v>217</v>
      </c>
      <c r="D64">
        <v>1</v>
      </c>
      <c r="E64" t="s">
        <v>28</v>
      </c>
      <c r="F64" t="s">
        <v>50</v>
      </c>
      <c r="G64" s="1">
        <v>44720</v>
      </c>
      <c r="H64" s="2">
        <v>2170</v>
      </c>
      <c r="I64" s="3">
        <f t="shared" si="0"/>
        <v>2170</v>
      </c>
      <c r="J64" s="3">
        <f>Tabela1[[#This Row],[Valor]]*0.3</f>
        <v>651</v>
      </c>
    </row>
    <row r="65" spans="1:10" x14ac:dyDescent="0.25">
      <c r="A65">
        <v>64</v>
      </c>
      <c r="B65" t="s">
        <v>43</v>
      </c>
      <c r="C65">
        <v>875</v>
      </c>
      <c r="D65">
        <v>20</v>
      </c>
      <c r="E65" t="s">
        <v>27</v>
      </c>
      <c r="F65" t="s">
        <v>44</v>
      </c>
      <c r="G65" s="1">
        <v>44788</v>
      </c>
      <c r="H65" s="2">
        <v>1970</v>
      </c>
      <c r="I65" s="3">
        <f t="shared" si="0"/>
        <v>98.5</v>
      </c>
      <c r="J65" s="3">
        <f>Tabela1[[#This Row],[Valor]]*0.3</f>
        <v>591</v>
      </c>
    </row>
    <row r="66" spans="1:10" x14ac:dyDescent="0.25">
      <c r="A66">
        <v>65</v>
      </c>
      <c r="B66" t="s">
        <v>41</v>
      </c>
      <c r="C66">
        <v>134</v>
      </c>
      <c r="D66">
        <v>2</v>
      </c>
      <c r="E66" t="s">
        <v>30</v>
      </c>
      <c r="F66" t="s">
        <v>42</v>
      </c>
      <c r="G66" s="1">
        <v>44892</v>
      </c>
      <c r="H66" s="2">
        <v>10200</v>
      </c>
      <c r="I66" s="3">
        <f t="shared" si="0"/>
        <v>5100</v>
      </c>
      <c r="J66" s="3">
        <f>Tabela1[[#This Row],[Valor]]*0.3</f>
        <v>3060</v>
      </c>
    </row>
    <row r="67" spans="1:10" x14ac:dyDescent="0.25">
      <c r="A67">
        <v>66</v>
      </c>
      <c r="B67" t="s">
        <v>49</v>
      </c>
      <c r="C67">
        <v>217</v>
      </c>
      <c r="D67">
        <v>1</v>
      </c>
      <c r="E67" t="s">
        <v>29</v>
      </c>
      <c r="F67" t="s">
        <v>50</v>
      </c>
      <c r="G67" s="1">
        <v>44867</v>
      </c>
      <c r="H67" s="2">
        <v>2170</v>
      </c>
      <c r="I67" s="3">
        <f t="shared" ref="I67:I130" si="1">H67/D67</f>
        <v>2170</v>
      </c>
      <c r="J67" s="3">
        <f>Tabela1[[#This Row],[Valor]]*0.3</f>
        <v>651</v>
      </c>
    </row>
    <row r="68" spans="1:10" x14ac:dyDescent="0.25">
      <c r="A68">
        <v>67</v>
      </c>
      <c r="B68" t="s">
        <v>49</v>
      </c>
      <c r="C68">
        <v>217</v>
      </c>
      <c r="D68">
        <v>2</v>
      </c>
      <c r="E68" t="s">
        <v>27</v>
      </c>
      <c r="F68" t="s">
        <v>50</v>
      </c>
      <c r="G68" s="1">
        <v>44710</v>
      </c>
      <c r="H68" s="2">
        <v>2170</v>
      </c>
      <c r="I68" s="3">
        <f t="shared" si="1"/>
        <v>1085</v>
      </c>
      <c r="J68" s="3">
        <f>Tabela1[[#This Row],[Valor]]*0.3</f>
        <v>651</v>
      </c>
    </row>
    <row r="69" spans="1:10" x14ac:dyDescent="0.25">
      <c r="A69">
        <v>68</v>
      </c>
      <c r="B69" t="s">
        <v>43</v>
      </c>
      <c r="C69">
        <v>875</v>
      </c>
      <c r="D69">
        <v>1</v>
      </c>
      <c r="E69" t="s">
        <v>30</v>
      </c>
      <c r="F69" t="s">
        <v>44</v>
      </c>
      <c r="G69" s="1">
        <v>44796</v>
      </c>
      <c r="H69" s="2">
        <v>1970</v>
      </c>
      <c r="I69" s="3">
        <f t="shared" si="1"/>
        <v>1970</v>
      </c>
      <c r="J69" s="3">
        <f>Tabela1[[#This Row],[Valor]]*0.3</f>
        <v>591</v>
      </c>
    </row>
    <row r="70" spans="1:10" x14ac:dyDescent="0.25">
      <c r="A70">
        <v>69</v>
      </c>
      <c r="B70" t="s">
        <v>53</v>
      </c>
      <c r="C70">
        <v>579</v>
      </c>
      <c r="D70">
        <v>1</v>
      </c>
      <c r="E70" t="s">
        <v>27</v>
      </c>
      <c r="F70" t="s">
        <v>54</v>
      </c>
      <c r="G70" s="1">
        <v>45014</v>
      </c>
      <c r="H70" s="2">
        <v>80050</v>
      </c>
      <c r="I70" s="3">
        <f t="shared" si="1"/>
        <v>80050</v>
      </c>
      <c r="J70" s="3">
        <f>Tabela1[[#This Row],[Valor]]*0.3</f>
        <v>24015</v>
      </c>
    </row>
    <row r="71" spans="1:10" x14ac:dyDescent="0.25">
      <c r="A71">
        <v>70</v>
      </c>
      <c r="B71" t="s">
        <v>51</v>
      </c>
      <c r="C71">
        <v>476</v>
      </c>
      <c r="D71">
        <v>20</v>
      </c>
      <c r="E71" t="s">
        <v>30</v>
      </c>
      <c r="F71" t="s">
        <v>52</v>
      </c>
      <c r="G71" s="1">
        <v>45276</v>
      </c>
      <c r="H71" s="2">
        <v>20550</v>
      </c>
      <c r="I71" s="3">
        <f t="shared" si="1"/>
        <v>1027.5</v>
      </c>
      <c r="J71" s="3">
        <f>Tabela1[[#This Row],[Valor]]*0.3</f>
        <v>6165</v>
      </c>
    </row>
    <row r="72" spans="1:10" x14ac:dyDescent="0.25">
      <c r="A72">
        <v>71</v>
      </c>
      <c r="B72" t="s">
        <v>45</v>
      </c>
      <c r="C72">
        <v>102</v>
      </c>
      <c r="D72">
        <v>1</v>
      </c>
      <c r="E72" t="s">
        <v>29</v>
      </c>
      <c r="F72" t="s">
        <v>46</v>
      </c>
      <c r="G72" s="1">
        <v>44710</v>
      </c>
      <c r="H72" s="2">
        <v>24000</v>
      </c>
      <c r="I72" s="3">
        <f t="shared" si="1"/>
        <v>24000</v>
      </c>
      <c r="J72" s="3">
        <f>Tabela1[[#This Row],[Valor]]*0.3</f>
        <v>7200</v>
      </c>
    </row>
    <row r="73" spans="1:10" x14ac:dyDescent="0.25">
      <c r="A73">
        <v>72</v>
      </c>
      <c r="B73" t="s">
        <v>43</v>
      </c>
      <c r="C73">
        <v>875</v>
      </c>
      <c r="D73">
        <v>10</v>
      </c>
      <c r="E73" t="s">
        <v>27</v>
      </c>
      <c r="F73" t="s">
        <v>44</v>
      </c>
      <c r="G73" s="1">
        <v>44710</v>
      </c>
      <c r="H73" s="2">
        <v>1970</v>
      </c>
      <c r="I73" s="3">
        <f t="shared" si="1"/>
        <v>197</v>
      </c>
      <c r="J73" s="3">
        <f>Tabela1[[#This Row],[Valor]]*0.3</f>
        <v>591</v>
      </c>
    </row>
    <row r="74" spans="1:10" x14ac:dyDescent="0.25">
      <c r="A74">
        <v>73</v>
      </c>
      <c r="B74" t="s">
        <v>53</v>
      </c>
      <c r="C74">
        <v>579</v>
      </c>
      <c r="D74">
        <v>20</v>
      </c>
      <c r="E74" t="s">
        <v>30</v>
      </c>
      <c r="F74" t="s">
        <v>54</v>
      </c>
      <c r="G74" s="1">
        <v>44591</v>
      </c>
      <c r="H74" s="2">
        <v>80050</v>
      </c>
      <c r="I74" s="3">
        <f t="shared" si="1"/>
        <v>4002.5</v>
      </c>
      <c r="J74" s="3">
        <f>Tabela1[[#This Row],[Valor]]*0.3</f>
        <v>24015</v>
      </c>
    </row>
    <row r="75" spans="1:10" x14ac:dyDescent="0.25">
      <c r="A75">
        <v>74</v>
      </c>
      <c r="B75" t="s">
        <v>41</v>
      </c>
      <c r="C75">
        <v>134</v>
      </c>
      <c r="D75">
        <v>20</v>
      </c>
      <c r="E75" t="s">
        <v>27</v>
      </c>
      <c r="F75" t="s">
        <v>42</v>
      </c>
      <c r="G75" s="1">
        <v>45276</v>
      </c>
      <c r="H75" s="2">
        <v>10200</v>
      </c>
      <c r="I75" s="3">
        <f t="shared" si="1"/>
        <v>510</v>
      </c>
      <c r="J75" s="3">
        <f>Tabela1[[#This Row],[Valor]]*0.3</f>
        <v>3060</v>
      </c>
    </row>
    <row r="76" spans="1:10" x14ac:dyDescent="0.25">
      <c r="A76">
        <v>75</v>
      </c>
      <c r="B76" t="s">
        <v>41</v>
      </c>
      <c r="C76">
        <v>134</v>
      </c>
      <c r="D76">
        <v>10</v>
      </c>
      <c r="E76" t="s">
        <v>28</v>
      </c>
      <c r="F76" t="s">
        <v>42</v>
      </c>
      <c r="G76" s="1">
        <v>44706</v>
      </c>
      <c r="H76" s="2">
        <v>10200</v>
      </c>
      <c r="I76" s="3">
        <f t="shared" si="1"/>
        <v>1020</v>
      </c>
      <c r="J76" s="3">
        <f>Tabela1[[#This Row],[Valor]]*0.3</f>
        <v>3060</v>
      </c>
    </row>
    <row r="77" spans="1:10" x14ac:dyDescent="0.25">
      <c r="A77">
        <v>76</v>
      </c>
      <c r="B77" t="s">
        <v>55</v>
      </c>
      <c r="C77">
        <v>147</v>
      </c>
      <c r="D77">
        <v>1</v>
      </c>
      <c r="E77" t="s">
        <v>27</v>
      </c>
      <c r="F77" t="s">
        <v>56</v>
      </c>
      <c r="G77" s="1">
        <v>44710</v>
      </c>
      <c r="H77" s="2">
        <v>2100</v>
      </c>
      <c r="I77" s="3">
        <f t="shared" si="1"/>
        <v>2100</v>
      </c>
      <c r="J77" s="3">
        <f>Tabela1[[#This Row],[Valor]]*0.3</f>
        <v>630</v>
      </c>
    </row>
    <row r="78" spans="1:10" x14ac:dyDescent="0.25">
      <c r="A78">
        <v>77</v>
      </c>
      <c r="B78" t="s">
        <v>47</v>
      </c>
      <c r="C78">
        <v>456</v>
      </c>
      <c r="D78">
        <v>1</v>
      </c>
      <c r="E78" t="s">
        <v>30</v>
      </c>
      <c r="F78" t="s">
        <v>48</v>
      </c>
      <c r="G78" s="1">
        <v>45116</v>
      </c>
      <c r="H78" s="2">
        <v>300500</v>
      </c>
      <c r="I78" s="3">
        <f t="shared" si="1"/>
        <v>300500</v>
      </c>
      <c r="J78" s="3">
        <f>Tabela1[[#This Row],[Valor]]*0.3</f>
        <v>90150</v>
      </c>
    </row>
    <row r="79" spans="1:10" x14ac:dyDescent="0.25">
      <c r="A79">
        <v>78</v>
      </c>
      <c r="B79" t="s">
        <v>51</v>
      </c>
      <c r="C79">
        <v>476</v>
      </c>
      <c r="D79">
        <v>1</v>
      </c>
      <c r="E79" t="s">
        <v>29</v>
      </c>
      <c r="F79" t="s">
        <v>52</v>
      </c>
      <c r="G79" s="1">
        <v>44796</v>
      </c>
      <c r="H79" s="2">
        <v>20550</v>
      </c>
      <c r="I79" s="3">
        <f t="shared" si="1"/>
        <v>20550</v>
      </c>
      <c r="J79" s="3">
        <f>Tabela1[[#This Row],[Valor]]*0.3</f>
        <v>6165</v>
      </c>
    </row>
    <row r="80" spans="1:10" x14ac:dyDescent="0.25">
      <c r="A80">
        <v>79</v>
      </c>
      <c r="B80" t="s">
        <v>55</v>
      </c>
      <c r="C80">
        <v>147</v>
      </c>
      <c r="D80">
        <v>10</v>
      </c>
      <c r="E80" t="s">
        <v>29</v>
      </c>
      <c r="F80" t="s">
        <v>56</v>
      </c>
      <c r="G80" s="1">
        <v>44796</v>
      </c>
      <c r="H80" s="2">
        <v>2100</v>
      </c>
      <c r="I80" s="3">
        <f t="shared" si="1"/>
        <v>210</v>
      </c>
      <c r="J80" s="3">
        <f>Tabela1[[#This Row],[Valor]]*0.3</f>
        <v>630</v>
      </c>
    </row>
    <row r="81" spans="1:10" x14ac:dyDescent="0.25">
      <c r="A81">
        <v>80</v>
      </c>
      <c r="B81" t="s">
        <v>41</v>
      </c>
      <c r="C81">
        <v>134</v>
      </c>
      <c r="D81">
        <v>2</v>
      </c>
      <c r="E81" t="s">
        <v>27</v>
      </c>
      <c r="F81" t="s">
        <v>42</v>
      </c>
      <c r="G81" s="1">
        <v>44710</v>
      </c>
      <c r="H81" s="2">
        <v>10200</v>
      </c>
      <c r="I81" s="3">
        <f t="shared" si="1"/>
        <v>5100</v>
      </c>
      <c r="J81" s="3">
        <f>Tabela1[[#This Row],[Valor]]*0.3</f>
        <v>3060</v>
      </c>
    </row>
    <row r="82" spans="1:10" x14ac:dyDescent="0.25">
      <c r="A82">
        <v>81</v>
      </c>
      <c r="B82" t="s">
        <v>49</v>
      </c>
      <c r="C82">
        <v>217</v>
      </c>
      <c r="D82">
        <v>1</v>
      </c>
      <c r="E82" t="s">
        <v>28</v>
      </c>
      <c r="F82" t="s">
        <v>50</v>
      </c>
      <c r="G82" s="1">
        <v>44862</v>
      </c>
      <c r="H82" s="2">
        <v>2170</v>
      </c>
      <c r="I82" s="3">
        <f t="shared" si="1"/>
        <v>2170</v>
      </c>
      <c r="J82" s="3">
        <f>Tabela1[[#This Row],[Valor]]*0.3</f>
        <v>651</v>
      </c>
    </row>
    <row r="83" spans="1:10" x14ac:dyDescent="0.25">
      <c r="A83">
        <v>82</v>
      </c>
      <c r="B83" t="s">
        <v>51</v>
      </c>
      <c r="C83">
        <v>476</v>
      </c>
      <c r="D83">
        <v>10</v>
      </c>
      <c r="E83" t="s">
        <v>30</v>
      </c>
      <c r="F83" t="s">
        <v>52</v>
      </c>
      <c r="G83" s="1">
        <v>44781</v>
      </c>
      <c r="H83" s="2">
        <v>20550</v>
      </c>
      <c r="I83" s="3">
        <f t="shared" si="1"/>
        <v>2055</v>
      </c>
      <c r="J83" s="3">
        <f>Tabela1[[#This Row],[Valor]]*0.3</f>
        <v>6165</v>
      </c>
    </row>
    <row r="84" spans="1:10" x14ac:dyDescent="0.25">
      <c r="A84">
        <v>83</v>
      </c>
      <c r="B84" t="s">
        <v>47</v>
      </c>
      <c r="C84">
        <v>456</v>
      </c>
      <c r="D84">
        <v>20</v>
      </c>
      <c r="E84" t="s">
        <v>30</v>
      </c>
      <c r="F84" t="s">
        <v>48</v>
      </c>
      <c r="G84" s="1">
        <v>44710</v>
      </c>
      <c r="H84" s="2">
        <v>300500</v>
      </c>
      <c r="I84" s="3">
        <f t="shared" si="1"/>
        <v>15025</v>
      </c>
      <c r="J84" s="3">
        <f>Tabela1[[#This Row],[Valor]]*0.3</f>
        <v>90150</v>
      </c>
    </row>
    <row r="85" spans="1:10" x14ac:dyDescent="0.25">
      <c r="A85">
        <v>84</v>
      </c>
      <c r="B85" t="s">
        <v>47</v>
      </c>
      <c r="C85">
        <v>456</v>
      </c>
      <c r="D85">
        <v>30</v>
      </c>
      <c r="E85" t="s">
        <v>27</v>
      </c>
      <c r="F85" t="s">
        <v>48</v>
      </c>
      <c r="G85" s="1">
        <v>44892</v>
      </c>
      <c r="H85" s="2">
        <v>300500</v>
      </c>
      <c r="I85" s="3">
        <f t="shared" si="1"/>
        <v>10016.666666666666</v>
      </c>
      <c r="J85" s="3">
        <f>Tabela1[[#This Row],[Valor]]*0.3</f>
        <v>90150</v>
      </c>
    </row>
    <row r="86" spans="1:10" x14ac:dyDescent="0.25">
      <c r="A86">
        <v>85</v>
      </c>
      <c r="B86" t="s">
        <v>49</v>
      </c>
      <c r="C86">
        <v>217</v>
      </c>
      <c r="D86">
        <v>2</v>
      </c>
      <c r="E86" t="s">
        <v>27</v>
      </c>
      <c r="F86" t="s">
        <v>50</v>
      </c>
      <c r="G86" s="1">
        <v>44958</v>
      </c>
      <c r="H86" s="2">
        <v>2170</v>
      </c>
      <c r="I86" s="3">
        <f t="shared" si="1"/>
        <v>1085</v>
      </c>
      <c r="J86" s="3">
        <f>Tabela1[[#This Row],[Valor]]*0.3</f>
        <v>651</v>
      </c>
    </row>
    <row r="87" spans="1:10" x14ac:dyDescent="0.25">
      <c r="A87">
        <v>86</v>
      </c>
      <c r="B87" t="s">
        <v>43</v>
      </c>
      <c r="C87">
        <v>875</v>
      </c>
      <c r="D87">
        <v>30</v>
      </c>
      <c r="E87" t="s">
        <v>28</v>
      </c>
      <c r="F87" t="s">
        <v>44</v>
      </c>
      <c r="G87" s="1">
        <v>44796</v>
      </c>
      <c r="H87" s="2">
        <v>1970</v>
      </c>
      <c r="I87" s="3">
        <f t="shared" si="1"/>
        <v>65.666666666666671</v>
      </c>
      <c r="J87" s="3">
        <f>Tabela1[[#This Row],[Valor]]*0.3</f>
        <v>591</v>
      </c>
    </row>
    <row r="88" spans="1:10" x14ac:dyDescent="0.25">
      <c r="A88">
        <v>87</v>
      </c>
      <c r="B88" t="s">
        <v>55</v>
      </c>
      <c r="C88">
        <v>147</v>
      </c>
      <c r="D88">
        <v>20</v>
      </c>
      <c r="E88" t="s">
        <v>28</v>
      </c>
      <c r="F88" t="s">
        <v>56</v>
      </c>
      <c r="G88" s="1">
        <v>44781</v>
      </c>
      <c r="H88" s="2">
        <v>2100</v>
      </c>
      <c r="I88" s="3">
        <f t="shared" si="1"/>
        <v>105</v>
      </c>
      <c r="J88" s="3">
        <f>Tabela1[[#This Row],[Valor]]*0.3</f>
        <v>630</v>
      </c>
    </row>
    <row r="89" spans="1:10" x14ac:dyDescent="0.25">
      <c r="A89">
        <v>88</v>
      </c>
      <c r="B89" t="s">
        <v>43</v>
      </c>
      <c r="C89">
        <v>875</v>
      </c>
      <c r="D89">
        <v>20</v>
      </c>
      <c r="E89" t="s">
        <v>29</v>
      </c>
      <c r="F89" t="s">
        <v>44</v>
      </c>
      <c r="G89" s="1">
        <v>44862</v>
      </c>
      <c r="H89" s="2">
        <v>1970</v>
      </c>
      <c r="I89" s="3">
        <f t="shared" si="1"/>
        <v>98.5</v>
      </c>
      <c r="J89" s="3">
        <f>Tabela1[[#This Row],[Valor]]*0.3</f>
        <v>591</v>
      </c>
    </row>
    <row r="90" spans="1:10" x14ac:dyDescent="0.25">
      <c r="A90">
        <v>89</v>
      </c>
      <c r="B90" t="s">
        <v>51</v>
      </c>
      <c r="C90">
        <v>476</v>
      </c>
      <c r="D90">
        <v>2</v>
      </c>
      <c r="E90" t="s">
        <v>27</v>
      </c>
      <c r="F90" t="s">
        <v>52</v>
      </c>
      <c r="G90" s="1">
        <v>44623</v>
      </c>
      <c r="H90" s="2">
        <v>20550</v>
      </c>
      <c r="I90" s="3">
        <f t="shared" si="1"/>
        <v>10275</v>
      </c>
      <c r="J90" s="3">
        <f>Tabela1[[#This Row],[Valor]]*0.3</f>
        <v>6165</v>
      </c>
    </row>
    <row r="91" spans="1:10" x14ac:dyDescent="0.25">
      <c r="A91">
        <v>90</v>
      </c>
      <c r="B91" t="s">
        <v>49</v>
      </c>
      <c r="C91">
        <v>217</v>
      </c>
      <c r="D91">
        <v>1</v>
      </c>
      <c r="E91" t="s">
        <v>30</v>
      </c>
      <c r="F91" t="s">
        <v>50</v>
      </c>
      <c r="G91" s="1">
        <v>44720</v>
      </c>
      <c r="H91" s="2">
        <v>2170</v>
      </c>
      <c r="I91" s="3">
        <f t="shared" si="1"/>
        <v>2170</v>
      </c>
      <c r="J91" s="3">
        <f>Tabela1[[#This Row],[Valor]]*0.3</f>
        <v>651</v>
      </c>
    </row>
    <row r="92" spans="1:10" x14ac:dyDescent="0.25">
      <c r="A92">
        <v>91</v>
      </c>
      <c r="B92" t="s">
        <v>43</v>
      </c>
      <c r="C92">
        <v>875</v>
      </c>
      <c r="D92">
        <v>20</v>
      </c>
      <c r="E92" t="s">
        <v>30</v>
      </c>
      <c r="F92" t="s">
        <v>44</v>
      </c>
      <c r="G92" s="1">
        <v>44720</v>
      </c>
      <c r="H92" s="2">
        <v>1970</v>
      </c>
      <c r="I92" s="3">
        <f t="shared" si="1"/>
        <v>98.5</v>
      </c>
      <c r="J92" s="3">
        <f>Tabela1[[#This Row],[Valor]]*0.3</f>
        <v>591</v>
      </c>
    </row>
    <row r="93" spans="1:10" x14ac:dyDescent="0.25">
      <c r="A93">
        <v>92</v>
      </c>
      <c r="B93" t="s">
        <v>47</v>
      </c>
      <c r="C93">
        <v>456</v>
      </c>
      <c r="D93">
        <v>10</v>
      </c>
      <c r="E93" t="s">
        <v>27</v>
      </c>
      <c r="F93" t="s">
        <v>48</v>
      </c>
      <c r="G93" s="1">
        <v>45117</v>
      </c>
      <c r="H93" s="2">
        <v>300500</v>
      </c>
      <c r="I93" s="3">
        <f t="shared" si="1"/>
        <v>30050</v>
      </c>
      <c r="J93" s="3">
        <f>Tabela1[[#This Row],[Valor]]*0.3</f>
        <v>90150</v>
      </c>
    </row>
    <row r="94" spans="1:10" x14ac:dyDescent="0.25">
      <c r="A94">
        <v>93</v>
      </c>
      <c r="B94" t="s">
        <v>45</v>
      </c>
      <c r="C94">
        <v>102</v>
      </c>
      <c r="D94">
        <v>2</v>
      </c>
      <c r="E94" t="s">
        <v>27</v>
      </c>
      <c r="F94" t="s">
        <v>46</v>
      </c>
      <c r="G94" s="1">
        <v>45014</v>
      </c>
      <c r="H94" s="2">
        <v>24000</v>
      </c>
      <c r="I94" s="3">
        <f t="shared" si="1"/>
        <v>12000</v>
      </c>
      <c r="J94" s="3">
        <f>Tabela1[[#This Row],[Valor]]*0.3</f>
        <v>7200</v>
      </c>
    </row>
    <row r="95" spans="1:10" x14ac:dyDescent="0.25">
      <c r="A95">
        <v>94</v>
      </c>
      <c r="B95" t="s">
        <v>55</v>
      </c>
      <c r="C95">
        <v>147</v>
      </c>
      <c r="D95">
        <v>2</v>
      </c>
      <c r="E95" t="s">
        <v>30</v>
      </c>
      <c r="F95" t="s">
        <v>56</v>
      </c>
      <c r="G95" s="1">
        <v>44673</v>
      </c>
      <c r="H95" s="2">
        <v>2100</v>
      </c>
      <c r="I95" s="3">
        <f t="shared" si="1"/>
        <v>1050</v>
      </c>
      <c r="J95" s="3">
        <f>Tabela1[[#This Row],[Valor]]*0.3</f>
        <v>630</v>
      </c>
    </row>
    <row r="96" spans="1:10" x14ac:dyDescent="0.25">
      <c r="A96">
        <v>95</v>
      </c>
      <c r="B96" t="s">
        <v>47</v>
      </c>
      <c r="C96">
        <v>456</v>
      </c>
      <c r="D96">
        <v>10</v>
      </c>
      <c r="E96" t="s">
        <v>27</v>
      </c>
      <c r="F96" t="s">
        <v>48</v>
      </c>
      <c r="G96" s="1">
        <v>44862</v>
      </c>
      <c r="H96" s="2">
        <v>300500</v>
      </c>
      <c r="I96" s="3">
        <f t="shared" si="1"/>
        <v>30050</v>
      </c>
      <c r="J96" s="3">
        <f>Tabela1[[#This Row],[Valor]]*0.3</f>
        <v>90150</v>
      </c>
    </row>
    <row r="97" spans="1:10" x14ac:dyDescent="0.25">
      <c r="A97">
        <v>96</v>
      </c>
      <c r="B97" t="s">
        <v>47</v>
      </c>
      <c r="C97">
        <v>456</v>
      </c>
      <c r="D97">
        <v>20</v>
      </c>
      <c r="E97" t="s">
        <v>27</v>
      </c>
      <c r="F97" t="s">
        <v>48</v>
      </c>
      <c r="G97" s="1">
        <v>45117</v>
      </c>
      <c r="H97" s="2">
        <v>300500</v>
      </c>
      <c r="I97" s="3">
        <f t="shared" si="1"/>
        <v>15025</v>
      </c>
      <c r="J97" s="3">
        <f>Tabela1[[#This Row],[Valor]]*0.3</f>
        <v>90150</v>
      </c>
    </row>
    <row r="98" spans="1:10" x14ac:dyDescent="0.25">
      <c r="A98">
        <v>97</v>
      </c>
      <c r="B98" t="s">
        <v>53</v>
      </c>
      <c r="C98">
        <v>579</v>
      </c>
      <c r="D98">
        <v>1</v>
      </c>
      <c r="E98" t="s">
        <v>28</v>
      </c>
      <c r="F98" t="s">
        <v>54</v>
      </c>
      <c r="G98" s="1">
        <v>44623</v>
      </c>
      <c r="H98" s="2">
        <v>80050</v>
      </c>
      <c r="I98" s="3">
        <f t="shared" si="1"/>
        <v>80050</v>
      </c>
      <c r="J98" s="3">
        <f>Tabela1[[#This Row],[Valor]]*0.3</f>
        <v>24015</v>
      </c>
    </row>
    <row r="99" spans="1:10" x14ac:dyDescent="0.25">
      <c r="A99">
        <v>98</v>
      </c>
      <c r="B99" t="s">
        <v>43</v>
      </c>
      <c r="C99">
        <v>875</v>
      </c>
      <c r="D99">
        <v>10</v>
      </c>
      <c r="E99" t="s">
        <v>29</v>
      </c>
      <c r="F99" t="s">
        <v>44</v>
      </c>
      <c r="G99" s="1">
        <v>44867</v>
      </c>
      <c r="H99" s="2">
        <v>1970</v>
      </c>
      <c r="I99" s="3">
        <f t="shared" si="1"/>
        <v>197</v>
      </c>
      <c r="J99" s="3">
        <f>Tabela1[[#This Row],[Valor]]*0.3</f>
        <v>591</v>
      </c>
    </row>
    <row r="100" spans="1:10" x14ac:dyDescent="0.25">
      <c r="A100">
        <v>99</v>
      </c>
      <c r="B100" t="s">
        <v>43</v>
      </c>
      <c r="C100">
        <v>875</v>
      </c>
      <c r="D100">
        <v>20</v>
      </c>
      <c r="E100" t="s">
        <v>29</v>
      </c>
      <c r="F100" t="s">
        <v>44</v>
      </c>
      <c r="G100" s="1">
        <v>44710</v>
      </c>
      <c r="H100" s="2">
        <v>1970</v>
      </c>
      <c r="I100" s="3">
        <f t="shared" si="1"/>
        <v>98.5</v>
      </c>
      <c r="J100" s="3">
        <f>Tabela1[[#This Row],[Valor]]*0.3</f>
        <v>591</v>
      </c>
    </row>
    <row r="101" spans="1:10" x14ac:dyDescent="0.25">
      <c r="A101">
        <v>100</v>
      </c>
      <c r="B101" t="s">
        <v>41</v>
      </c>
      <c r="C101">
        <v>134</v>
      </c>
      <c r="D101">
        <v>10</v>
      </c>
      <c r="E101" t="s">
        <v>27</v>
      </c>
      <c r="F101" t="s">
        <v>42</v>
      </c>
      <c r="G101" s="1">
        <v>44720</v>
      </c>
      <c r="H101" s="2">
        <v>10200</v>
      </c>
      <c r="I101" s="3">
        <f t="shared" si="1"/>
        <v>1020</v>
      </c>
      <c r="J101" s="3">
        <f>Tabela1[[#This Row],[Valor]]*0.3</f>
        <v>3060</v>
      </c>
    </row>
    <row r="102" spans="1:10" x14ac:dyDescent="0.25">
      <c r="A102">
        <v>101</v>
      </c>
      <c r="B102" t="s">
        <v>41</v>
      </c>
      <c r="C102">
        <v>134</v>
      </c>
      <c r="D102">
        <v>20</v>
      </c>
      <c r="E102" t="s">
        <v>29</v>
      </c>
      <c r="F102" t="s">
        <v>42</v>
      </c>
      <c r="G102" s="1">
        <v>44958</v>
      </c>
      <c r="H102" s="2">
        <v>10200</v>
      </c>
      <c r="I102" s="3">
        <f t="shared" si="1"/>
        <v>510</v>
      </c>
      <c r="J102" s="3">
        <f>Tabela1[[#This Row],[Valor]]*0.3</f>
        <v>3060</v>
      </c>
    </row>
    <row r="103" spans="1:10" x14ac:dyDescent="0.25">
      <c r="A103">
        <v>102</v>
      </c>
      <c r="B103" t="s">
        <v>45</v>
      </c>
      <c r="C103">
        <v>102</v>
      </c>
      <c r="D103">
        <v>2</v>
      </c>
      <c r="E103" t="s">
        <v>27</v>
      </c>
      <c r="F103" t="s">
        <v>46</v>
      </c>
      <c r="G103" s="1">
        <v>44787</v>
      </c>
      <c r="H103" s="2">
        <v>24000</v>
      </c>
      <c r="I103" s="3">
        <f t="shared" si="1"/>
        <v>12000</v>
      </c>
      <c r="J103" s="3">
        <f>Tabela1[[#This Row],[Valor]]*0.3</f>
        <v>7200</v>
      </c>
    </row>
    <row r="104" spans="1:10" x14ac:dyDescent="0.25">
      <c r="A104">
        <v>103</v>
      </c>
      <c r="B104" t="s">
        <v>45</v>
      </c>
      <c r="C104">
        <v>102</v>
      </c>
      <c r="D104">
        <v>10</v>
      </c>
      <c r="E104" t="s">
        <v>29</v>
      </c>
      <c r="F104" t="s">
        <v>46</v>
      </c>
      <c r="G104" s="1">
        <v>44892</v>
      </c>
      <c r="H104" s="2">
        <v>24000</v>
      </c>
      <c r="I104" s="3">
        <f t="shared" si="1"/>
        <v>2400</v>
      </c>
      <c r="J104" s="3">
        <f>Tabela1[[#This Row],[Valor]]*0.3</f>
        <v>7200</v>
      </c>
    </row>
    <row r="105" spans="1:10" x14ac:dyDescent="0.25">
      <c r="A105">
        <v>104</v>
      </c>
      <c r="B105" t="s">
        <v>53</v>
      </c>
      <c r="C105">
        <v>579</v>
      </c>
      <c r="D105">
        <v>10</v>
      </c>
      <c r="E105" t="s">
        <v>27</v>
      </c>
      <c r="F105" t="s">
        <v>54</v>
      </c>
      <c r="G105" s="1">
        <v>45117</v>
      </c>
      <c r="H105" s="2">
        <v>80050</v>
      </c>
      <c r="I105" s="3">
        <f t="shared" si="1"/>
        <v>8005</v>
      </c>
      <c r="J105" s="3">
        <f>Tabela1[[#This Row],[Valor]]*0.3</f>
        <v>24015</v>
      </c>
    </row>
    <row r="106" spans="1:10" x14ac:dyDescent="0.25">
      <c r="A106">
        <v>105</v>
      </c>
      <c r="B106" t="s">
        <v>43</v>
      </c>
      <c r="C106">
        <v>875</v>
      </c>
      <c r="D106">
        <v>30</v>
      </c>
      <c r="E106" t="s">
        <v>30</v>
      </c>
      <c r="F106" t="s">
        <v>44</v>
      </c>
      <c r="G106" s="1">
        <v>44706</v>
      </c>
      <c r="H106" s="2">
        <v>1970</v>
      </c>
      <c r="I106" s="3">
        <f t="shared" si="1"/>
        <v>65.666666666666671</v>
      </c>
      <c r="J106" s="3">
        <f>Tabela1[[#This Row],[Valor]]*0.3</f>
        <v>591</v>
      </c>
    </row>
    <row r="107" spans="1:10" x14ac:dyDescent="0.25">
      <c r="A107">
        <v>106</v>
      </c>
      <c r="B107" t="s">
        <v>55</v>
      </c>
      <c r="C107">
        <v>147</v>
      </c>
      <c r="D107">
        <v>20</v>
      </c>
      <c r="E107" t="s">
        <v>29</v>
      </c>
      <c r="F107" t="s">
        <v>56</v>
      </c>
      <c r="G107" s="1">
        <v>44818</v>
      </c>
      <c r="H107" s="2">
        <v>2100</v>
      </c>
      <c r="I107" s="3">
        <f t="shared" si="1"/>
        <v>105</v>
      </c>
      <c r="J107" s="3">
        <f>Tabela1[[#This Row],[Valor]]*0.3</f>
        <v>630</v>
      </c>
    </row>
    <row r="108" spans="1:10" x14ac:dyDescent="0.25">
      <c r="A108">
        <v>107</v>
      </c>
      <c r="B108" t="s">
        <v>43</v>
      </c>
      <c r="C108">
        <v>875</v>
      </c>
      <c r="D108">
        <v>1</v>
      </c>
      <c r="E108" t="s">
        <v>29</v>
      </c>
      <c r="F108" t="s">
        <v>44</v>
      </c>
      <c r="G108" s="1">
        <v>44720</v>
      </c>
      <c r="H108" s="2">
        <v>1970</v>
      </c>
      <c r="I108" s="3">
        <f t="shared" si="1"/>
        <v>1970</v>
      </c>
      <c r="J108" s="3">
        <f>Tabela1[[#This Row],[Valor]]*0.3</f>
        <v>591</v>
      </c>
    </row>
    <row r="109" spans="1:10" x14ac:dyDescent="0.25">
      <c r="A109">
        <v>108</v>
      </c>
      <c r="B109" t="s">
        <v>55</v>
      </c>
      <c r="C109">
        <v>147</v>
      </c>
      <c r="D109">
        <v>10</v>
      </c>
      <c r="E109" t="s">
        <v>29</v>
      </c>
      <c r="F109" t="s">
        <v>56</v>
      </c>
      <c r="G109" s="1">
        <v>44591</v>
      </c>
      <c r="H109" s="2">
        <v>2100</v>
      </c>
      <c r="I109" s="3">
        <f t="shared" si="1"/>
        <v>210</v>
      </c>
      <c r="J109" s="3">
        <f>Tabela1[[#This Row],[Valor]]*0.3</f>
        <v>630</v>
      </c>
    </row>
    <row r="110" spans="1:10" x14ac:dyDescent="0.25">
      <c r="A110">
        <v>109</v>
      </c>
      <c r="B110" t="s">
        <v>51</v>
      </c>
      <c r="C110">
        <v>476</v>
      </c>
      <c r="D110">
        <v>1</v>
      </c>
      <c r="E110" t="s">
        <v>28</v>
      </c>
      <c r="F110" t="s">
        <v>52</v>
      </c>
      <c r="G110" s="1">
        <v>45014</v>
      </c>
      <c r="H110" s="2">
        <v>20550</v>
      </c>
      <c r="I110" s="3">
        <f t="shared" si="1"/>
        <v>20550</v>
      </c>
      <c r="J110" s="3">
        <f>Tabela1[[#This Row],[Valor]]*0.3</f>
        <v>6165</v>
      </c>
    </row>
    <row r="111" spans="1:10" x14ac:dyDescent="0.25">
      <c r="A111">
        <v>110</v>
      </c>
      <c r="B111" t="s">
        <v>47</v>
      </c>
      <c r="C111">
        <v>456</v>
      </c>
      <c r="D111">
        <v>10</v>
      </c>
      <c r="E111" t="s">
        <v>29</v>
      </c>
      <c r="F111" t="s">
        <v>48</v>
      </c>
      <c r="G111" s="1">
        <v>44788</v>
      </c>
      <c r="H111" s="2">
        <v>300500</v>
      </c>
      <c r="I111" s="3">
        <f t="shared" si="1"/>
        <v>30050</v>
      </c>
      <c r="J111" s="3">
        <f>Tabela1[[#This Row],[Valor]]*0.3</f>
        <v>90150</v>
      </c>
    </row>
    <row r="112" spans="1:10" x14ac:dyDescent="0.25">
      <c r="A112">
        <v>111</v>
      </c>
      <c r="B112" t="s">
        <v>53</v>
      </c>
      <c r="C112">
        <v>579</v>
      </c>
      <c r="D112">
        <v>2</v>
      </c>
      <c r="E112" t="s">
        <v>28</v>
      </c>
      <c r="F112" t="s">
        <v>54</v>
      </c>
      <c r="G112" s="1">
        <v>44706</v>
      </c>
      <c r="H112" s="2">
        <v>80050</v>
      </c>
      <c r="I112" s="3">
        <f t="shared" si="1"/>
        <v>40025</v>
      </c>
      <c r="J112" s="3">
        <f>Tabela1[[#This Row],[Valor]]*0.3</f>
        <v>24015</v>
      </c>
    </row>
    <row r="113" spans="1:10" x14ac:dyDescent="0.25">
      <c r="A113">
        <v>112</v>
      </c>
      <c r="B113" t="s">
        <v>47</v>
      </c>
      <c r="C113">
        <v>456</v>
      </c>
      <c r="D113">
        <v>20</v>
      </c>
      <c r="E113" t="s">
        <v>27</v>
      </c>
      <c r="F113" t="s">
        <v>48</v>
      </c>
      <c r="G113" s="1">
        <v>45276</v>
      </c>
      <c r="H113" s="2">
        <v>300500</v>
      </c>
      <c r="I113" s="3">
        <f t="shared" si="1"/>
        <v>15025</v>
      </c>
      <c r="J113" s="3">
        <f>Tabela1[[#This Row],[Valor]]*0.3</f>
        <v>90150</v>
      </c>
    </row>
    <row r="114" spans="1:10" x14ac:dyDescent="0.25">
      <c r="A114">
        <v>113</v>
      </c>
      <c r="B114" t="s">
        <v>41</v>
      </c>
      <c r="C114">
        <v>134</v>
      </c>
      <c r="D114">
        <v>20</v>
      </c>
      <c r="E114" t="s">
        <v>29</v>
      </c>
      <c r="F114" t="s">
        <v>42</v>
      </c>
      <c r="G114" s="1">
        <v>44720</v>
      </c>
      <c r="H114" s="2">
        <v>10200</v>
      </c>
      <c r="I114" s="3">
        <f t="shared" si="1"/>
        <v>510</v>
      </c>
      <c r="J114" s="3">
        <f>Tabela1[[#This Row],[Valor]]*0.3</f>
        <v>3060</v>
      </c>
    </row>
    <row r="115" spans="1:10" x14ac:dyDescent="0.25">
      <c r="A115">
        <v>114</v>
      </c>
      <c r="B115" t="s">
        <v>41</v>
      </c>
      <c r="C115">
        <v>134</v>
      </c>
      <c r="D115">
        <v>30</v>
      </c>
      <c r="E115" t="s">
        <v>27</v>
      </c>
      <c r="F115" t="s">
        <v>42</v>
      </c>
      <c r="G115" s="1">
        <v>44623</v>
      </c>
      <c r="H115" s="2">
        <v>10200</v>
      </c>
      <c r="I115" s="3">
        <f t="shared" si="1"/>
        <v>340</v>
      </c>
      <c r="J115" s="3">
        <f>Tabela1[[#This Row],[Valor]]*0.3</f>
        <v>3060</v>
      </c>
    </row>
    <row r="116" spans="1:10" x14ac:dyDescent="0.25">
      <c r="A116">
        <v>115</v>
      </c>
      <c r="B116" t="s">
        <v>51</v>
      </c>
      <c r="C116">
        <v>476</v>
      </c>
      <c r="D116">
        <v>30</v>
      </c>
      <c r="E116" t="s">
        <v>27</v>
      </c>
      <c r="F116" t="s">
        <v>52</v>
      </c>
      <c r="G116" s="1">
        <v>44706</v>
      </c>
      <c r="H116" s="2">
        <v>20550</v>
      </c>
      <c r="I116" s="3">
        <f t="shared" si="1"/>
        <v>685</v>
      </c>
      <c r="J116" s="3">
        <f>Tabela1[[#This Row],[Valor]]*0.3</f>
        <v>6165</v>
      </c>
    </row>
    <row r="117" spans="1:10" x14ac:dyDescent="0.25">
      <c r="A117">
        <v>116</v>
      </c>
      <c r="B117" t="s">
        <v>51</v>
      </c>
      <c r="C117">
        <v>476</v>
      </c>
      <c r="D117">
        <v>1</v>
      </c>
      <c r="E117" t="s">
        <v>28</v>
      </c>
      <c r="F117" t="s">
        <v>52</v>
      </c>
      <c r="G117" s="1">
        <v>45116</v>
      </c>
      <c r="H117" s="2">
        <v>20550</v>
      </c>
      <c r="I117" s="3">
        <f t="shared" si="1"/>
        <v>20550</v>
      </c>
      <c r="J117" s="3">
        <f>Tabela1[[#This Row],[Valor]]*0.3</f>
        <v>6165</v>
      </c>
    </row>
    <row r="118" spans="1:10" x14ac:dyDescent="0.25">
      <c r="A118">
        <v>117</v>
      </c>
      <c r="B118" t="s">
        <v>45</v>
      </c>
      <c r="C118">
        <v>102</v>
      </c>
      <c r="D118">
        <v>2</v>
      </c>
      <c r="E118" t="s">
        <v>30</v>
      </c>
      <c r="F118" t="s">
        <v>46</v>
      </c>
      <c r="G118" s="1">
        <v>45117</v>
      </c>
      <c r="H118" s="2">
        <v>24000</v>
      </c>
      <c r="I118" s="3">
        <f t="shared" si="1"/>
        <v>12000</v>
      </c>
      <c r="J118" s="3">
        <f>Tabela1[[#This Row],[Valor]]*0.3</f>
        <v>7200</v>
      </c>
    </row>
    <row r="119" spans="1:10" x14ac:dyDescent="0.25">
      <c r="A119">
        <v>118</v>
      </c>
      <c r="B119" t="s">
        <v>47</v>
      </c>
      <c r="C119">
        <v>456</v>
      </c>
      <c r="D119">
        <v>20</v>
      </c>
      <c r="E119" t="s">
        <v>28</v>
      </c>
      <c r="F119" t="s">
        <v>48</v>
      </c>
      <c r="G119" s="1">
        <v>44706</v>
      </c>
      <c r="H119" s="2">
        <v>300500</v>
      </c>
      <c r="I119" s="3">
        <f t="shared" si="1"/>
        <v>15025</v>
      </c>
      <c r="J119" s="3">
        <f>Tabela1[[#This Row],[Valor]]*0.3</f>
        <v>90150</v>
      </c>
    </row>
    <row r="120" spans="1:10" x14ac:dyDescent="0.25">
      <c r="A120">
        <v>119</v>
      </c>
      <c r="B120" t="s">
        <v>47</v>
      </c>
      <c r="C120">
        <v>456</v>
      </c>
      <c r="D120">
        <v>20</v>
      </c>
      <c r="E120" t="s">
        <v>30</v>
      </c>
      <c r="F120" t="s">
        <v>48</v>
      </c>
      <c r="G120" s="1">
        <v>44796</v>
      </c>
      <c r="H120" s="2">
        <v>300500</v>
      </c>
      <c r="I120" s="3">
        <f t="shared" si="1"/>
        <v>15025</v>
      </c>
      <c r="J120" s="3">
        <f>Tabela1[[#This Row],[Valor]]*0.3</f>
        <v>90150</v>
      </c>
    </row>
    <row r="121" spans="1:10" x14ac:dyDescent="0.25">
      <c r="A121">
        <v>120</v>
      </c>
      <c r="B121" t="s">
        <v>53</v>
      </c>
      <c r="C121">
        <v>579</v>
      </c>
      <c r="D121">
        <v>1</v>
      </c>
      <c r="E121" t="s">
        <v>29</v>
      </c>
      <c r="F121" t="s">
        <v>54</v>
      </c>
      <c r="G121" s="1">
        <v>45014</v>
      </c>
      <c r="H121" s="2">
        <v>80050</v>
      </c>
      <c r="I121" s="3">
        <f t="shared" si="1"/>
        <v>80050</v>
      </c>
      <c r="J121" s="3">
        <f>Tabela1[[#This Row],[Valor]]*0.3</f>
        <v>24015</v>
      </c>
    </row>
    <row r="122" spans="1:10" x14ac:dyDescent="0.25">
      <c r="A122">
        <v>121</v>
      </c>
      <c r="B122" t="s">
        <v>43</v>
      </c>
      <c r="C122">
        <v>875</v>
      </c>
      <c r="D122">
        <v>20</v>
      </c>
      <c r="E122" t="s">
        <v>30</v>
      </c>
      <c r="F122" t="s">
        <v>44</v>
      </c>
      <c r="G122" s="1">
        <v>44673</v>
      </c>
      <c r="H122" s="2">
        <v>1970</v>
      </c>
      <c r="I122" s="3">
        <f t="shared" si="1"/>
        <v>98.5</v>
      </c>
      <c r="J122" s="3">
        <f>Tabela1[[#This Row],[Valor]]*0.3</f>
        <v>591</v>
      </c>
    </row>
    <row r="123" spans="1:10" x14ac:dyDescent="0.25">
      <c r="A123">
        <v>122</v>
      </c>
      <c r="B123" t="s">
        <v>51</v>
      </c>
      <c r="C123">
        <v>476</v>
      </c>
      <c r="D123">
        <v>2</v>
      </c>
      <c r="E123" t="s">
        <v>27</v>
      </c>
      <c r="F123" t="s">
        <v>52</v>
      </c>
      <c r="G123" s="1">
        <v>45276</v>
      </c>
      <c r="H123" s="2">
        <v>20550</v>
      </c>
      <c r="I123" s="3">
        <f t="shared" si="1"/>
        <v>10275</v>
      </c>
      <c r="J123" s="3">
        <f>Tabela1[[#This Row],[Valor]]*0.3</f>
        <v>6165</v>
      </c>
    </row>
    <row r="124" spans="1:10" x14ac:dyDescent="0.25">
      <c r="A124">
        <v>123</v>
      </c>
      <c r="B124" t="s">
        <v>51</v>
      </c>
      <c r="C124">
        <v>476</v>
      </c>
      <c r="D124">
        <v>20</v>
      </c>
      <c r="E124" t="s">
        <v>28</v>
      </c>
      <c r="F124" t="s">
        <v>52</v>
      </c>
      <c r="G124" s="1">
        <v>44720</v>
      </c>
      <c r="H124" s="2">
        <v>20550</v>
      </c>
      <c r="I124" s="3">
        <f t="shared" si="1"/>
        <v>1027.5</v>
      </c>
      <c r="J124" s="3">
        <f>Tabela1[[#This Row],[Valor]]*0.3</f>
        <v>6165</v>
      </c>
    </row>
    <row r="125" spans="1:10" x14ac:dyDescent="0.25">
      <c r="A125">
        <v>124</v>
      </c>
      <c r="B125" t="s">
        <v>45</v>
      </c>
      <c r="C125">
        <v>102</v>
      </c>
      <c r="D125">
        <v>30</v>
      </c>
      <c r="E125" t="s">
        <v>29</v>
      </c>
      <c r="F125" t="s">
        <v>46</v>
      </c>
      <c r="G125" s="1">
        <v>44591</v>
      </c>
      <c r="H125" s="2">
        <v>24000</v>
      </c>
      <c r="I125" s="3">
        <f t="shared" si="1"/>
        <v>800</v>
      </c>
      <c r="J125" s="3">
        <f>Tabela1[[#This Row],[Valor]]*0.3</f>
        <v>7200</v>
      </c>
    </row>
    <row r="126" spans="1:10" x14ac:dyDescent="0.25">
      <c r="A126">
        <v>125</v>
      </c>
      <c r="B126" t="s">
        <v>41</v>
      </c>
      <c r="C126">
        <v>134</v>
      </c>
      <c r="D126">
        <v>20</v>
      </c>
      <c r="E126" t="s">
        <v>30</v>
      </c>
      <c r="F126" t="s">
        <v>42</v>
      </c>
      <c r="G126" s="1">
        <v>45006</v>
      </c>
      <c r="H126" s="2">
        <v>10200</v>
      </c>
      <c r="I126" s="3">
        <f t="shared" si="1"/>
        <v>510</v>
      </c>
      <c r="J126" s="3">
        <f>Tabela1[[#This Row],[Valor]]*0.3</f>
        <v>3060</v>
      </c>
    </row>
    <row r="127" spans="1:10" x14ac:dyDescent="0.25">
      <c r="A127">
        <v>126</v>
      </c>
      <c r="B127" t="s">
        <v>51</v>
      </c>
      <c r="C127">
        <v>476</v>
      </c>
      <c r="D127">
        <v>10</v>
      </c>
      <c r="E127" t="s">
        <v>28</v>
      </c>
      <c r="F127" t="s">
        <v>52</v>
      </c>
      <c r="G127" s="1">
        <v>44862</v>
      </c>
      <c r="H127" s="2">
        <v>20550</v>
      </c>
      <c r="I127" s="3">
        <f t="shared" si="1"/>
        <v>2055</v>
      </c>
      <c r="J127" s="3">
        <f>Tabela1[[#This Row],[Valor]]*0.3</f>
        <v>6165</v>
      </c>
    </row>
    <row r="128" spans="1:10" x14ac:dyDescent="0.25">
      <c r="A128">
        <v>127</v>
      </c>
      <c r="B128" t="s">
        <v>51</v>
      </c>
      <c r="C128">
        <v>476</v>
      </c>
      <c r="D128">
        <v>10</v>
      </c>
      <c r="E128" t="s">
        <v>29</v>
      </c>
      <c r="F128" t="s">
        <v>52</v>
      </c>
      <c r="G128" s="1">
        <v>45276</v>
      </c>
      <c r="H128" s="2">
        <v>20550</v>
      </c>
      <c r="I128" s="3">
        <f t="shared" si="1"/>
        <v>2055</v>
      </c>
      <c r="J128" s="3">
        <f>Tabela1[[#This Row],[Valor]]*0.3</f>
        <v>6165</v>
      </c>
    </row>
    <row r="129" spans="1:10" x14ac:dyDescent="0.25">
      <c r="A129">
        <v>128</v>
      </c>
      <c r="B129" t="s">
        <v>41</v>
      </c>
      <c r="C129">
        <v>134</v>
      </c>
      <c r="D129">
        <v>1</v>
      </c>
      <c r="E129" t="s">
        <v>28</v>
      </c>
      <c r="F129" t="s">
        <v>42</v>
      </c>
      <c r="G129" s="1">
        <v>44720</v>
      </c>
      <c r="H129" s="2">
        <v>10200</v>
      </c>
      <c r="I129" s="3">
        <f t="shared" si="1"/>
        <v>10200</v>
      </c>
      <c r="J129" s="3">
        <f>Tabela1[[#This Row],[Valor]]*0.3</f>
        <v>3060</v>
      </c>
    </row>
    <row r="130" spans="1:10" x14ac:dyDescent="0.25">
      <c r="A130">
        <v>129</v>
      </c>
      <c r="B130" t="s">
        <v>55</v>
      </c>
      <c r="C130">
        <v>147</v>
      </c>
      <c r="D130">
        <v>2</v>
      </c>
      <c r="E130" t="s">
        <v>30</v>
      </c>
      <c r="F130" t="s">
        <v>56</v>
      </c>
      <c r="G130" s="1">
        <v>44958</v>
      </c>
      <c r="H130" s="2">
        <v>2100</v>
      </c>
      <c r="I130" s="3">
        <f t="shared" si="1"/>
        <v>1050</v>
      </c>
      <c r="J130" s="3">
        <f>Tabela1[[#This Row],[Valor]]*0.3</f>
        <v>630</v>
      </c>
    </row>
    <row r="131" spans="1:10" x14ac:dyDescent="0.25">
      <c r="A131">
        <v>130</v>
      </c>
      <c r="B131" t="s">
        <v>45</v>
      </c>
      <c r="C131">
        <v>102</v>
      </c>
      <c r="D131">
        <v>30</v>
      </c>
      <c r="E131" t="s">
        <v>27</v>
      </c>
      <c r="F131" t="s">
        <v>46</v>
      </c>
      <c r="G131" s="1">
        <v>44862</v>
      </c>
      <c r="H131" s="2">
        <v>24000</v>
      </c>
      <c r="I131" s="3">
        <f t="shared" ref="I131:I194" si="2">H131/D131</f>
        <v>800</v>
      </c>
      <c r="J131" s="3">
        <f>Tabela1[[#This Row],[Valor]]*0.3</f>
        <v>7200</v>
      </c>
    </row>
    <row r="132" spans="1:10" x14ac:dyDescent="0.25">
      <c r="A132">
        <v>131</v>
      </c>
      <c r="B132" t="s">
        <v>41</v>
      </c>
      <c r="C132">
        <v>134</v>
      </c>
      <c r="D132">
        <v>10</v>
      </c>
      <c r="E132" t="s">
        <v>29</v>
      </c>
      <c r="F132" t="s">
        <v>42</v>
      </c>
      <c r="G132" s="1">
        <v>44720</v>
      </c>
      <c r="H132" s="2">
        <v>10200</v>
      </c>
      <c r="I132" s="3">
        <f t="shared" si="2"/>
        <v>1020</v>
      </c>
      <c r="J132" s="3">
        <f>Tabela1[[#This Row],[Valor]]*0.3</f>
        <v>3060</v>
      </c>
    </row>
    <row r="133" spans="1:10" x14ac:dyDescent="0.25">
      <c r="A133">
        <v>132</v>
      </c>
      <c r="B133" t="s">
        <v>55</v>
      </c>
      <c r="C133">
        <v>147</v>
      </c>
      <c r="D133">
        <v>20</v>
      </c>
      <c r="E133" t="s">
        <v>27</v>
      </c>
      <c r="F133" t="s">
        <v>56</v>
      </c>
      <c r="G133" s="1">
        <v>45276</v>
      </c>
      <c r="H133" s="2">
        <v>2100</v>
      </c>
      <c r="I133" s="3">
        <f t="shared" si="2"/>
        <v>105</v>
      </c>
      <c r="J133" s="3">
        <f>Tabela1[[#This Row],[Valor]]*0.3</f>
        <v>630</v>
      </c>
    </row>
    <row r="134" spans="1:10" x14ac:dyDescent="0.25">
      <c r="A134">
        <v>133</v>
      </c>
      <c r="B134" t="s">
        <v>51</v>
      </c>
      <c r="C134">
        <v>476</v>
      </c>
      <c r="D134">
        <v>30</v>
      </c>
      <c r="E134" t="s">
        <v>30</v>
      </c>
      <c r="F134" t="s">
        <v>52</v>
      </c>
      <c r="G134" s="1">
        <v>44862</v>
      </c>
      <c r="H134" s="2">
        <v>20550</v>
      </c>
      <c r="I134" s="3">
        <f t="shared" si="2"/>
        <v>685</v>
      </c>
      <c r="J134" s="3">
        <f>Tabela1[[#This Row],[Valor]]*0.3</f>
        <v>6165</v>
      </c>
    </row>
    <row r="135" spans="1:10" x14ac:dyDescent="0.25">
      <c r="A135">
        <v>134</v>
      </c>
      <c r="B135" t="s">
        <v>51</v>
      </c>
      <c r="C135">
        <v>476</v>
      </c>
      <c r="D135">
        <v>30</v>
      </c>
      <c r="E135" t="s">
        <v>30</v>
      </c>
      <c r="F135" t="s">
        <v>52</v>
      </c>
      <c r="G135" s="1">
        <v>44788</v>
      </c>
      <c r="H135" s="2">
        <v>20550</v>
      </c>
      <c r="I135" s="3">
        <f t="shared" si="2"/>
        <v>685</v>
      </c>
      <c r="J135" s="3">
        <f>Tabela1[[#This Row],[Valor]]*0.3</f>
        <v>6165</v>
      </c>
    </row>
    <row r="136" spans="1:10" x14ac:dyDescent="0.25">
      <c r="A136">
        <v>135</v>
      </c>
      <c r="B136" t="s">
        <v>55</v>
      </c>
      <c r="C136">
        <v>147</v>
      </c>
      <c r="D136">
        <v>10</v>
      </c>
      <c r="E136" t="s">
        <v>27</v>
      </c>
      <c r="F136" t="s">
        <v>56</v>
      </c>
      <c r="G136" s="1">
        <v>44781</v>
      </c>
      <c r="H136" s="2">
        <v>2100</v>
      </c>
      <c r="I136" s="3">
        <f t="shared" si="2"/>
        <v>210</v>
      </c>
      <c r="J136" s="3">
        <f>Tabela1[[#This Row],[Valor]]*0.3</f>
        <v>630</v>
      </c>
    </row>
    <row r="137" spans="1:10" x14ac:dyDescent="0.25">
      <c r="A137">
        <v>136</v>
      </c>
      <c r="B137" t="s">
        <v>55</v>
      </c>
      <c r="C137">
        <v>147</v>
      </c>
      <c r="D137">
        <v>30</v>
      </c>
      <c r="E137" t="s">
        <v>28</v>
      </c>
      <c r="F137" t="s">
        <v>56</v>
      </c>
      <c r="G137" s="1">
        <v>44958</v>
      </c>
      <c r="H137" s="2">
        <v>2100</v>
      </c>
      <c r="I137" s="3">
        <f t="shared" si="2"/>
        <v>70</v>
      </c>
      <c r="J137" s="3">
        <f>Tabela1[[#This Row],[Valor]]*0.3</f>
        <v>630</v>
      </c>
    </row>
    <row r="138" spans="1:10" x14ac:dyDescent="0.25">
      <c r="A138">
        <v>137</v>
      </c>
      <c r="B138" t="s">
        <v>53</v>
      </c>
      <c r="C138">
        <v>579</v>
      </c>
      <c r="D138">
        <v>2</v>
      </c>
      <c r="E138" t="s">
        <v>30</v>
      </c>
      <c r="F138" t="s">
        <v>54</v>
      </c>
      <c r="G138" s="1">
        <v>45006</v>
      </c>
      <c r="H138" s="2">
        <v>80050</v>
      </c>
      <c r="I138" s="3">
        <f t="shared" si="2"/>
        <v>40025</v>
      </c>
      <c r="J138" s="3">
        <f>Tabela1[[#This Row],[Valor]]*0.3</f>
        <v>24015</v>
      </c>
    </row>
    <row r="139" spans="1:10" x14ac:dyDescent="0.25">
      <c r="A139">
        <v>138</v>
      </c>
      <c r="B139" t="s">
        <v>51</v>
      </c>
      <c r="C139">
        <v>476</v>
      </c>
      <c r="D139">
        <v>1</v>
      </c>
      <c r="E139" t="s">
        <v>28</v>
      </c>
      <c r="F139" t="s">
        <v>52</v>
      </c>
      <c r="G139" s="1">
        <v>44720</v>
      </c>
      <c r="H139" s="2">
        <v>20550</v>
      </c>
      <c r="I139" s="3">
        <f t="shared" si="2"/>
        <v>20550</v>
      </c>
      <c r="J139" s="3">
        <f>Tabela1[[#This Row],[Valor]]*0.3</f>
        <v>6165</v>
      </c>
    </row>
    <row r="140" spans="1:10" x14ac:dyDescent="0.25">
      <c r="A140">
        <v>139</v>
      </c>
      <c r="B140" t="s">
        <v>55</v>
      </c>
      <c r="C140">
        <v>147</v>
      </c>
      <c r="D140">
        <v>2</v>
      </c>
      <c r="E140" t="s">
        <v>29</v>
      </c>
      <c r="F140" t="s">
        <v>56</v>
      </c>
      <c r="G140" s="1">
        <v>44892</v>
      </c>
      <c r="H140" s="2">
        <v>2100</v>
      </c>
      <c r="I140" s="3">
        <f t="shared" si="2"/>
        <v>1050</v>
      </c>
      <c r="J140" s="3">
        <f>Tabela1[[#This Row],[Valor]]*0.3</f>
        <v>630</v>
      </c>
    </row>
    <row r="141" spans="1:10" x14ac:dyDescent="0.25">
      <c r="A141">
        <v>140</v>
      </c>
      <c r="B141" t="s">
        <v>55</v>
      </c>
      <c r="C141">
        <v>147</v>
      </c>
      <c r="D141">
        <v>10</v>
      </c>
      <c r="E141" t="s">
        <v>29</v>
      </c>
      <c r="F141" t="s">
        <v>56</v>
      </c>
      <c r="G141" s="1">
        <v>44787</v>
      </c>
      <c r="H141" s="2">
        <v>2100</v>
      </c>
      <c r="I141" s="3">
        <f t="shared" si="2"/>
        <v>210</v>
      </c>
      <c r="J141" s="3">
        <f>Tabela1[[#This Row],[Valor]]*0.3</f>
        <v>630</v>
      </c>
    </row>
    <row r="142" spans="1:10" x14ac:dyDescent="0.25">
      <c r="A142">
        <v>141</v>
      </c>
      <c r="B142" t="s">
        <v>55</v>
      </c>
      <c r="C142">
        <v>147</v>
      </c>
      <c r="D142">
        <v>1</v>
      </c>
      <c r="E142" t="s">
        <v>29</v>
      </c>
      <c r="F142" t="s">
        <v>56</v>
      </c>
      <c r="G142" s="1">
        <v>45276</v>
      </c>
      <c r="H142" s="2">
        <v>2100</v>
      </c>
      <c r="I142" s="3">
        <f t="shared" si="2"/>
        <v>2100</v>
      </c>
      <c r="J142" s="3">
        <f>Tabela1[[#This Row],[Valor]]*0.3</f>
        <v>630</v>
      </c>
    </row>
    <row r="143" spans="1:10" x14ac:dyDescent="0.25">
      <c r="A143">
        <v>142</v>
      </c>
      <c r="B143" t="s">
        <v>49</v>
      </c>
      <c r="C143">
        <v>217</v>
      </c>
      <c r="D143">
        <v>30</v>
      </c>
      <c r="E143" t="s">
        <v>30</v>
      </c>
      <c r="F143" t="s">
        <v>50</v>
      </c>
      <c r="G143" s="1">
        <v>45006</v>
      </c>
      <c r="H143" s="2">
        <v>2170</v>
      </c>
      <c r="I143" s="3">
        <f t="shared" si="2"/>
        <v>72.333333333333329</v>
      </c>
      <c r="J143" s="3">
        <f>Tabela1[[#This Row],[Valor]]*0.3</f>
        <v>651</v>
      </c>
    </row>
    <row r="144" spans="1:10" x14ac:dyDescent="0.25">
      <c r="A144">
        <v>143</v>
      </c>
      <c r="B144" t="s">
        <v>53</v>
      </c>
      <c r="C144">
        <v>579</v>
      </c>
      <c r="D144">
        <v>2</v>
      </c>
      <c r="E144" t="s">
        <v>27</v>
      </c>
      <c r="F144" t="s">
        <v>54</v>
      </c>
      <c r="G144" s="1">
        <v>44788</v>
      </c>
      <c r="H144" s="2">
        <v>80050</v>
      </c>
      <c r="I144" s="3">
        <f t="shared" si="2"/>
        <v>40025</v>
      </c>
      <c r="J144" s="3">
        <f>Tabela1[[#This Row],[Valor]]*0.3</f>
        <v>24015</v>
      </c>
    </row>
    <row r="145" spans="1:10" x14ac:dyDescent="0.25">
      <c r="A145">
        <v>144</v>
      </c>
      <c r="B145" t="s">
        <v>53</v>
      </c>
      <c r="C145">
        <v>579</v>
      </c>
      <c r="D145">
        <v>2</v>
      </c>
      <c r="E145" t="s">
        <v>30</v>
      </c>
      <c r="F145" t="s">
        <v>54</v>
      </c>
      <c r="G145" s="1">
        <v>44623</v>
      </c>
      <c r="H145" s="2">
        <v>80050</v>
      </c>
      <c r="I145" s="3">
        <f t="shared" si="2"/>
        <v>40025</v>
      </c>
      <c r="J145" s="3">
        <f>Tabela1[[#This Row],[Valor]]*0.3</f>
        <v>24015</v>
      </c>
    </row>
    <row r="146" spans="1:10" x14ac:dyDescent="0.25">
      <c r="A146">
        <v>145</v>
      </c>
      <c r="B146" t="s">
        <v>43</v>
      </c>
      <c r="C146">
        <v>875</v>
      </c>
      <c r="D146">
        <v>20</v>
      </c>
      <c r="E146" t="s">
        <v>29</v>
      </c>
      <c r="F146" t="s">
        <v>44</v>
      </c>
      <c r="G146" s="1">
        <v>44720</v>
      </c>
      <c r="H146" s="2">
        <v>1970</v>
      </c>
      <c r="I146" s="3">
        <f t="shared" si="2"/>
        <v>98.5</v>
      </c>
      <c r="J146" s="3">
        <f>Tabela1[[#This Row],[Valor]]*0.3</f>
        <v>591</v>
      </c>
    </row>
    <row r="147" spans="1:10" x14ac:dyDescent="0.25">
      <c r="A147">
        <v>146</v>
      </c>
      <c r="B147" t="s">
        <v>43</v>
      </c>
      <c r="C147">
        <v>875</v>
      </c>
      <c r="D147">
        <v>10</v>
      </c>
      <c r="E147" t="s">
        <v>29</v>
      </c>
      <c r="F147" t="s">
        <v>44</v>
      </c>
      <c r="G147" s="1">
        <v>44720</v>
      </c>
      <c r="H147" s="2">
        <v>1970</v>
      </c>
      <c r="I147" s="3">
        <f t="shared" si="2"/>
        <v>197</v>
      </c>
      <c r="J147" s="3">
        <f>Tabela1[[#This Row],[Valor]]*0.3</f>
        <v>591</v>
      </c>
    </row>
    <row r="148" spans="1:10" x14ac:dyDescent="0.25">
      <c r="A148">
        <v>147</v>
      </c>
      <c r="B148" t="s">
        <v>51</v>
      </c>
      <c r="C148">
        <v>476</v>
      </c>
      <c r="D148">
        <v>30</v>
      </c>
      <c r="E148" t="s">
        <v>30</v>
      </c>
      <c r="F148" t="s">
        <v>52</v>
      </c>
      <c r="G148" s="1">
        <v>44720</v>
      </c>
      <c r="H148" s="2">
        <v>20550</v>
      </c>
      <c r="I148" s="3">
        <f t="shared" si="2"/>
        <v>685</v>
      </c>
      <c r="J148" s="3">
        <f>Tabela1[[#This Row],[Valor]]*0.3</f>
        <v>6165</v>
      </c>
    </row>
    <row r="149" spans="1:10" x14ac:dyDescent="0.25">
      <c r="A149">
        <v>148</v>
      </c>
      <c r="B149" t="s">
        <v>55</v>
      </c>
      <c r="C149">
        <v>147</v>
      </c>
      <c r="D149">
        <v>30</v>
      </c>
      <c r="E149" t="s">
        <v>27</v>
      </c>
      <c r="F149" t="s">
        <v>56</v>
      </c>
      <c r="G149" s="1">
        <v>44591</v>
      </c>
      <c r="H149" s="2">
        <v>2100</v>
      </c>
      <c r="I149" s="3">
        <f t="shared" si="2"/>
        <v>70</v>
      </c>
      <c r="J149" s="3">
        <f>Tabela1[[#This Row],[Valor]]*0.3</f>
        <v>630</v>
      </c>
    </row>
    <row r="150" spans="1:10" x14ac:dyDescent="0.25">
      <c r="A150">
        <v>149</v>
      </c>
      <c r="B150" t="s">
        <v>51</v>
      </c>
      <c r="C150">
        <v>476</v>
      </c>
      <c r="D150">
        <v>10</v>
      </c>
      <c r="E150" t="s">
        <v>29</v>
      </c>
      <c r="F150" t="s">
        <v>52</v>
      </c>
      <c r="G150" s="1">
        <v>44796</v>
      </c>
      <c r="H150" s="2">
        <v>20550</v>
      </c>
      <c r="I150" s="3">
        <f t="shared" si="2"/>
        <v>2055</v>
      </c>
      <c r="J150" s="3">
        <f>Tabela1[[#This Row],[Valor]]*0.3</f>
        <v>6165</v>
      </c>
    </row>
    <row r="151" spans="1:10" x14ac:dyDescent="0.25">
      <c r="A151">
        <v>150</v>
      </c>
      <c r="B151" t="s">
        <v>45</v>
      </c>
      <c r="C151">
        <v>102</v>
      </c>
      <c r="D151">
        <v>10</v>
      </c>
      <c r="E151" t="s">
        <v>29</v>
      </c>
      <c r="F151" t="s">
        <v>46</v>
      </c>
      <c r="G151" s="1">
        <v>44892</v>
      </c>
      <c r="H151" s="2">
        <v>24000</v>
      </c>
      <c r="I151" s="3">
        <f t="shared" si="2"/>
        <v>2400</v>
      </c>
      <c r="J151" s="3">
        <f>Tabela1[[#This Row],[Valor]]*0.3</f>
        <v>7200</v>
      </c>
    </row>
    <row r="152" spans="1:10" x14ac:dyDescent="0.25">
      <c r="A152">
        <v>151</v>
      </c>
      <c r="B152" t="s">
        <v>45</v>
      </c>
      <c r="C152">
        <v>102</v>
      </c>
      <c r="D152">
        <v>2</v>
      </c>
      <c r="E152" t="s">
        <v>30</v>
      </c>
      <c r="F152" t="s">
        <v>46</v>
      </c>
      <c r="G152" s="1">
        <v>45276</v>
      </c>
      <c r="H152" s="2">
        <v>24000</v>
      </c>
      <c r="I152" s="3">
        <f t="shared" si="2"/>
        <v>12000</v>
      </c>
      <c r="J152" s="3">
        <f>Tabela1[[#This Row],[Valor]]*0.3</f>
        <v>7200</v>
      </c>
    </row>
    <row r="153" spans="1:10" x14ac:dyDescent="0.25">
      <c r="A153">
        <v>152</v>
      </c>
      <c r="B153" t="s">
        <v>41</v>
      </c>
      <c r="C153">
        <v>134</v>
      </c>
      <c r="D153">
        <v>30</v>
      </c>
      <c r="E153" t="s">
        <v>30</v>
      </c>
      <c r="F153" t="s">
        <v>42</v>
      </c>
      <c r="G153" s="1">
        <v>44720</v>
      </c>
      <c r="H153" s="2">
        <v>10200</v>
      </c>
      <c r="I153" s="3">
        <f t="shared" si="2"/>
        <v>340</v>
      </c>
      <c r="J153" s="3">
        <f>Tabela1[[#This Row],[Valor]]*0.3</f>
        <v>3060</v>
      </c>
    </row>
    <row r="154" spans="1:10" x14ac:dyDescent="0.25">
      <c r="A154">
        <v>153</v>
      </c>
      <c r="B154" t="s">
        <v>45</v>
      </c>
      <c r="C154">
        <v>102</v>
      </c>
      <c r="D154">
        <v>10</v>
      </c>
      <c r="E154" t="s">
        <v>27</v>
      </c>
      <c r="F154" t="s">
        <v>46</v>
      </c>
      <c r="G154" s="1">
        <v>44720</v>
      </c>
      <c r="H154" s="2">
        <v>24000</v>
      </c>
      <c r="I154" s="3">
        <f t="shared" si="2"/>
        <v>2400</v>
      </c>
      <c r="J154" s="3">
        <f>Tabela1[[#This Row],[Valor]]*0.3</f>
        <v>7200</v>
      </c>
    </row>
    <row r="155" spans="1:10" x14ac:dyDescent="0.25">
      <c r="A155">
        <v>154</v>
      </c>
      <c r="B155" t="s">
        <v>51</v>
      </c>
      <c r="C155">
        <v>476</v>
      </c>
      <c r="D155">
        <v>2</v>
      </c>
      <c r="E155" t="s">
        <v>30</v>
      </c>
      <c r="F155" t="s">
        <v>52</v>
      </c>
      <c r="G155" s="1">
        <v>45276</v>
      </c>
      <c r="H155" s="2">
        <v>20550</v>
      </c>
      <c r="I155" s="3">
        <f t="shared" si="2"/>
        <v>10275</v>
      </c>
      <c r="J155" s="3">
        <f>Tabela1[[#This Row],[Valor]]*0.3</f>
        <v>6165</v>
      </c>
    </row>
    <row r="156" spans="1:10" x14ac:dyDescent="0.25">
      <c r="A156">
        <v>155</v>
      </c>
      <c r="B156" t="s">
        <v>51</v>
      </c>
      <c r="C156">
        <v>476</v>
      </c>
      <c r="D156">
        <v>1</v>
      </c>
      <c r="E156" t="s">
        <v>28</v>
      </c>
      <c r="F156" t="s">
        <v>52</v>
      </c>
      <c r="G156" s="1">
        <v>44787</v>
      </c>
      <c r="H156" s="2">
        <v>20550</v>
      </c>
      <c r="I156" s="3">
        <f t="shared" si="2"/>
        <v>20550</v>
      </c>
      <c r="J156" s="3">
        <f>Tabela1[[#This Row],[Valor]]*0.3</f>
        <v>6165</v>
      </c>
    </row>
    <row r="157" spans="1:10" x14ac:dyDescent="0.25">
      <c r="A157">
        <v>156</v>
      </c>
      <c r="B157" t="s">
        <v>49</v>
      </c>
      <c r="C157">
        <v>217</v>
      </c>
      <c r="D157">
        <v>30</v>
      </c>
      <c r="E157" t="s">
        <v>27</v>
      </c>
      <c r="F157" t="s">
        <v>50</v>
      </c>
      <c r="G157" s="1">
        <v>44958</v>
      </c>
      <c r="H157" s="2">
        <v>2170</v>
      </c>
      <c r="I157" s="3">
        <f t="shared" si="2"/>
        <v>72.333333333333329</v>
      </c>
      <c r="J157" s="3">
        <f>Tabela1[[#This Row],[Valor]]*0.3</f>
        <v>651</v>
      </c>
    </row>
    <row r="158" spans="1:10" x14ac:dyDescent="0.25">
      <c r="A158">
        <v>157</v>
      </c>
      <c r="B158" t="s">
        <v>55</v>
      </c>
      <c r="C158">
        <v>147</v>
      </c>
      <c r="D158">
        <v>2</v>
      </c>
      <c r="E158" t="s">
        <v>28</v>
      </c>
      <c r="F158" t="s">
        <v>56</v>
      </c>
      <c r="G158" s="1">
        <v>44867</v>
      </c>
      <c r="H158" s="2">
        <v>2100</v>
      </c>
      <c r="I158" s="3">
        <f t="shared" si="2"/>
        <v>1050</v>
      </c>
      <c r="J158" s="3">
        <f>Tabela1[[#This Row],[Valor]]*0.3</f>
        <v>630</v>
      </c>
    </row>
    <row r="159" spans="1:10" x14ac:dyDescent="0.25">
      <c r="A159">
        <v>158</v>
      </c>
      <c r="B159" t="s">
        <v>45</v>
      </c>
      <c r="C159">
        <v>102</v>
      </c>
      <c r="D159">
        <v>20</v>
      </c>
      <c r="E159" t="s">
        <v>27</v>
      </c>
      <c r="F159" t="s">
        <v>46</v>
      </c>
      <c r="G159" s="1">
        <v>44623</v>
      </c>
      <c r="H159" s="2">
        <v>24000</v>
      </c>
      <c r="I159" s="3">
        <f t="shared" si="2"/>
        <v>1200</v>
      </c>
      <c r="J159" s="3">
        <f>Tabela1[[#This Row],[Valor]]*0.3</f>
        <v>7200</v>
      </c>
    </row>
    <row r="160" spans="1:10" x14ac:dyDescent="0.25">
      <c r="A160">
        <v>159</v>
      </c>
      <c r="B160" t="s">
        <v>41</v>
      </c>
      <c r="C160">
        <v>134</v>
      </c>
      <c r="D160">
        <v>20</v>
      </c>
      <c r="E160" t="s">
        <v>27</v>
      </c>
      <c r="F160" t="s">
        <v>42</v>
      </c>
      <c r="G160" s="1">
        <v>44818</v>
      </c>
      <c r="H160" s="2">
        <v>10200</v>
      </c>
      <c r="I160" s="3">
        <f t="shared" si="2"/>
        <v>510</v>
      </c>
      <c r="J160" s="3">
        <f>Tabela1[[#This Row],[Valor]]*0.3</f>
        <v>3060</v>
      </c>
    </row>
    <row r="161" spans="1:10" x14ac:dyDescent="0.25">
      <c r="A161">
        <v>160</v>
      </c>
      <c r="B161" t="s">
        <v>53</v>
      </c>
      <c r="C161">
        <v>579</v>
      </c>
      <c r="D161">
        <v>1</v>
      </c>
      <c r="E161" t="s">
        <v>28</v>
      </c>
      <c r="F161" t="s">
        <v>54</v>
      </c>
      <c r="G161" s="1">
        <v>45006</v>
      </c>
      <c r="H161" s="2">
        <v>80050</v>
      </c>
      <c r="I161" s="3">
        <f t="shared" si="2"/>
        <v>80050</v>
      </c>
      <c r="J161" s="3">
        <f>Tabela1[[#This Row],[Valor]]*0.3</f>
        <v>24015</v>
      </c>
    </row>
    <row r="162" spans="1:10" x14ac:dyDescent="0.25">
      <c r="A162">
        <v>161</v>
      </c>
      <c r="B162" t="s">
        <v>53</v>
      </c>
      <c r="C162">
        <v>579</v>
      </c>
      <c r="D162">
        <v>20</v>
      </c>
      <c r="E162" t="s">
        <v>30</v>
      </c>
      <c r="F162" t="s">
        <v>54</v>
      </c>
      <c r="G162" s="1">
        <v>44787</v>
      </c>
      <c r="H162" s="2">
        <v>80050</v>
      </c>
      <c r="I162" s="3">
        <f t="shared" si="2"/>
        <v>4002.5</v>
      </c>
      <c r="J162" s="3">
        <f>Tabela1[[#This Row],[Valor]]*0.3</f>
        <v>24015</v>
      </c>
    </row>
    <row r="163" spans="1:10" x14ac:dyDescent="0.25">
      <c r="A163">
        <v>162</v>
      </c>
      <c r="B163" t="s">
        <v>47</v>
      </c>
      <c r="C163">
        <v>456</v>
      </c>
      <c r="D163">
        <v>30</v>
      </c>
      <c r="E163" t="s">
        <v>28</v>
      </c>
      <c r="F163" t="s">
        <v>48</v>
      </c>
      <c r="G163" s="1">
        <v>44591</v>
      </c>
      <c r="H163" s="2">
        <v>300500</v>
      </c>
      <c r="I163" s="3">
        <f t="shared" si="2"/>
        <v>10016.666666666666</v>
      </c>
      <c r="J163" s="3">
        <f>Tabela1[[#This Row],[Valor]]*0.3</f>
        <v>90150</v>
      </c>
    </row>
    <row r="164" spans="1:10" x14ac:dyDescent="0.25">
      <c r="A164">
        <v>163</v>
      </c>
      <c r="B164" t="s">
        <v>53</v>
      </c>
      <c r="C164">
        <v>579</v>
      </c>
      <c r="D164">
        <v>1</v>
      </c>
      <c r="E164" t="s">
        <v>30</v>
      </c>
      <c r="F164" t="s">
        <v>54</v>
      </c>
      <c r="G164" s="1">
        <v>44862</v>
      </c>
      <c r="H164" s="2">
        <v>80050</v>
      </c>
      <c r="I164" s="3">
        <f t="shared" si="2"/>
        <v>80050</v>
      </c>
      <c r="J164" s="3">
        <f>Tabela1[[#This Row],[Valor]]*0.3</f>
        <v>24015</v>
      </c>
    </row>
    <row r="165" spans="1:10" x14ac:dyDescent="0.25">
      <c r="A165">
        <v>164</v>
      </c>
      <c r="B165" t="s">
        <v>43</v>
      </c>
      <c r="C165">
        <v>875</v>
      </c>
      <c r="D165">
        <v>30</v>
      </c>
      <c r="E165" t="s">
        <v>27</v>
      </c>
      <c r="F165" t="s">
        <v>44</v>
      </c>
      <c r="G165" s="1">
        <v>44796</v>
      </c>
      <c r="H165" s="2">
        <v>1970</v>
      </c>
      <c r="I165" s="3">
        <f t="shared" si="2"/>
        <v>65.666666666666671</v>
      </c>
      <c r="J165" s="3">
        <f>Tabela1[[#This Row],[Valor]]*0.3</f>
        <v>591</v>
      </c>
    </row>
    <row r="166" spans="1:10" x14ac:dyDescent="0.25">
      <c r="A166">
        <v>165</v>
      </c>
      <c r="B166" t="s">
        <v>41</v>
      </c>
      <c r="C166">
        <v>134</v>
      </c>
      <c r="D166">
        <v>1</v>
      </c>
      <c r="E166" t="s">
        <v>28</v>
      </c>
      <c r="F166" t="s">
        <v>42</v>
      </c>
      <c r="G166" s="1">
        <v>44788</v>
      </c>
      <c r="H166" s="2">
        <v>10200</v>
      </c>
      <c r="I166" s="3">
        <f t="shared" si="2"/>
        <v>10200</v>
      </c>
      <c r="J166" s="3">
        <f>Tabela1[[#This Row],[Valor]]*0.3</f>
        <v>3060</v>
      </c>
    </row>
    <row r="167" spans="1:10" x14ac:dyDescent="0.25">
      <c r="A167">
        <v>166</v>
      </c>
      <c r="B167" t="s">
        <v>45</v>
      </c>
      <c r="C167">
        <v>102</v>
      </c>
      <c r="D167">
        <v>20</v>
      </c>
      <c r="E167" t="s">
        <v>27</v>
      </c>
      <c r="F167" t="s">
        <v>46</v>
      </c>
      <c r="G167" s="1">
        <v>44720</v>
      </c>
      <c r="H167" s="2">
        <v>24000</v>
      </c>
      <c r="I167" s="3">
        <f t="shared" si="2"/>
        <v>1200</v>
      </c>
      <c r="J167" s="3">
        <f>Tabela1[[#This Row],[Valor]]*0.3</f>
        <v>7200</v>
      </c>
    </row>
    <row r="168" spans="1:10" x14ac:dyDescent="0.25">
      <c r="A168">
        <v>167</v>
      </c>
      <c r="B168" t="s">
        <v>49</v>
      </c>
      <c r="C168">
        <v>217</v>
      </c>
      <c r="D168">
        <v>1</v>
      </c>
      <c r="E168" t="s">
        <v>30</v>
      </c>
      <c r="F168" t="s">
        <v>50</v>
      </c>
      <c r="G168" s="1">
        <v>44958</v>
      </c>
      <c r="H168" s="2">
        <v>2170</v>
      </c>
      <c r="I168" s="3">
        <f t="shared" si="2"/>
        <v>2170</v>
      </c>
      <c r="J168" s="3">
        <f>Tabela1[[#This Row],[Valor]]*0.3</f>
        <v>651</v>
      </c>
    </row>
    <row r="169" spans="1:10" x14ac:dyDescent="0.25">
      <c r="A169">
        <v>168</v>
      </c>
      <c r="B169" t="s">
        <v>55</v>
      </c>
      <c r="C169">
        <v>147</v>
      </c>
      <c r="D169">
        <v>30</v>
      </c>
      <c r="E169" t="s">
        <v>28</v>
      </c>
      <c r="F169" t="s">
        <v>56</v>
      </c>
      <c r="G169" s="1">
        <v>44710</v>
      </c>
      <c r="H169" s="2">
        <v>2100</v>
      </c>
      <c r="I169" s="3">
        <f t="shared" si="2"/>
        <v>70</v>
      </c>
      <c r="J169" s="3">
        <f>Tabela1[[#This Row],[Valor]]*0.3</f>
        <v>630</v>
      </c>
    </row>
    <row r="170" spans="1:10" x14ac:dyDescent="0.25">
      <c r="A170">
        <v>169</v>
      </c>
      <c r="B170" t="s">
        <v>43</v>
      </c>
      <c r="C170">
        <v>875</v>
      </c>
      <c r="D170">
        <v>1</v>
      </c>
      <c r="E170" t="s">
        <v>30</v>
      </c>
      <c r="F170" t="s">
        <v>44</v>
      </c>
      <c r="G170" s="1">
        <v>44818</v>
      </c>
      <c r="H170" s="2">
        <v>1970</v>
      </c>
      <c r="I170" s="3">
        <f t="shared" si="2"/>
        <v>1970</v>
      </c>
      <c r="J170" s="3">
        <f>Tabela1[[#This Row],[Valor]]*0.3</f>
        <v>591</v>
      </c>
    </row>
    <row r="171" spans="1:10" x14ac:dyDescent="0.25">
      <c r="A171">
        <v>170</v>
      </c>
      <c r="B171" t="s">
        <v>43</v>
      </c>
      <c r="C171">
        <v>875</v>
      </c>
      <c r="D171">
        <v>30</v>
      </c>
      <c r="E171" t="s">
        <v>30</v>
      </c>
      <c r="F171" t="s">
        <v>44</v>
      </c>
      <c r="G171" s="1">
        <v>44867</v>
      </c>
      <c r="H171" s="2">
        <v>1970</v>
      </c>
      <c r="I171" s="3">
        <f t="shared" si="2"/>
        <v>65.666666666666671</v>
      </c>
      <c r="J171" s="3">
        <f>Tabela1[[#This Row],[Valor]]*0.3</f>
        <v>591</v>
      </c>
    </row>
    <row r="172" spans="1:10" x14ac:dyDescent="0.25">
      <c r="A172">
        <v>171</v>
      </c>
      <c r="B172" t="s">
        <v>47</v>
      </c>
      <c r="C172">
        <v>456</v>
      </c>
      <c r="D172">
        <v>30</v>
      </c>
      <c r="E172" t="s">
        <v>29</v>
      </c>
      <c r="F172" t="s">
        <v>48</v>
      </c>
      <c r="G172" s="1">
        <v>44818</v>
      </c>
      <c r="H172" s="2">
        <v>300500</v>
      </c>
      <c r="I172" s="3">
        <f t="shared" si="2"/>
        <v>10016.666666666666</v>
      </c>
      <c r="J172" s="3">
        <f>Tabela1[[#This Row],[Valor]]*0.3</f>
        <v>90150</v>
      </c>
    </row>
    <row r="173" spans="1:10" x14ac:dyDescent="0.25">
      <c r="A173">
        <v>172</v>
      </c>
      <c r="B173" t="s">
        <v>41</v>
      </c>
      <c r="C173">
        <v>134</v>
      </c>
      <c r="D173">
        <v>2</v>
      </c>
      <c r="E173" t="s">
        <v>30</v>
      </c>
      <c r="F173" t="s">
        <v>42</v>
      </c>
      <c r="G173" s="1">
        <v>44788</v>
      </c>
      <c r="H173" s="2">
        <v>10200</v>
      </c>
      <c r="I173" s="3">
        <f t="shared" si="2"/>
        <v>5100</v>
      </c>
      <c r="J173" s="3">
        <f>Tabela1[[#This Row],[Valor]]*0.3</f>
        <v>3060</v>
      </c>
    </row>
    <row r="174" spans="1:10" x14ac:dyDescent="0.25">
      <c r="A174">
        <v>173</v>
      </c>
      <c r="B174" t="s">
        <v>53</v>
      </c>
      <c r="C174">
        <v>579</v>
      </c>
      <c r="D174">
        <v>20</v>
      </c>
      <c r="E174" t="s">
        <v>29</v>
      </c>
      <c r="F174" t="s">
        <v>54</v>
      </c>
      <c r="G174" s="1">
        <v>45014</v>
      </c>
      <c r="H174" s="2">
        <v>80050</v>
      </c>
      <c r="I174" s="3">
        <f t="shared" si="2"/>
        <v>4002.5</v>
      </c>
      <c r="J174" s="3">
        <f>Tabela1[[#This Row],[Valor]]*0.3</f>
        <v>24015</v>
      </c>
    </row>
    <row r="175" spans="1:10" x14ac:dyDescent="0.25">
      <c r="A175">
        <v>174</v>
      </c>
      <c r="B175" t="s">
        <v>49</v>
      </c>
      <c r="C175">
        <v>217</v>
      </c>
      <c r="D175">
        <v>30</v>
      </c>
      <c r="E175" t="s">
        <v>28</v>
      </c>
      <c r="F175" t="s">
        <v>50</v>
      </c>
      <c r="G175" s="1">
        <v>44958</v>
      </c>
      <c r="H175" s="2">
        <v>2170</v>
      </c>
      <c r="I175" s="3">
        <f t="shared" si="2"/>
        <v>72.333333333333329</v>
      </c>
      <c r="J175" s="3">
        <f>Tabela1[[#This Row],[Valor]]*0.3</f>
        <v>651</v>
      </c>
    </row>
    <row r="176" spans="1:10" x14ac:dyDescent="0.25">
      <c r="A176">
        <v>175</v>
      </c>
      <c r="B176" t="s">
        <v>43</v>
      </c>
      <c r="C176">
        <v>875</v>
      </c>
      <c r="D176">
        <v>1</v>
      </c>
      <c r="E176" t="s">
        <v>28</v>
      </c>
      <c r="F176" t="s">
        <v>44</v>
      </c>
      <c r="G176" s="1">
        <v>44673</v>
      </c>
      <c r="H176" s="2">
        <v>1970</v>
      </c>
      <c r="I176" s="3">
        <f t="shared" si="2"/>
        <v>1970</v>
      </c>
      <c r="J176" s="3">
        <f>Tabela1[[#This Row],[Valor]]*0.3</f>
        <v>591</v>
      </c>
    </row>
    <row r="177" spans="1:10" x14ac:dyDescent="0.25">
      <c r="A177">
        <v>176</v>
      </c>
      <c r="B177" t="s">
        <v>55</v>
      </c>
      <c r="C177">
        <v>147</v>
      </c>
      <c r="D177">
        <v>20</v>
      </c>
      <c r="E177" t="s">
        <v>30</v>
      </c>
      <c r="F177" t="s">
        <v>56</v>
      </c>
      <c r="G177" s="1">
        <v>44591</v>
      </c>
      <c r="H177" s="2">
        <v>2100</v>
      </c>
      <c r="I177" s="3">
        <f t="shared" si="2"/>
        <v>105</v>
      </c>
      <c r="J177" s="3">
        <f>Tabela1[[#This Row],[Valor]]*0.3</f>
        <v>630</v>
      </c>
    </row>
    <row r="178" spans="1:10" x14ac:dyDescent="0.25">
      <c r="A178">
        <v>177</v>
      </c>
      <c r="B178" t="s">
        <v>51</v>
      </c>
      <c r="C178">
        <v>476</v>
      </c>
      <c r="D178">
        <v>1</v>
      </c>
      <c r="E178" t="s">
        <v>28</v>
      </c>
      <c r="F178" t="s">
        <v>52</v>
      </c>
      <c r="G178" s="1">
        <v>44788</v>
      </c>
      <c r="H178" s="2">
        <v>20550</v>
      </c>
      <c r="I178" s="3">
        <f t="shared" si="2"/>
        <v>20550</v>
      </c>
      <c r="J178" s="3">
        <f>Tabela1[[#This Row],[Valor]]*0.3</f>
        <v>6165</v>
      </c>
    </row>
    <row r="179" spans="1:10" x14ac:dyDescent="0.25">
      <c r="A179">
        <v>178</v>
      </c>
      <c r="B179" t="s">
        <v>55</v>
      </c>
      <c r="C179">
        <v>147</v>
      </c>
      <c r="D179">
        <v>30</v>
      </c>
      <c r="E179" t="s">
        <v>27</v>
      </c>
      <c r="F179" t="s">
        <v>56</v>
      </c>
      <c r="G179" s="1">
        <v>44787</v>
      </c>
      <c r="H179" s="2">
        <v>2100</v>
      </c>
      <c r="I179" s="3">
        <f t="shared" si="2"/>
        <v>70</v>
      </c>
      <c r="J179" s="3">
        <f>Tabela1[[#This Row],[Valor]]*0.3</f>
        <v>630</v>
      </c>
    </row>
    <row r="180" spans="1:10" x14ac:dyDescent="0.25">
      <c r="A180">
        <v>179</v>
      </c>
      <c r="B180" t="s">
        <v>45</v>
      </c>
      <c r="C180">
        <v>102</v>
      </c>
      <c r="D180">
        <v>20</v>
      </c>
      <c r="E180" t="s">
        <v>30</v>
      </c>
      <c r="F180" t="s">
        <v>46</v>
      </c>
      <c r="G180" s="1">
        <v>44958</v>
      </c>
      <c r="H180" s="2">
        <v>24000</v>
      </c>
      <c r="I180" s="3">
        <f t="shared" si="2"/>
        <v>1200</v>
      </c>
      <c r="J180" s="3">
        <f>Tabela1[[#This Row],[Valor]]*0.3</f>
        <v>7200</v>
      </c>
    </row>
    <row r="181" spans="1:10" x14ac:dyDescent="0.25">
      <c r="A181">
        <v>180</v>
      </c>
      <c r="B181" t="s">
        <v>43</v>
      </c>
      <c r="C181">
        <v>875</v>
      </c>
      <c r="D181">
        <v>10</v>
      </c>
      <c r="E181" t="s">
        <v>28</v>
      </c>
      <c r="F181" t="s">
        <v>44</v>
      </c>
      <c r="G181" s="1">
        <v>44706</v>
      </c>
      <c r="H181" s="2">
        <v>1970</v>
      </c>
      <c r="I181" s="3">
        <f t="shared" si="2"/>
        <v>197</v>
      </c>
      <c r="J181" s="3">
        <f>Tabela1[[#This Row],[Valor]]*0.3</f>
        <v>591</v>
      </c>
    </row>
    <row r="182" spans="1:10" x14ac:dyDescent="0.25">
      <c r="A182">
        <v>181</v>
      </c>
      <c r="B182" t="s">
        <v>41</v>
      </c>
      <c r="C182">
        <v>134</v>
      </c>
      <c r="D182">
        <v>30</v>
      </c>
      <c r="E182" t="s">
        <v>29</v>
      </c>
      <c r="F182" t="s">
        <v>42</v>
      </c>
      <c r="G182" s="1">
        <v>45006</v>
      </c>
      <c r="H182" s="2">
        <v>10200</v>
      </c>
      <c r="I182" s="3">
        <f t="shared" si="2"/>
        <v>340</v>
      </c>
      <c r="J182" s="3">
        <f>Tabela1[[#This Row],[Valor]]*0.3</f>
        <v>3060</v>
      </c>
    </row>
    <row r="183" spans="1:10" x14ac:dyDescent="0.25">
      <c r="A183">
        <v>182</v>
      </c>
      <c r="B183" t="s">
        <v>43</v>
      </c>
      <c r="C183">
        <v>875</v>
      </c>
      <c r="D183">
        <v>20</v>
      </c>
      <c r="E183" t="s">
        <v>30</v>
      </c>
      <c r="F183" t="s">
        <v>44</v>
      </c>
      <c r="G183" s="1">
        <v>44781</v>
      </c>
      <c r="H183" s="2">
        <v>1970</v>
      </c>
      <c r="I183" s="3">
        <f t="shared" si="2"/>
        <v>98.5</v>
      </c>
      <c r="J183" s="3">
        <f>Tabela1[[#This Row],[Valor]]*0.3</f>
        <v>591</v>
      </c>
    </row>
    <row r="184" spans="1:10" x14ac:dyDescent="0.25">
      <c r="A184">
        <v>183</v>
      </c>
      <c r="B184" t="s">
        <v>41</v>
      </c>
      <c r="C184">
        <v>134</v>
      </c>
      <c r="D184">
        <v>1</v>
      </c>
      <c r="E184" t="s">
        <v>30</v>
      </c>
      <c r="F184" t="s">
        <v>42</v>
      </c>
      <c r="G184" s="1">
        <v>44781</v>
      </c>
      <c r="H184" s="2">
        <v>10200</v>
      </c>
      <c r="I184" s="3">
        <f t="shared" si="2"/>
        <v>10200</v>
      </c>
      <c r="J184" s="3">
        <f>Tabela1[[#This Row],[Valor]]*0.3</f>
        <v>3060</v>
      </c>
    </row>
    <row r="185" spans="1:10" x14ac:dyDescent="0.25">
      <c r="A185">
        <v>184</v>
      </c>
      <c r="B185" t="s">
        <v>49</v>
      </c>
      <c r="C185">
        <v>217</v>
      </c>
      <c r="D185">
        <v>30</v>
      </c>
      <c r="E185" t="s">
        <v>30</v>
      </c>
      <c r="F185" t="s">
        <v>50</v>
      </c>
      <c r="G185" s="1">
        <v>44796</v>
      </c>
      <c r="H185" s="2">
        <v>2170</v>
      </c>
      <c r="I185" s="3">
        <f t="shared" si="2"/>
        <v>72.333333333333329</v>
      </c>
      <c r="J185" s="3">
        <f>Tabela1[[#This Row],[Valor]]*0.3</f>
        <v>651</v>
      </c>
    </row>
    <row r="186" spans="1:10" x14ac:dyDescent="0.25">
      <c r="A186">
        <v>185</v>
      </c>
      <c r="B186" t="s">
        <v>45</v>
      </c>
      <c r="C186">
        <v>102</v>
      </c>
      <c r="D186">
        <v>20</v>
      </c>
      <c r="E186" t="s">
        <v>27</v>
      </c>
      <c r="F186" t="s">
        <v>46</v>
      </c>
      <c r="G186" s="1">
        <v>44623</v>
      </c>
      <c r="H186" s="2">
        <v>24000</v>
      </c>
      <c r="I186" s="3">
        <f t="shared" si="2"/>
        <v>1200</v>
      </c>
      <c r="J186" s="3">
        <f>Tabela1[[#This Row],[Valor]]*0.3</f>
        <v>7200</v>
      </c>
    </row>
    <row r="187" spans="1:10" x14ac:dyDescent="0.25">
      <c r="A187">
        <v>186</v>
      </c>
      <c r="B187" t="s">
        <v>47</v>
      </c>
      <c r="C187">
        <v>456</v>
      </c>
      <c r="D187">
        <v>30</v>
      </c>
      <c r="E187" t="s">
        <v>29</v>
      </c>
      <c r="F187" t="s">
        <v>48</v>
      </c>
      <c r="G187" s="1">
        <v>44781</v>
      </c>
      <c r="H187" s="2">
        <v>300500</v>
      </c>
      <c r="I187" s="3">
        <f t="shared" si="2"/>
        <v>10016.666666666666</v>
      </c>
      <c r="J187" s="3">
        <f>Tabela1[[#This Row],[Valor]]*0.3</f>
        <v>90150</v>
      </c>
    </row>
    <row r="188" spans="1:10" x14ac:dyDescent="0.25">
      <c r="A188">
        <v>187</v>
      </c>
      <c r="B188" t="s">
        <v>45</v>
      </c>
      <c r="C188">
        <v>102</v>
      </c>
      <c r="D188">
        <v>2</v>
      </c>
      <c r="E188" t="s">
        <v>28</v>
      </c>
      <c r="F188" t="s">
        <v>46</v>
      </c>
      <c r="G188" s="1">
        <v>44623</v>
      </c>
      <c r="H188" s="2">
        <v>24000</v>
      </c>
      <c r="I188" s="3">
        <f t="shared" si="2"/>
        <v>12000</v>
      </c>
      <c r="J188" s="3">
        <f>Tabela1[[#This Row],[Valor]]*0.3</f>
        <v>7200</v>
      </c>
    </row>
    <row r="189" spans="1:10" x14ac:dyDescent="0.25">
      <c r="A189">
        <v>188</v>
      </c>
      <c r="B189" t="s">
        <v>53</v>
      </c>
      <c r="C189">
        <v>579</v>
      </c>
      <c r="D189">
        <v>1</v>
      </c>
      <c r="E189" t="s">
        <v>29</v>
      </c>
      <c r="F189" t="s">
        <v>54</v>
      </c>
      <c r="G189" s="1">
        <v>44720</v>
      </c>
      <c r="H189" s="2">
        <v>80050</v>
      </c>
      <c r="I189" s="3">
        <f t="shared" si="2"/>
        <v>80050</v>
      </c>
      <c r="J189" s="3">
        <f>Tabela1[[#This Row],[Valor]]*0.3</f>
        <v>24015</v>
      </c>
    </row>
    <row r="190" spans="1:10" x14ac:dyDescent="0.25">
      <c r="A190">
        <v>189</v>
      </c>
      <c r="B190" t="s">
        <v>43</v>
      </c>
      <c r="C190">
        <v>875</v>
      </c>
      <c r="D190">
        <v>30</v>
      </c>
      <c r="E190" t="s">
        <v>27</v>
      </c>
      <c r="F190" t="s">
        <v>44</v>
      </c>
      <c r="G190" s="1">
        <v>45006</v>
      </c>
      <c r="H190" s="2">
        <v>1970</v>
      </c>
      <c r="I190" s="3">
        <f t="shared" si="2"/>
        <v>65.666666666666671</v>
      </c>
      <c r="J190" s="3">
        <f>Tabela1[[#This Row],[Valor]]*0.3</f>
        <v>591</v>
      </c>
    </row>
    <row r="191" spans="1:10" x14ac:dyDescent="0.25">
      <c r="A191">
        <v>190</v>
      </c>
      <c r="B191" t="s">
        <v>47</v>
      </c>
      <c r="C191">
        <v>456</v>
      </c>
      <c r="D191">
        <v>10</v>
      </c>
      <c r="E191" t="s">
        <v>30</v>
      </c>
      <c r="F191" t="s">
        <v>48</v>
      </c>
      <c r="G191" s="1">
        <v>45014</v>
      </c>
      <c r="H191" s="2">
        <v>300500</v>
      </c>
      <c r="I191" s="3">
        <f t="shared" si="2"/>
        <v>30050</v>
      </c>
      <c r="J191" s="3">
        <f>Tabela1[[#This Row],[Valor]]*0.3</f>
        <v>90150</v>
      </c>
    </row>
    <row r="192" spans="1:10" x14ac:dyDescent="0.25">
      <c r="A192">
        <v>191</v>
      </c>
      <c r="B192" t="s">
        <v>53</v>
      </c>
      <c r="C192">
        <v>579</v>
      </c>
      <c r="D192">
        <v>20</v>
      </c>
      <c r="E192" t="s">
        <v>30</v>
      </c>
      <c r="F192" t="s">
        <v>54</v>
      </c>
      <c r="G192" s="1">
        <v>44892</v>
      </c>
      <c r="H192" s="2">
        <v>80050</v>
      </c>
      <c r="I192" s="3">
        <f t="shared" si="2"/>
        <v>4002.5</v>
      </c>
      <c r="J192" s="3">
        <f>Tabela1[[#This Row],[Valor]]*0.3</f>
        <v>24015</v>
      </c>
    </row>
    <row r="193" spans="1:10" x14ac:dyDescent="0.25">
      <c r="A193">
        <v>192</v>
      </c>
      <c r="B193" t="s">
        <v>45</v>
      </c>
      <c r="C193">
        <v>102</v>
      </c>
      <c r="D193">
        <v>1</v>
      </c>
      <c r="E193" t="s">
        <v>28</v>
      </c>
      <c r="F193" t="s">
        <v>46</v>
      </c>
      <c r="G193" s="1">
        <v>45014</v>
      </c>
      <c r="H193" s="2">
        <v>24000</v>
      </c>
      <c r="I193" s="3">
        <f t="shared" si="2"/>
        <v>24000</v>
      </c>
      <c r="J193" s="3">
        <f>Tabela1[[#This Row],[Valor]]*0.3</f>
        <v>7200</v>
      </c>
    </row>
    <row r="194" spans="1:10" x14ac:dyDescent="0.25">
      <c r="A194">
        <v>193</v>
      </c>
      <c r="B194" t="s">
        <v>53</v>
      </c>
      <c r="C194">
        <v>579</v>
      </c>
      <c r="D194">
        <v>1</v>
      </c>
      <c r="E194" t="s">
        <v>27</v>
      </c>
      <c r="F194" t="s">
        <v>54</v>
      </c>
      <c r="G194" s="1">
        <v>45276</v>
      </c>
      <c r="H194" s="2">
        <v>80050</v>
      </c>
      <c r="I194" s="3">
        <f t="shared" si="2"/>
        <v>80050</v>
      </c>
      <c r="J194" s="3">
        <f>Tabela1[[#This Row],[Valor]]*0.3</f>
        <v>24015</v>
      </c>
    </row>
    <row r="195" spans="1:10" x14ac:dyDescent="0.25">
      <c r="A195">
        <v>194</v>
      </c>
      <c r="B195" t="s">
        <v>53</v>
      </c>
      <c r="C195">
        <v>579</v>
      </c>
      <c r="D195">
        <v>1</v>
      </c>
      <c r="E195" t="s">
        <v>30</v>
      </c>
      <c r="F195" t="s">
        <v>54</v>
      </c>
      <c r="G195" s="1">
        <v>44710</v>
      </c>
      <c r="H195" s="2">
        <v>80050</v>
      </c>
      <c r="I195" s="3">
        <f t="shared" ref="I195:I201" si="3">H195/D195</f>
        <v>80050</v>
      </c>
      <c r="J195" s="3">
        <f>Tabela1[[#This Row],[Valor]]*0.3</f>
        <v>24015</v>
      </c>
    </row>
    <row r="196" spans="1:10" x14ac:dyDescent="0.25">
      <c r="A196">
        <v>195</v>
      </c>
      <c r="B196" t="s">
        <v>43</v>
      </c>
      <c r="C196">
        <v>875</v>
      </c>
      <c r="D196">
        <v>20</v>
      </c>
      <c r="E196" t="s">
        <v>27</v>
      </c>
      <c r="F196" t="s">
        <v>44</v>
      </c>
      <c r="G196" s="1">
        <v>44720</v>
      </c>
      <c r="H196" s="2">
        <v>1970</v>
      </c>
      <c r="I196" s="3">
        <f t="shared" si="3"/>
        <v>98.5</v>
      </c>
      <c r="J196" s="3">
        <f>Tabela1[[#This Row],[Valor]]*0.3</f>
        <v>591</v>
      </c>
    </row>
    <row r="197" spans="1:10" x14ac:dyDescent="0.25">
      <c r="A197">
        <v>196</v>
      </c>
      <c r="B197" t="s">
        <v>49</v>
      </c>
      <c r="C197">
        <v>217</v>
      </c>
      <c r="D197">
        <v>2</v>
      </c>
      <c r="E197" t="s">
        <v>29</v>
      </c>
      <c r="F197" t="s">
        <v>50</v>
      </c>
      <c r="G197" s="1">
        <v>44710</v>
      </c>
      <c r="H197" s="2">
        <v>2170</v>
      </c>
      <c r="I197" s="3">
        <f t="shared" si="3"/>
        <v>1085</v>
      </c>
      <c r="J197" s="3">
        <f>Tabela1[[#This Row],[Valor]]*0.3</f>
        <v>651</v>
      </c>
    </row>
    <row r="198" spans="1:10" x14ac:dyDescent="0.25">
      <c r="A198">
        <v>197</v>
      </c>
      <c r="B198" t="s">
        <v>53</v>
      </c>
      <c r="C198">
        <v>579</v>
      </c>
      <c r="D198">
        <v>20</v>
      </c>
      <c r="E198" t="s">
        <v>29</v>
      </c>
      <c r="F198" t="s">
        <v>54</v>
      </c>
      <c r="G198" s="1">
        <v>44892</v>
      </c>
      <c r="H198" s="2">
        <v>80050</v>
      </c>
      <c r="I198" s="3">
        <f t="shared" si="3"/>
        <v>4002.5</v>
      </c>
      <c r="J198" s="3">
        <f>Tabela1[[#This Row],[Valor]]*0.3</f>
        <v>24015</v>
      </c>
    </row>
    <row r="199" spans="1:10" x14ac:dyDescent="0.25">
      <c r="A199">
        <v>198</v>
      </c>
      <c r="B199" t="s">
        <v>47</v>
      </c>
      <c r="C199">
        <v>456</v>
      </c>
      <c r="D199">
        <v>10</v>
      </c>
      <c r="E199" t="s">
        <v>29</v>
      </c>
      <c r="F199" t="s">
        <v>48</v>
      </c>
      <c r="G199" s="1">
        <v>44787</v>
      </c>
      <c r="H199" s="2">
        <v>300500</v>
      </c>
      <c r="I199" s="3">
        <f t="shared" si="3"/>
        <v>30050</v>
      </c>
      <c r="J199" s="3">
        <f>Tabela1[[#This Row],[Valor]]*0.3</f>
        <v>90150</v>
      </c>
    </row>
    <row r="200" spans="1:10" x14ac:dyDescent="0.25">
      <c r="A200">
        <v>199</v>
      </c>
      <c r="B200" t="s">
        <v>45</v>
      </c>
      <c r="C200">
        <v>102</v>
      </c>
      <c r="D200">
        <v>10</v>
      </c>
      <c r="E200" t="s">
        <v>27</v>
      </c>
      <c r="F200" t="s">
        <v>46</v>
      </c>
      <c r="G200" s="1">
        <v>45276</v>
      </c>
      <c r="H200" s="2">
        <v>24000</v>
      </c>
      <c r="I200" s="3">
        <f t="shared" si="3"/>
        <v>2400</v>
      </c>
      <c r="J200" s="3">
        <f>Tabela1[[#This Row],[Valor]]*0.3</f>
        <v>7200</v>
      </c>
    </row>
    <row r="201" spans="1:10" x14ac:dyDescent="0.25">
      <c r="A201">
        <v>200</v>
      </c>
      <c r="B201" t="s">
        <v>55</v>
      </c>
      <c r="C201">
        <v>147</v>
      </c>
      <c r="D201">
        <v>10</v>
      </c>
      <c r="E201" t="s">
        <v>27</v>
      </c>
      <c r="F201" t="s">
        <v>56</v>
      </c>
      <c r="G201" s="1">
        <v>44862</v>
      </c>
      <c r="H201" s="2">
        <v>2100</v>
      </c>
      <c r="I201" s="3">
        <f t="shared" si="3"/>
        <v>210</v>
      </c>
      <c r="J201" s="3">
        <f>Tabela1[[#This Row],[Valor]]*0.3</f>
        <v>630</v>
      </c>
    </row>
    <row r="202" spans="1:10" x14ac:dyDescent="0.25">
      <c r="G202" s="1"/>
      <c r="H202" s="2" t="s">
        <v>33</v>
      </c>
      <c r="I202" s="3"/>
      <c r="J202" s="3" t="s">
        <v>143</v>
      </c>
    </row>
    <row r="203" spans="1:10" x14ac:dyDescent="0.25">
      <c r="H203" s="2">
        <f>SUM(H2:H201)</f>
        <v>11687050</v>
      </c>
      <c r="I203" s="3"/>
      <c r="J203" s="3">
        <f>SUM(J2:J201)</f>
        <v>3506115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79F1-5F77-44D3-99AE-46751CE00795}">
  <dimension ref="A1:D90"/>
  <sheetViews>
    <sheetView topLeftCell="A51" zoomScale="66" workbookViewId="0">
      <selection activeCell="B47" sqref="B47:B51"/>
    </sheetView>
  </sheetViews>
  <sheetFormatPr defaultRowHeight="15" x14ac:dyDescent="0.25"/>
  <cols>
    <col min="1" max="1" width="25.42578125" bestFit="1" customWidth="1"/>
    <col min="2" max="2" width="27.42578125" bestFit="1" customWidth="1"/>
    <col min="3" max="3" width="14.140625" bestFit="1" customWidth="1"/>
    <col min="4" max="4" width="15.140625" bestFit="1" customWidth="1"/>
    <col min="5" max="5" width="14.7109375" bestFit="1" customWidth="1"/>
    <col min="6" max="6" width="11.42578125" bestFit="1" customWidth="1"/>
    <col min="7" max="7" width="11" bestFit="1" customWidth="1"/>
    <col min="8" max="8" width="9" bestFit="1" customWidth="1"/>
    <col min="9" max="9" width="15.140625" bestFit="1" customWidth="1"/>
    <col min="10" max="11" width="11.42578125" bestFit="1" customWidth="1"/>
    <col min="12" max="12" width="9" bestFit="1" customWidth="1"/>
    <col min="13" max="13" width="15.140625" bestFit="1" customWidth="1"/>
    <col min="14" max="14" width="11" bestFit="1" customWidth="1"/>
    <col min="15" max="15" width="9" bestFit="1" customWidth="1"/>
    <col min="16" max="16" width="11.42578125" bestFit="1" customWidth="1"/>
    <col min="17" max="17" width="15.140625" bestFit="1" customWidth="1"/>
    <col min="18" max="18" width="14.7109375" bestFit="1" customWidth="1"/>
    <col min="19" max="20" width="11.42578125" bestFit="1" customWidth="1"/>
    <col min="21" max="21" width="11" bestFit="1" customWidth="1"/>
    <col min="22" max="22" width="14.7109375" bestFit="1" customWidth="1"/>
    <col min="23" max="23" width="11.42578125" bestFit="1" customWidth="1"/>
    <col min="24" max="25" width="11" bestFit="1" customWidth="1"/>
    <col min="26" max="26" width="15.140625" bestFit="1" customWidth="1"/>
    <col min="27" max="28" width="11" bestFit="1" customWidth="1"/>
    <col min="29" max="29" width="11.42578125" bestFit="1" customWidth="1"/>
    <col min="30" max="30" width="15.140625" bestFit="1" customWidth="1"/>
    <col min="31" max="31" width="11.42578125" bestFit="1" customWidth="1"/>
    <col min="32" max="32" width="11" bestFit="1" customWidth="1"/>
    <col min="33" max="33" width="15.140625" bestFit="1" customWidth="1"/>
    <col min="34" max="34" width="14.7109375" bestFit="1" customWidth="1"/>
    <col min="35" max="35" width="15.140625" bestFit="1" customWidth="1"/>
  </cols>
  <sheetData>
    <row r="1" spans="1:4" ht="15.75" x14ac:dyDescent="0.25">
      <c r="C1" t="s">
        <v>159</v>
      </c>
      <c r="D1" s="11" t="s">
        <v>150</v>
      </c>
    </row>
    <row r="2" spans="1:4" x14ac:dyDescent="0.25">
      <c r="C2">
        <f>GETPIVOTDATA("Quantidade",$A$3)</f>
        <v>53200</v>
      </c>
      <c r="D2" s="2">
        <f>GETPIVOTDATA("Total",$A$32)</f>
        <v>85535000</v>
      </c>
    </row>
    <row r="3" spans="1:4" x14ac:dyDescent="0.25">
      <c r="A3" s="4" t="s">
        <v>34</v>
      </c>
      <c r="B3" t="s">
        <v>36</v>
      </c>
    </row>
    <row r="4" spans="1:4" x14ac:dyDescent="0.25">
      <c r="A4" s="5" t="s">
        <v>111</v>
      </c>
      <c r="B4">
        <v>3450</v>
      </c>
    </row>
    <row r="5" spans="1:4" x14ac:dyDescent="0.25">
      <c r="A5" s="5" t="s">
        <v>93</v>
      </c>
      <c r="B5">
        <v>5600</v>
      </c>
    </row>
    <row r="6" spans="1:4" x14ac:dyDescent="0.25">
      <c r="A6" s="5" t="s">
        <v>114</v>
      </c>
      <c r="B6">
        <v>8300</v>
      </c>
    </row>
    <row r="7" spans="1:4" x14ac:dyDescent="0.25">
      <c r="A7" s="5" t="s">
        <v>104</v>
      </c>
      <c r="B7">
        <v>6800</v>
      </c>
    </row>
    <row r="8" spans="1:4" x14ac:dyDescent="0.25">
      <c r="A8" s="5" t="s">
        <v>97</v>
      </c>
      <c r="B8">
        <v>4150</v>
      </c>
    </row>
    <row r="9" spans="1:4" x14ac:dyDescent="0.25">
      <c r="A9" s="5" t="s">
        <v>108</v>
      </c>
      <c r="B9">
        <v>9750</v>
      </c>
    </row>
    <row r="10" spans="1:4" x14ac:dyDescent="0.25">
      <c r="A10" s="5" t="s">
        <v>101</v>
      </c>
      <c r="B10">
        <v>5200</v>
      </c>
    </row>
    <row r="11" spans="1:4" x14ac:dyDescent="0.25">
      <c r="A11" s="5" t="s">
        <v>119</v>
      </c>
      <c r="B11">
        <v>5150</v>
      </c>
    </row>
    <row r="12" spans="1:4" x14ac:dyDescent="0.25">
      <c r="A12" s="5" t="s">
        <v>117</v>
      </c>
      <c r="B12">
        <v>4800</v>
      </c>
    </row>
    <row r="13" spans="1:4" x14ac:dyDescent="0.25">
      <c r="A13" s="5" t="s">
        <v>35</v>
      </c>
      <c r="B13">
        <v>53200</v>
      </c>
    </row>
    <row r="18" spans="1:2" x14ac:dyDescent="0.25">
      <c r="A18" s="4" t="s">
        <v>34</v>
      </c>
      <c r="B18" t="s">
        <v>36</v>
      </c>
    </row>
    <row r="19" spans="1:2" x14ac:dyDescent="0.25">
      <c r="A19" s="5" t="s">
        <v>106</v>
      </c>
      <c r="B19">
        <v>12100</v>
      </c>
    </row>
    <row r="20" spans="1:2" x14ac:dyDescent="0.25">
      <c r="A20" s="5" t="s">
        <v>31</v>
      </c>
      <c r="B20">
        <v>15450</v>
      </c>
    </row>
    <row r="21" spans="1:2" x14ac:dyDescent="0.25">
      <c r="A21" s="5" t="s">
        <v>107</v>
      </c>
      <c r="B21">
        <v>9400</v>
      </c>
    </row>
    <row r="22" spans="1:2" x14ac:dyDescent="0.25">
      <c r="A22" s="5" t="s">
        <v>10</v>
      </c>
      <c r="B22">
        <v>16250</v>
      </c>
    </row>
    <row r="23" spans="1:2" x14ac:dyDescent="0.25">
      <c r="A23" s="5" t="s">
        <v>35</v>
      </c>
      <c r="B23">
        <v>53200</v>
      </c>
    </row>
    <row r="25" spans="1:2" x14ac:dyDescent="0.25">
      <c r="B25">
        <f>GETPIVOTDATA("Quantidade",$A$18)</f>
        <v>53200</v>
      </c>
    </row>
    <row r="32" spans="1:2" x14ac:dyDescent="0.25">
      <c r="A32" s="4" t="s">
        <v>34</v>
      </c>
      <c r="B32" t="s">
        <v>136</v>
      </c>
    </row>
    <row r="33" spans="1:2" x14ac:dyDescent="0.25">
      <c r="A33" s="5" t="s">
        <v>108</v>
      </c>
      <c r="B33" s="3">
        <v>34125000</v>
      </c>
    </row>
    <row r="34" spans="1:2" x14ac:dyDescent="0.25">
      <c r="A34" s="5" t="s">
        <v>93</v>
      </c>
      <c r="B34" s="3">
        <v>16800000</v>
      </c>
    </row>
    <row r="35" spans="1:2" x14ac:dyDescent="0.25">
      <c r="A35" s="5" t="s">
        <v>101</v>
      </c>
      <c r="B35" s="3">
        <v>10400000</v>
      </c>
    </row>
    <row r="36" spans="1:2" x14ac:dyDescent="0.25">
      <c r="A36" s="5" t="s">
        <v>117</v>
      </c>
      <c r="B36" s="3">
        <v>7200000</v>
      </c>
    </row>
    <row r="37" spans="1:2" x14ac:dyDescent="0.25">
      <c r="A37" s="5" t="s">
        <v>104</v>
      </c>
      <c r="B37" s="3">
        <v>5440000</v>
      </c>
    </row>
    <row r="38" spans="1:2" x14ac:dyDescent="0.25">
      <c r="A38" s="5" t="s">
        <v>114</v>
      </c>
      <c r="B38" s="3">
        <v>4150000</v>
      </c>
    </row>
    <row r="39" spans="1:2" x14ac:dyDescent="0.25">
      <c r="A39" s="5" t="s">
        <v>97</v>
      </c>
      <c r="B39" s="3">
        <v>4150000</v>
      </c>
    </row>
    <row r="40" spans="1:2" x14ac:dyDescent="0.25">
      <c r="A40" s="5" t="s">
        <v>111</v>
      </c>
      <c r="B40" s="3">
        <v>1725000</v>
      </c>
    </row>
    <row r="41" spans="1:2" x14ac:dyDescent="0.25">
      <c r="A41" s="5" t="s">
        <v>119</v>
      </c>
      <c r="B41" s="3">
        <v>1545000</v>
      </c>
    </row>
    <row r="42" spans="1:2" x14ac:dyDescent="0.25">
      <c r="A42" s="5" t="s">
        <v>35</v>
      </c>
      <c r="B42" s="3">
        <v>85535000</v>
      </c>
    </row>
    <row r="46" spans="1:2" x14ac:dyDescent="0.25">
      <c r="A46" s="4" t="s">
        <v>34</v>
      </c>
      <c r="B46" t="s">
        <v>136</v>
      </c>
    </row>
    <row r="47" spans="1:2" x14ac:dyDescent="0.25">
      <c r="A47" s="5" t="s">
        <v>103</v>
      </c>
      <c r="B47" s="3">
        <v>17535000</v>
      </c>
    </row>
    <row r="48" spans="1:2" x14ac:dyDescent="0.25">
      <c r="A48" s="5" t="s">
        <v>95</v>
      </c>
      <c r="B48" s="3">
        <v>21590000</v>
      </c>
    </row>
    <row r="49" spans="1:4" x14ac:dyDescent="0.25">
      <c r="A49" s="5" t="s">
        <v>99</v>
      </c>
      <c r="B49" s="3">
        <v>22075000</v>
      </c>
    </row>
    <row r="50" spans="1:4" x14ac:dyDescent="0.25">
      <c r="A50" s="5" t="s">
        <v>110</v>
      </c>
      <c r="B50" s="3">
        <v>24335000</v>
      </c>
    </row>
    <row r="51" spans="1:4" x14ac:dyDescent="0.25">
      <c r="A51" s="5" t="s">
        <v>35</v>
      </c>
      <c r="B51" s="3">
        <v>85535000</v>
      </c>
    </row>
    <row r="55" spans="1:4" x14ac:dyDescent="0.25">
      <c r="A55" s="4" t="s">
        <v>136</v>
      </c>
      <c r="B55" s="4" t="s">
        <v>149</v>
      </c>
    </row>
    <row r="56" spans="1:4" x14ac:dyDescent="0.25">
      <c r="A56" s="4" t="s">
        <v>34</v>
      </c>
      <c r="B56" t="s">
        <v>137</v>
      </c>
      <c r="C56" t="s">
        <v>142</v>
      </c>
      <c r="D56" t="s">
        <v>35</v>
      </c>
    </row>
    <row r="57" spans="1:4" x14ac:dyDescent="0.25">
      <c r="A57" s="5" t="s">
        <v>138</v>
      </c>
      <c r="B57">
        <v>10235000</v>
      </c>
      <c r="C57">
        <v>13565000</v>
      </c>
      <c r="D57">
        <v>23800000</v>
      </c>
    </row>
    <row r="58" spans="1:4" x14ac:dyDescent="0.25">
      <c r="A58" s="5" t="s">
        <v>139</v>
      </c>
      <c r="B58">
        <v>7000000</v>
      </c>
      <c r="C58">
        <v>11930000</v>
      </c>
      <c r="D58">
        <v>18930000</v>
      </c>
    </row>
    <row r="59" spans="1:4" x14ac:dyDescent="0.25">
      <c r="A59" s="5" t="s">
        <v>140</v>
      </c>
      <c r="B59">
        <v>15955000</v>
      </c>
      <c r="C59">
        <v>8800000</v>
      </c>
      <c r="D59">
        <v>24755000</v>
      </c>
    </row>
    <row r="60" spans="1:4" x14ac:dyDescent="0.25">
      <c r="A60" s="5" t="s">
        <v>141</v>
      </c>
      <c r="B60">
        <v>7275000</v>
      </c>
      <c r="C60">
        <v>10775000</v>
      </c>
      <c r="D60">
        <v>18050000</v>
      </c>
    </row>
    <row r="61" spans="1:4" x14ac:dyDescent="0.25">
      <c r="A61" s="5" t="s">
        <v>35</v>
      </c>
      <c r="B61">
        <v>40465000</v>
      </c>
      <c r="C61">
        <v>45070000</v>
      </c>
      <c r="D61">
        <v>85535000</v>
      </c>
    </row>
    <row r="64" spans="1:4" x14ac:dyDescent="0.25">
      <c r="A64" s="4" t="s">
        <v>34</v>
      </c>
      <c r="B64" t="s">
        <v>36</v>
      </c>
    </row>
    <row r="65" spans="1:4" x14ac:dyDescent="0.25">
      <c r="A65" s="5" t="s">
        <v>103</v>
      </c>
      <c r="B65" s="10">
        <v>9300</v>
      </c>
    </row>
    <row r="66" spans="1:4" x14ac:dyDescent="0.25">
      <c r="A66" s="5" t="s">
        <v>95</v>
      </c>
      <c r="B66" s="10">
        <v>13600</v>
      </c>
    </row>
    <row r="67" spans="1:4" x14ac:dyDescent="0.25">
      <c r="A67" s="5" t="s">
        <v>110</v>
      </c>
      <c r="B67" s="10">
        <v>14550</v>
      </c>
    </row>
    <row r="68" spans="1:4" x14ac:dyDescent="0.25">
      <c r="A68" s="5" t="s">
        <v>99</v>
      </c>
      <c r="B68" s="10">
        <v>15750</v>
      </c>
    </row>
    <row r="69" spans="1:4" x14ac:dyDescent="0.25">
      <c r="A69" s="5" t="s">
        <v>35</v>
      </c>
      <c r="B69" s="10">
        <v>53200</v>
      </c>
    </row>
    <row r="72" spans="1:4" x14ac:dyDescent="0.25">
      <c r="A72" s="4" t="s">
        <v>36</v>
      </c>
      <c r="B72" s="4" t="s">
        <v>149</v>
      </c>
    </row>
    <row r="73" spans="1:4" x14ac:dyDescent="0.25">
      <c r="A73" s="4" t="s">
        <v>34</v>
      </c>
      <c r="B73" t="s">
        <v>137</v>
      </c>
      <c r="C73" t="s">
        <v>142</v>
      </c>
      <c r="D73" t="s">
        <v>35</v>
      </c>
    </row>
    <row r="74" spans="1:4" x14ac:dyDescent="0.25">
      <c r="A74" s="5" t="s">
        <v>103</v>
      </c>
      <c r="B74" s="10">
        <v>6150</v>
      </c>
      <c r="C74" s="10">
        <v>3150</v>
      </c>
      <c r="D74" s="10">
        <v>9300</v>
      </c>
    </row>
    <row r="75" spans="1:4" x14ac:dyDescent="0.25">
      <c r="A75" s="5" t="s">
        <v>95</v>
      </c>
      <c r="B75" s="10">
        <v>5700</v>
      </c>
      <c r="C75" s="10">
        <v>7900</v>
      </c>
      <c r="D75" s="10">
        <v>13600</v>
      </c>
    </row>
    <row r="76" spans="1:4" x14ac:dyDescent="0.25">
      <c r="A76" s="5" t="s">
        <v>110</v>
      </c>
      <c r="B76" s="10">
        <v>5800</v>
      </c>
      <c r="C76" s="10">
        <v>8750</v>
      </c>
      <c r="D76" s="10">
        <v>14550</v>
      </c>
    </row>
    <row r="77" spans="1:4" x14ac:dyDescent="0.25">
      <c r="A77" s="5" t="s">
        <v>99</v>
      </c>
      <c r="B77" s="10">
        <v>7050</v>
      </c>
      <c r="C77" s="10">
        <v>8700</v>
      </c>
      <c r="D77" s="10">
        <v>15750</v>
      </c>
    </row>
    <row r="78" spans="1:4" x14ac:dyDescent="0.25">
      <c r="A78" s="5" t="s">
        <v>35</v>
      </c>
      <c r="B78" s="10">
        <v>24700</v>
      </c>
      <c r="C78" s="10">
        <v>28500</v>
      </c>
      <c r="D78" s="10">
        <v>53200</v>
      </c>
    </row>
    <row r="85" spans="1:2" x14ac:dyDescent="0.25">
      <c r="A85" s="4" t="s">
        <v>34</v>
      </c>
      <c r="B85" t="s">
        <v>136</v>
      </c>
    </row>
    <row r="86" spans="1:2" x14ac:dyDescent="0.25">
      <c r="A86" s="5" t="s">
        <v>106</v>
      </c>
      <c r="B86" s="3">
        <v>18855000</v>
      </c>
    </row>
    <row r="87" spans="1:2" x14ac:dyDescent="0.25">
      <c r="A87" s="5" t="s">
        <v>31</v>
      </c>
      <c r="B87" s="3">
        <v>25285000</v>
      </c>
    </row>
    <row r="88" spans="1:2" x14ac:dyDescent="0.25">
      <c r="A88" s="5" t="s">
        <v>107</v>
      </c>
      <c r="B88" s="3">
        <v>12785000</v>
      </c>
    </row>
    <row r="89" spans="1:2" x14ac:dyDescent="0.25">
      <c r="A89" s="5" t="s">
        <v>10</v>
      </c>
      <c r="B89" s="3">
        <v>28610000</v>
      </c>
    </row>
    <row r="90" spans="1:2" x14ac:dyDescent="0.25">
      <c r="A90" s="5" t="s">
        <v>35</v>
      </c>
      <c r="B90" s="3">
        <v>85535000</v>
      </c>
    </row>
  </sheetData>
  <pageMargins left="0.511811024" right="0.511811024" top="0.78740157499999996" bottom="0.78740157499999996" header="0.31496062000000002" footer="0.31496062000000002"/>
  <drawing r:id="rId9"/>
  <extLst>
    <ext xmlns:x14="http://schemas.microsoft.com/office/spreadsheetml/2009/9/main" uri="{A8765BA9-456A-4dab-B4F3-ACF838C121DE}">
      <x14:slicerList>
        <x14:slicer r:id="rId10"/>
      </x14:slicerList>
    </ext>
    <ext xmlns:x15="http://schemas.microsoft.com/office/spreadsheetml/2010/11/main" uri="{7E03D99C-DC04-49d9-9315-930204A7B6E9}">
      <x15:timelineRefs>
        <x15:timelineRef r:id="rId11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840F-1D17-4197-92D4-9D707AE27F56}">
  <dimension ref="A1:D127"/>
  <sheetViews>
    <sheetView zoomScale="60" workbookViewId="0">
      <selection activeCell="A110" sqref="A110"/>
    </sheetView>
  </sheetViews>
  <sheetFormatPr defaultRowHeight="15" x14ac:dyDescent="0.25"/>
  <cols>
    <col min="1" max="1" width="26.5703125" bestFit="1" customWidth="1"/>
    <col min="2" max="3" width="27.5703125" bestFit="1" customWidth="1"/>
    <col min="4" max="4" width="19.140625" bestFit="1" customWidth="1"/>
  </cols>
  <sheetData>
    <row r="1" spans="1:4" ht="15.75" x14ac:dyDescent="0.25">
      <c r="C1" t="s">
        <v>158</v>
      </c>
      <c r="D1" s="11" t="s">
        <v>150</v>
      </c>
    </row>
    <row r="2" spans="1:4" x14ac:dyDescent="0.25">
      <c r="C2">
        <f>GETPIVOTDATA("Custo",$A$94)</f>
        <v>200</v>
      </c>
      <c r="D2" s="2">
        <f>GETPIVOTDATA("Valor",$A$3)</f>
        <v>11687050</v>
      </c>
    </row>
    <row r="3" spans="1:4" x14ac:dyDescent="0.25">
      <c r="A3" s="4" t="s">
        <v>34</v>
      </c>
      <c r="B3" t="s">
        <v>37</v>
      </c>
    </row>
    <row r="4" spans="1:4" x14ac:dyDescent="0.25">
      <c r="A4" s="5" t="s">
        <v>47</v>
      </c>
      <c r="B4" s="3">
        <v>8113500</v>
      </c>
    </row>
    <row r="5" spans="1:4" x14ac:dyDescent="0.25">
      <c r="A5" s="5" t="s">
        <v>53</v>
      </c>
      <c r="B5" s="3">
        <v>2001250</v>
      </c>
    </row>
    <row r="6" spans="1:4" x14ac:dyDescent="0.25">
      <c r="A6" s="5" t="s">
        <v>45</v>
      </c>
      <c r="B6" s="3">
        <v>600000</v>
      </c>
    </row>
    <row r="7" spans="1:4" x14ac:dyDescent="0.25">
      <c r="A7" s="5" t="s">
        <v>51</v>
      </c>
      <c r="B7" s="3">
        <v>554850</v>
      </c>
    </row>
    <row r="8" spans="1:4" x14ac:dyDescent="0.25">
      <c r="A8" s="5" t="s">
        <v>41</v>
      </c>
      <c r="B8" s="3">
        <v>275400</v>
      </c>
    </row>
    <row r="9" spans="1:4" x14ac:dyDescent="0.25">
      <c r="A9" s="5" t="s">
        <v>43</v>
      </c>
      <c r="B9" s="3">
        <v>59100</v>
      </c>
    </row>
    <row r="10" spans="1:4" x14ac:dyDescent="0.25">
      <c r="A10" s="5" t="s">
        <v>55</v>
      </c>
      <c r="B10" s="3">
        <v>50400</v>
      </c>
    </row>
    <row r="11" spans="1:4" x14ac:dyDescent="0.25">
      <c r="A11" s="5" t="s">
        <v>49</v>
      </c>
      <c r="B11" s="3">
        <v>32550</v>
      </c>
    </row>
    <row r="12" spans="1:4" x14ac:dyDescent="0.25">
      <c r="A12" s="5" t="s">
        <v>35</v>
      </c>
      <c r="B12" s="3">
        <v>11687050</v>
      </c>
    </row>
    <row r="16" spans="1:4" x14ac:dyDescent="0.25">
      <c r="A16" s="4" t="s">
        <v>34</v>
      </c>
      <c r="B16" t="s">
        <v>37</v>
      </c>
    </row>
    <row r="17" spans="1:4" x14ac:dyDescent="0.25">
      <c r="A17" s="5" t="s">
        <v>29</v>
      </c>
      <c r="B17" s="3">
        <v>2263980</v>
      </c>
    </row>
    <row r="18" spans="1:4" x14ac:dyDescent="0.25">
      <c r="A18" s="5" t="s">
        <v>28</v>
      </c>
      <c r="B18" s="3">
        <v>2656530</v>
      </c>
    </row>
    <row r="19" spans="1:4" x14ac:dyDescent="0.25">
      <c r="A19" s="5" t="s">
        <v>27</v>
      </c>
      <c r="B19" s="3">
        <v>2832080</v>
      </c>
    </row>
    <row r="20" spans="1:4" x14ac:dyDescent="0.25">
      <c r="A20" s="5" t="s">
        <v>30</v>
      </c>
      <c r="B20" s="3">
        <v>3934460</v>
      </c>
    </row>
    <row r="21" spans="1:4" x14ac:dyDescent="0.25">
      <c r="A21" s="5" t="s">
        <v>35</v>
      </c>
      <c r="B21" s="3">
        <v>11687050</v>
      </c>
    </row>
    <row r="24" spans="1:4" x14ac:dyDescent="0.25">
      <c r="A24" s="4" t="s">
        <v>37</v>
      </c>
      <c r="B24" s="4" t="s">
        <v>149</v>
      </c>
    </row>
    <row r="25" spans="1:4" x14ac:dyDescent="0.25">
      <c r="A25" s="4" t="s">
        <v>34</v>
      </c>
      <c r="B25" t="s">
        <v>137</v>
      </c>
      <c r="C25" t="s">
        <v>142</v>
      </c>
      <c r="D25" t="s">
        <v>35</v>
      </c>
    </row>
    <row r="26" spans="1:4" x14ac:dyDescent="0.25">
      <c r="A26" s="5" t="s">
        <v>138</v>
      </c>
      <c r="B26">
        <v>1297350</v>
      </c>
      <c r="C26">
        <v>1306130</v>
      </c>
      <c r="D26">
        <v>2603480</v>
      </c>
    </row>
    <row r="27" spans="1:4" x14ac:dyDescent="0.25">
      <c r="A27" s="5" t="s">
        <v>139</v>
      </c>
      <c r="B27">
        <v>2672090</v>
      </c>
      <c r="D27">
        <v>2672090</v>
      </c>
    </row>
    <row r="28" spans="1:4" x14ac:dyDescent="0.25">
      <c r="A28" s="5" t="s">
        <v>140</v>
      </c>
      <c r="B28">
        <v>2465330</v>
      </c>
      <c r="C28">
        <v>1412890</v>
      </c>
      <c r="D28">
        <v>3878220</v>
      </c>
    </row>
    <row r="29" spans="1:4" x14ac:dyDescent="0.25">
      <c r="A29" s="5" t="s">
        <v>141</v>
      </c>
      <c r="B29">
        <v>1661240</v>
      </c>
      <c r="C29">
        <v>872020</v>
      </c>
      <c r="D29">
        <v>2533260</v>
      </c>
    </row>
    <row r="30" spans="1:4" x14ac:dyDescent="0.25">
      <c r="A30" s="5" t="s">
        <v>35</v>
      </c>
      <c r="B30">
        <v>8096010</v>
      </c>
      <c r="C30">
        <v>3591040</v>
      </c>
      <c r="D30">
        <v>11687050</v>
      </c>
    </row>
    <row r="31" spans="1:4" x14ac:dyDescent="0.25">
      <c r="A31" s="4" t="s">
        <v>34</v>
      </c>
      <c r="B31" t="s">
        <v>37</v>
      </c>
    </row>
    <row r="32" spans="1:4" x14ac:dyDescent="0.25">
      <c r="A32" s="5" t="s">
        <v>48</v>
      </c>
      <c r="B32" s="3">
        <v>8113500</v>
      </c>
    </row>
    <row r="33" spans="1:2" x14ac:dyDescent="0.25">
      <c r="A33" s="5" t="s">
        <v>54</v>
      </c>
      <c r="B33" s="3">
        <v>2001250</v>
      </c>
    </row>
    <row r="34" spans="1:2" x14ac:dyDescent="0.25">
      <c r="A34" s="5" t="s">
        <v>46</v>
      </c>
      <c r="B34" s="3">
        <v>600000</v>
      </c>
    </row>
    <row r="35" spans="1:2" x14ac:dyDescent="0.25">
      <c r="A35" s="5" t="s">
        <v>52</v>
      </c>
      <c r="B35" s="3">
        <v>554850</v>
      </c>
    </row>
    <row r="36" spans="1:2" x14ac:dyDescent="0.25">
      <c r="A36" s="5" t="s">
        <v>42</v>
      </c>
      <c r="B36" s="3">
        <v>275400</v>
      </c>
    </row>
    <row r="37" spans="1:2" x14ac:dyDescent="0.25">
      <c r="A37" s="5" t="s">
        <v>44</v>
      </c>
      <c r="B37" s="3">
        <v>59100</v>
      </c>
    </row>
    <row r="38" spans="1:2" x14ac:dyDescent="0.25">
      <c r="A38" s="5" t="s">
        <v>56</v>
      </c>
      <c r="B38" s="3">
        <v>50400</v>
      </c>
    </row>
    <row r="39" spans="1:2" x14ac:dyDescent="0.25">
      <c r="A39" s="5" t="s">
        <v>50</v>
      </c>
      <c r="B39" s="3">
        <v>32550</v>
      </c>
    </row>
    <row r="40" spans="1:2" x14ac:dyDescent="0.25">
      <c r="A40" s="5" t="s">
        <v>35</v>
      </c>
      <c r="B40" s="3">
        <v>11687050</v>
      </c>
    </row>
    <row r="51" spans="1:2" x14ac:dyDescent="0.25">
      <c r="A51" s="4" t="s">
        <v>34</v>
      </c>
      <c r="B51" t="s">
        <v>37</v>
      </c>
    </row>
    <row r="52" spans="1:2" x14ac:dyDescent="0.25">
      <c r="A52" s="5" t="s">
        <v>30</v>
      </c>
      <c r="B52" s="9">
        <v>3934460</v>
      </c>
    </row>
    <row r="53" spans="1:2" x14ac:dyDescent="0.25">
      <c r="A53" s="7" t="s">
        <v>53</v>
      </c>
      <c r="B53" s="9">
        <v>800500</v>
      </c>
    </row>
    <row r="54" spans="1:2" x14ac:dyDescent="0.25">
      <c r="A54" s="7" t="s">
        <v>51</v>
      </c>
      <c r="B54" s="9">
        <v>184950</v>
      </c>
    </row>
    <row r="55" spans="1:2" x14ac:dyDescent="0.25">
      <c r="A55" s="7" t="s">
        <v>49</v>
      </c>
      <c r="B55" s="9">
        <v>8680</v>
      </c>
    </row>
    <row r="56" spans="1:2" x14ac:dyDescent="0.25">
      <c r="A56" s="7" t="s">
        <v>47</v>
      </c>
      <c r="B56" s="9">
        <v>2704500</v>
      </c>
    </row>
    <row r="57" spans="1:2" x14ac:dyDescent="0.25">
      <c r="A57" s="7" t="s">
        <v>45</v>
      </c>
      <c r="B57" s="9">
        <v>120000</v>
      </c>
    </row>
    <row r="58" spans="1:2" x14ac:dyDescent="0.25">
      <c r="A58" s="7" t="s">
        <v>41</v>
      </c>
      <c r="B58" s="9">
        <v>91800</v>
      </c>
    </row>
    <row r="59" spans="1:2" x14ac:dyDescent="0.25">
      <c r="A59" s="7" t="s">
        <v>43</v>
      </c>
      <c r="B59" s="9">
        <v>17730</v>
      </c>
    </row>
    <row r="60" spans="1:2" x14ac:dyDescent="0.25">
      <c r="A60" s="7" t="s">
        <v>55</v>
      </c>
      <c r="B60" s="9">
        <v>6300</v>
      </c>
    </row>
    <row r="61" spans="1:2" x14ac:dyDescent="0.25">
      <c r="A61" s="5" t="s">
        <v>29</v>
      </c>
      <c r="B61" s="9">
        <v>2263980</v>
      </c>
    </row>
    <row r="62" spans="1:2" x14ac:dyDescent="0.25">
      <c r="A62" s="7" t="s">
        <v>53</v>
      </c>
      <c r="B62" s="9">
        <v>400250</v>
      </c>
    </row>
    <row r="63" spans="1:2" x14ac:dyDescent="0.25">
      <c r="A63" s="7" t="s">
        <v>51</v>
      </c>
      <c r="B63" s="9">
        <v>102750</v>
      </c>
    </row>
    <row r="64" spans="1:2" x14ac:dyDescent="0.25">
      <c r="A64" s="7" t="s">
        <v>49</v>
      </c>
      <c r="B64" s="9">
        <v>8680</v>
      </c>
    </row>
    <row r="65" spans="1:2" x14ac:dyDescent="0.25">
      <c r="A65" s="7" t="s">
        <v>47</v>
      </c>
      <c r="B65" s="9">
        <v>1502500</v>
      </c>
    </row>
    <row r="66" spans="1:2" x14ac:dyDescent="0.25">
      <c r="A66" s="7" t="s">
        <v>45</v>
      </c>
      <c r="B66" s="9">
        <v>144000</v>
      </c>
    </row>
    <row r="67" spans="1:2" x14ac:dyDescent="0.25">
      <c r="A67" s="7" t="s">
        <v>41</v>
      </c>
      <c r="B67" s="9">
        <v>71400</v>
      </c>
    </row>
    <row r="68" spans="1:2" x14ac:dyDescent="0.25">
      <c r="A68" s="7" t="s">
        <v>43</v>
      </c>
      <c r="B68" s="9">
        <v>19700</v>
      </c>
    </row>
    <row r="69" spans="1:2" x14ac:dyDescent="0.25">
      <c r="A69" s="7" t="s">
        <v>55</v>
      </c>
      <c r="B69" s="9">
        <v>14700</v>
      </c>
    </row>
    <row r="70" spans="1:2" x14ac:dyDescent="0.25">
      <c r="A70" s="5" t="s">
        <v>28</v>
      </c>
      <c r="B70" s="9">
        <v>2656530</v>
      </c>
    </row>
    <row r="71" spans="1:2" x14ac:dyDescent="0.25">
      <c r="A71" s="7" t="s">
        <v>53</v>
      </c>
      <c r="B71" s="9">
        <v>480300</v>
      </c>
    </row>
    <row r="72" spans="1:2" x14ac:dyDescent="0.25">
      <c r="A72" s="7" t="s">
        <v>51</v>
      </c>
      <c r="B72" s="9">
        <v>205500</v>
      </c>
    </row>
    <row r="73" spans="1:2" x14ac:dyDescent="0.25">
      <c r="A73" s="7" t="s">
        <v>49</v>
      </c>
      <c r="B73" s="9">
        <v>6510</v>
      </c>
    </row>
    <row r="74" spans="1:2" x14ac:dyDescent="0.25">
      <c r="A74" s="7" t="s">
        <v>47</v>
      </c>
      <c r="B74" s="9">
        <v>1803000</v>
      </c>
    </row>
    <row r="75" spans="1:2" x14ac:dyDescent="0.25">
      <c r="A75" s="7" t="s">
        <v>45</v>
      </c>
      <c r="B75" s="9">
        <v>96000</v>
      </c>
    </row>
    <row r="76" spans="1:2" x14ac:dyDescent="0.25">
      <c r="A76" s="7" t="s">
        <v>41</v>
      </c>
      <c r="B76" s="9">
        <v>40800</v>
      </c>
    </row>
    <row r="77" spans="1:2" x14ac:dyDescent="0.25">
      <c r="A77" s="7" t="s">
        <v>43</v>
      </c>
      <c r="B77" s="9">
        <v>11820</v>
      </c>
    </row>
    <row r="78" spans="1:2" x14ac:dyDescent="0.25">
      <c r="A78" s="7" t="s">
        <v>55</v>
      </c>
      <c r="B78" s="9">
        <v>12600</v>
      </c>
    </row>
    <row r="79" spans="1:2" x14ac:dyDescent="0.25">
      <c r="A79" s="5" t="s">
        <v>27</v>
      </c>
      <c r="B79" s="9">
        <v>2832080</v>
      </c>
    </row>
    <row r="80" spans="1:2" x14ac:dyDescent="0.25">
      <c r="A80" s="7" t="s">
        <v>53</v>
      </c>
      <c r="B80" s="9">
        <v>320200</v>
      </c>
    </row>
    <row r="81" spans="1:2" x14ac:dyDescent="0.25">
      <c r="A81" s="7" t="s">
        <v>51</v>
      </c>
      <c r="B81" s="9">
        <v>61650</v>
      </c>
    </row>
    <row r="82" spans="1:2" x14ac:dyDescent="0.25">
      <c r="A82" s="7" t="s">
        <v>49</v>
      </c>
      <c r="B82" s="9">
        <v>8680</v>
      </c>
    </row>
    <row r="83" spans="1:2" x14ac:dyDescent="0.25">
      <c r="A83" s="7" t="s">
        <v>47</v>
      </c>
      <c r="B83" s="9">
        <v>2103500</v>
      </c>
    </row>
    <row r="84" spans="1:2" x14ac:dyDescent="0.25">
      <c r="A84" s="7" t="s">
        <v>45</v>
      </c>
      <c r="B84" s="9">
        <v>240000</v>
      </c>
    </row>
    <row r="85" spans="1:2" x14ac:dyDescent="0.25">
      <c r="A85" s="7" t="s">
        <v>41</v>
      </c>
      <c r="B85" s="9">
        <v>71400</v>
      </c>
    </row>
    <row r="86" spans="1:2" x14ac:dyDescent="0.25">
      <c r="A86" s="7" t="s">
        <v>43</v>
      </c>
      <c r="B86" s="9">
        <v>9850</v>
      </c>
    </row>
    <row r="87" spans="1:2" x14ac:dyDescent="0.25">
      <c r="A87" s="7" t="s">
        <v>55</v>
      </c>
      <c r="B87" s="9">
        <v>16800</v>
      </c>
    </row>
    <row r="88" spans="1:2" x14ac:dyDescent="0.25">
      <c r="A88" s="5" t="s">
        <v>35</v>
      </c>
      <c r="B88" s="9">
        <v>11687050</v>
      </c>
    </row>
    <row r="94" spans="1:2" x14ac:dyDescent="0.25">
      <c r="A94" s="4" t="s">
        <v>34</v>
      </c>
      <c r="B94" t="s">
        <v>151</v>
      </c>
    </row>
    <row r="95" spans="1:2" x14ac:dyDescent="0.25">
      <c r="A95" s="5" t="s">
        <v>48</v>
      </c>
      <c r="B95">
        <v>27</v>
      </c>
    </row>
    <row r="96" spans="1:2" x14ac:dyDescent="0.25">
      <c r="A96" s="5" t="s">
        <v>50</v>
      </c>
      <c r="B96">
        <v>15</v>
      </c>
    </row>
    <row r="97" spans="1:2" x14ac:dyDescent="0.25">
      <c r="A97" s="5" t="s">
        <v>52</v>
      </c>
      <c r="B97">
        <v>27</v>
      </c>
    </row>
    <row r="98" spans="1:2" x14ac:dyDescent="0.25">
      <c r="A98" s="5" t="s">
        <v>56</v>
      </c>
      <c r="B98">
        <v>24</v>
      </c>
    </row>
    <row r="99" spans="1:2" x14ac:dyDescent="0.25">
      <c r="A99" s="5" t="s">
        <v>42</v>
      </c>
      <c r="B99">
        <v>27</v>
      </c>
    </row>
    <row r="100" spans="1:2" x14ac:dyDescent="0.25">
      <c r="A100" s="5" t="s">
        <v>44</v>
      </c>
      <c r="B100">
        <v>30</v>
      </c>
    </row>
    <row r="101" spans="1:2" x14ac:dyDescent="0.25">
      <c r="A101" s="5" t="s">
        <v>46</v>
      </c>
      <c r="B101">
        <v>25</v>
      </c>
    </row>
    <row r="102" spans="1:2" x14ac:dyDescent="0.25">
      <c r="A102" s="5" t="s">
        <v>54</v>
      </c>
      <c r="B102">
        <v>25</v>
      </c>
    </row>
    <row r="103" spans="1:2" x14ac:dyDescent="0.25">
      <c r="A103" s="5" t="s">
        <v>35</v>
      </c>
      <c r="B103">
        <v>200</v>
      </c>
    </row>
    <row r="109" spans="1:2" x14ac:dyDescent="0.25">
      <c r="A109" s="4" t="s">
        <v>34</v>
      </c>
      <c r="B109" t="s">
        <v>36</v>
      </c>
    </row>
    <row r="110" spans="1:2" x14ac:dyDescent="0.25">
      <c r="A110" s="5" t="s">
        <v>28</v>
      </c>
      <c r="B110">
        <v>536</v>
      </c>
    </row>
    <row r="111" spans="1:2" x14ac:dyDescent="0.25">
      <c r="A111" s="5" t="s">
        <v>29</v>
      </c>
      <c r="B111">
        <v>591</v>
      </c>
    </row>
    <row r="112" spans="1:2" x14ac:dyDescent="0.25">
      <c r="A112" s="5" t="s">
        <v>27</v>
      </c>
      <c r="B112">
        <v>647</v>
      </c>
    </row>
    <row r="113" spans="1:3" x14ac:dyDescent="0.25">
      <c r="A113" s="5" t="s">
        <v>30</v>
      </c>
      <c r="B113">
        <v>738</v>
      </c>
    </row>
    <row r="114" spans="1:3" x14ac:dyDescent="0.25">
      <c r="A114" s="5" t="s">
        <v>35</v>
      </c>
      <c r="B114">
        <v>2512</v>
      </c>
      <c r="C114">
        <f>GETPIVOTDATA("Quantidade",$A$109)</f>
        <v>2512</v>
      </c>
    </row>
    <row r="118" spans="1:3" x14ac:dyDescent="0.25">
      <c r="A118" s="4" t="s">
        <v>34</v>
      </c>
      <c r="B118" t="s">
        <v>36</v>
      </c>
    </row>
    <row r="119" spans="1:3" x14ac:dyDescent="0.25">
      <c r="A119" s="5" t="s">
        <v>53</v>
      </c>
      <c r="B119">
        <v>208</v>
      </c>
    </row>
    <row r="120" spans="1:3" x14ac:dyDescent="0.25">
      <c r="A120" s="5" t="s">
        <v>51</v>
      </c>
      <c r="B120">
        <v>290</v>
      </c>
    </row>
    <row r="121" spans="1:3" x14ac:dyDescent="0.25">
      <c r="A121" s="5" t="s">
        <v>49</v>
      </c>
      <c r="B121">
        <v>211</v>
      </c>
    </row>
    <row r="122" spans="1:3" x14ac:dyDescent="0.25">
      <c r="A122" s="5" t="s">
        <v>47</v>
      </c>
      <c r="B122">
        <v>405</v>
      </c>
    </row>
    <row r="123" spans="1:3" x14ac:dyDescent="0.25">
      <c r="A123" s="5" t="s">
        <v>45</v>
      </c>
      <c r="B123">
        <v>316</v>
      </c>
    </row>
    <row r="124" spans="1:3" x14ac:dyDescent="0.25">
      <c r="A124" s="5" t="s">
        <v>41</v>
      </c>
      <c r="B124">
        <v>290</v>
      </c>
    </row>
    <row r="125" spans="1:3" x14ac:dyDescent="0.25">
      <c r="A125" s="5" t="s">
        <v>43</v>
      </c>
      <c r="B125">
        <v>477</v>
      </c>
    </row>
    <row r="126" spans="1:3" x14ac:dyDescent="0.25">
      <c r="A126" s="5" t="s">
        <v>55</v>
      </c>
      <c r="B126">
        <v>315</v>
      </c>
    </row>
    <row r="127" spans="1:3" x14ac:dyDescent="0.25">
      <c r="A127" s="5" t="s">
        <v>35</v>
      </c>
      <c r="B127">
        <v>2512</v>
      </c>
    </row>
  </sheetData>
  <pageMargins left="0.511811024" right="0.511811024" top="0.78740157499999996" bottom="0.78740157499999996" header="0.31496062000000002" footer="0.31496062000000002"/>
  <drawing r:id="rId9"/>
  <extLst>
    <ext xmlns:x14="http://schemas.microsoft.com/office/spreadsheetml/2009/9/main" uri="{A8765BA9-456A-4dab-B4F3-ACF838C121DE}">
      <x14:slicerList>
        <x14:slicer r:id="rId10"/>
      </x14:slicerList>
    </ext>
    <ext xmlns:x15="http://schemas.microsoft.com/office/spreadsheetml/2010/11/main" uri="{7E03D99C-DC04-49d9-9315-930204A7B6E9}">
      <x15:timelineRefs>
        <x15:timelineRef r:id="rId11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0B6BE-9B8D-4195-9B81-D5CF772E39F2}">
  <dimension ref="A1:L204"/>
  <sheetViews>
    <sheetView topLeftCell="G1" workbookViewId="0">
      <selection activeCell="L14" sqref="L14:L21"/>
    </sheetView>
  </sheetViews>
  <sheetFormatPr defaultRowHeight="15" x14ac:dyDescent="0.25"/>
  <cols>
    <col min="2" max="2" width="9.28515625" customWidth="1"/>
    <col min="3" max="3" width="15" customWidth="1"/>
    <col min="4" max="4" width="13.28515625" bestFit="1" customWidth="1"/>
    <col min="5" max="5" width="20.85546875" bestFit="1" customWidth="1"/>
    <col min="6" max="6" width="10.7109375" bestFit="1" customWidth="1"/>
    <col min="7" max="7" width="20.5703125" bestFit="1" customWidth="1"/>
    <col min="8" max="8" width="16.85546875" bestFit="1" customWidth="1"/>
    <col min="9" max="9" width="19.7109375" style="2" bestFit="1" customWidth="1"/>
    <col min="10" max="10" width="19.7109375" bestFit="1" customWidth="1"/>
    <col min="11" max="11" width="16.85546875" bestFit="1" customWidth="1"/>
    <col min="12" max="12" width="15.85546875" bestFit="1" customWidth="1"/>
  </cols>
  <sheetData>
    <row r="1" spans="1:12" x14ac:dyDescent="0.25">
      <c r="A1" t="s">
        <v>0</v>
      </c>
      <c r="B1" t="s">
        <v>2</v>
      </c>
      <c r="C1" t="s">
        <v>57</v>
      </c>
      <c r="D1" t="s">
        <v>4</v>
      </c>
      <c r="E1" t="s">
        <v>58</v>
      </c>
      <c r="F1" t="s">
        <v>6</v>
      </c>
      <c r="G1" t="s">
        <v>39</v>
      </c>
      <c r="H1" s="2" t="s">
        <v>7</v>
      </c>
      <c r="I1" t="s">
        <v>59</v>
      </c>
    </row>
    <row r="2" spans="1:12" x14ac:dyDescent="0.25">
      <c r="A2">
        <v>1</v>
      </c>
      <c r="B2">
        <v>113</v>
      </c>
      <c r="C2" t="s">
        <v>60</v>
      </c>
      <c r="D2" t="s">
        <v>27</v>
      </c>
      <c r="E2" t="s">
        <v>61</v>
      </c>
      <c r="F2" s="1">
        <v>45146</v>
      </c>
      <c r="G2" t="s">
        <v>62</v>
      </c>
      <c r="H2" s="2">
        <v>1800</v>
      </c>
      <c r="I2" t="s">
        <v>63</v>
      </c>
      <c r="J2" t="s">
        <v>144</v>
      </c>
      <c r="K2" s="3">
        <v>14365965</v>
      </c>
    </row>
    <row r="3" spans="1:12" x14ac:dyDescent="0.25">
      <c r="A3">
        <v>2</v>
      </c>
      <c r="B3">
        <v>956</v>
      </c>
      <c r="C3" t="s">
        <v>64</v>
      </c>
      <c r="D3" t="s">
        <v>29</v>
      </c>
      <c r="E3" t="s">
        <v>61</v>
      </c>
      <c r="F3" s="1">
        <v>44958</v>
      </c>
      <c r="G3" t="s">
        <v>65</v>
      </c>
      <c r="H3" s="2">
        <v>12000</v>
      </c>
      <c r="I3" t="s">
        <v>66</v>
      </c>
      <c r="J3" t="s">
        <v>62</v>
      </c>
      <c r="K3">
        <f ca="1">SUMIF(G:H,G2,H:H)</f>
        <v>2855245</v>
      </c>
      <c r="L3" s="3"/>
    </row>
    <row r="4" spans="1:12" x14ac:dyDescent="0.25">
      <c r="A4">
        <v>3</v>
      </c>
      <c r="B4">
        <v>792</v>
      </c>
      <c r="C4" t="s">
        <v>67</v>
      </c>
      <c r="D4" t="s">
        <v>30</v>
      </c>
      <c r="E4" t="s">
        <v>61</v>
      </c>
      <c r="F4" s="1">
        <v>45079</v>
      </c>
      <c r="G4" t="s">
        <v>68</v>
      </c>
      <c r="H4" s="2">
        <v>275000</v>
      </c>
      <c r="I4" t="s">
        <v>69</v>
      </c>
      <c r="J4" t="s">
        <v>65</v>
      </c>
      <c r="K4">
        <f ca="1">SUMIF(G:H,G3,H:H)</f>
        <v>1051215</v>
      </c>
    </row>
    <row r="5" spans="1:12" x14ac:dyDescent="0.25">
      <c r="A5">
        <v>4</v>
      </c>
      <c r="B5">
        <v>348</v>
      </c>
      <c r="C5" t="s">
        <v>70</v>
      </c>
      <c r="D5" t="s">
        <v>28</v>
      </c>
      <c r="E5" t="s">
        <v>71</v>
      </c>
      <c r="F5" s="1">
        <v>45123</v>
      </c>
      <c r="G5" t="s">
        <v>72</v>
      </c>
      <c r="H5" s="2">
        <v>150</v>
      </c>
      <c r="I5" t="s">
        <v>73</v>
      </c>
      <c r="J5" t="s">
        <v>68</v>
      </c>
      <c r="K5">
        <f ca="1">SUMIF(G:H,G4,H:H)</f>
        <v>2547315</v>
      </c>
    </row>
    <row r="6" spans="1:12" x14ac:dyDescent="0.25">
      <c r="A6">
        <v>5</v>
      </c>
      <c r="B6">
        <v>113</v>
      </c>
      <c r="C6" t="s">
        <v>60</v>
      </c>
      <c r="D6" t="s">
        <v>30</v>
      </c>
      <c r="E6" t="s">
        <v>61</v>
      </c>
      <c r="F6" s="1">
        <v>44594</v>
      </c>
      <c r="G6" t="s">
        <v>72</v>
      </c>
      <c r="H6" s="2">
        <v>2500</v>
      </c>
      <c r="I6" t="s">
        <v>74</v>
      </c>
      <c r="J6" t="s">
        <v>87</v>
      </c>
      <c r="K6">
        <f ca="1">SUMIF(G:H,G18,H:H)</f>
        <v>935340</v>
      </c>
    </row>
    <row r="7" spans="1:12" x14ac:dyDescent="0.25">
      <c r="A7">
        <v>6</v>
      </c>
      <c r="B7">
        <v>348</v>
      </c>
      <c r="C7" t="s">
        <v>70</v>
      </c>
      <c r="D7" t="s">
        <v>30</v>
      </c>
      <c r="E7" t="s">
        <v>61</v>
      </c>
      <c r="F7" s="1">
        <v>44705</v>
      </c>
      <c r="G7" t="s">
        <v>62</v>
      </c>
      <c r="H7" s="2">
        <v>110</v>
      </c>
      <c r="I7" t="s">
        <v>75</v>
      </c>
      <c r="J7" t="s">
        <v>78</v>
      </c>
      <c r="K7">
        <f ca="1">SUMIF(G:H,G9,H:H)</f>
        <v>2550540</v>
      </c>
    </row>
    <row r="8" spans="1:12" x14ac:dyDescent="0.25">
      <c r="A8">
        <v>7</v>
      </c>
      <c r="B8">
        <v>792</v>
      </c>
      <c r="C8" t="s">
        <v>67</v>
      </c>
      <c r="D8" t="s">
        <v>27</v>
      </c>
      <c r="E8" t="s">
        <v>61</v>
      </c>
      <c r="F8" s="1">
        <v>44958</v>
      </c>
      <c r="G8" t="s">
        <v>62</v>
      </c>
      <c r="H8" s="2">
        <v>275000</v>
      </c>
      <c r="I8" t="s">
        <v>76</v>
      </c>
      <c r="J8" t="s">
        <v>84</v>
      </c>
      <c r="K8">
        <f ca="1">SUMIF(G:H,G12,H:H)</f>
        <v>1728180</v>
      </c>
    </row>
    <row r="9" spans="1:12" x14ac:dyDescent="0.25">
      <c r="A9">
        <v>8</v>
      </c>
      <c r="B9">
        <v>631</v>
      </c>
      <c r="C9" t="s">
        <v>77</v>
      </c>
      <c r="D9" t="s">
        <v>30</v>
      </c>
      <c r="E9" t="s">
        <v>71</v>
      </c>
      <c r="F9" s="1">
        <v>45085</v>
      </c>
      <c r="G9" t="s">
        <v>78</v>
      </c>
      <c r="H9" s="2">
        <v>14000</v>
      </c>
      <c r="I9" t="s">
        <v>79</v>
      </c>
      <c r="J9" t="s">
        <v>88</v>
      </c>
      <c r="K9">
        <f ca="1">SUMIF(G:H,G23,H:H)</f>
        <v>1369840</v>
      </c>
    </row>
    <row r="10" spans="1:12" x14ac:dyDescent="0.25">
      <c r="A10">
        <v>9</v>
      </c>
      <c r="B10">
        <v>792</v>
      </c>
      <c r="C10" t="s">
        <v>67</v>
      </c>
      <c r="D10" t="s">
        <v>29</v>
      </c>
      <c r="E10" t="s">
        <v>61</v>
      </c>
      <c r="F10" s="1">
        <v>44865</v>
      </c>
      <c r="G10" t="s">
        <v>78</v>
      </c>
      <c r="H10" s="2">
        <v>275000</v>
      </c>
      <c r="I10" t="s">
        <v>80</v>
      </c>
      <c r="J10" t="s">
        <v>72</v>
      </c>
      <c r="K10">
        <f ca="1">SUMIF(G:H,G29,H:H)</f>
        <v>1328290</v>
      </c>
    </row>
    <row r="11" spans="1:12" x14ac:dyDescent="0.25">
      <c r="A11">
        <v>10</v>
      </c>
      <c r="B11">
        <v>248</v>
      </c>
      <c r="C11" t="s">
        <v>81</v>
      </c>
      <c r="D11" t="s">
        <v>29</v>
      </c>
      <c r="E11" t="s">
        <v>61</v>
      </c>
      <c r="F11" s="1">
        <v>44772</v>
      </c>
      <c r="G11" t="s">
        <v>68</v>
      </c>
      <c r="H11" s="2">
        <v>145</v>
      </c>
      <c r="I11" t="s">
        <v>74</v>
      </c>
    </row>
    <row r="12" spans="1:12" x14ac:dyDescent="0.25">
      <c r="A12">
        <v>11</v>
      </c>
      <c r="B12">
        <v>883</v>
      </c>
      <c r="C12" t="s">
        <v>82</v>
      </c>
      <c r="D12" t="s">
        <v>29</v>
      </c>
      <c r="E12" t="s">
        <v>83</v>
      </c>
      <c r="F12" s="1">
        <v>45076</v>
      </c>
      <c r="G12" t="s">
        <v>84</v>
      </c>
      <c r="H12" s="2">
        <v>140000</v>
      </c>
      <c r="I12" t="s">
        <v>80</v>
      </c>
      <c r="K12" t="s">
        <v>148</v>
      </c>
      <c r="L12" t="s">
        <v>147</v>
      </c>
    </row>
    <row r="13" spans="1:12" x14ac:dyDescent="0.25">
      <c r="A13">
        <v>12</v>
      </c>
      <c r="B13">
        <v>348</v>
      </c>
      <c r="C13" t="s">
        <v>70</v>
      </c>
      <c r="D13" t="s">
        <v>28</v>
      </c>
      <c r="E13" t="s">
        <v>71</v>
      </c>
      <c r="F13" s="1">
        <v>45137</v>
      </c>
      <c r="G13" t="s">
        <v>78</v>
      </c>
      <c r="H13" s="2">
        <v>150</v>
      </c>
      <c r="I13" t="s">
        <v>63</v>
      </c>
      <c r="K13" t="s">
        <v>144</v>
      </c>
      <c r="L13" s="3">
        <v>14365965</v>
      </c>
    </row>
    <row r="14" spans="1:12" x14ac:dyDescent="0.25">
      <c r="A14">
        <v>13</v>
      </c>
      <c r="B14">
        <v>792</v>
      </c>
      <c r="C14" t="s">
        <v>67</v>
      </c>
      <c r="D14" t="s">
        <v>28</v>
      </c>
      <c r="E14" t="s">
        <v>71</v>
      </c>
      <c r="F14" s="1">
        <v>45105</v>
      </c>
      <c r="G14" t="s">
        <v>62</v>
      </c>
      <c r="H14" s="2">
        <v>275000</v>
      </c>
      <c r="I14" t="s">
        <v>69</v>
      </c>
      <c r="K14" t="s">
        <v>62</v>
      </c>
      <c r="L14" s="2">
        <v>2855245</v>
      </c>
    </row>
    <row r="15" spans="1:12" x14ac:dyDescent="0.25">
      <c r="A15">
        <v>14</v>
      </c>
      <c r="B15">
        <v>348</v>
      </c>
      <c r="C15" t="s">
        <v>70</v>
      </c>
      <c r="D15" t="s">
        <v>28</v>
      </c>
      <c r="E15" t="s">
        <v>61</v>
      </c>
      <c r="F15" s="1">
        <v>45123</v>
      </c>
      <c r="G15" t="s">
        <v>68</v>
      </c>
      <c r="H15" s="2">
        <v>150</v>
      </c>
      <c r="I15" t="s">
        <v>73</v>
      </c>
      <c r="K15" t="s">
        <v>78</v>
      </c>
      <c r="L15" s="2">
        <v>2550540</v>
      </c>
    </row>
    <row r="16" spans="1:12" x14ac:dyDescent="0.25">
      <c r="A16">
        <v>15</v>
      </c>
      <c r="B16">
        <v>451</v>
      </c>
      <c r="C16" t="s">
        <v>85</v>
      </c>
      <c r="D16" t="s">
        <v>27</v>
      </c>
      <c r="E16" t="s">
        <v>71</v>
      </c>
      <c r="F16" s="1">
        <v>44564</v>
      </c>
      <c r="G16" t="s">
        <v>84</v>
      </c>
      <c r="H16" s="2">
        <v>450</v>
      </c>
      <c r="I16" t="s">
        <v>73</v>
      </c>
      <c r="K16" t="s">
        <v>68</v>
      </c>
      <c r="L16" s="2">
        <v>2547315</v>
      </c>
    </row>
    <row r="17" spans="1:12" x14ac:dyDescent="0.25">
      <c r="A17">
        <v>16</v>
      </c>
      <c r="B17">
        <v>451</v>
      </c>
      <c r="C17" t="s">
        <v>85</v>
      </c>
      <c r="D17" t="s">
        <v>30</v>
      </c>
      <c r="E17" t="s">
        <v>71</v>
      </c>
      <c r="F17" s="1">
        <v>44951</v>
      </c>
      <c r="G17" t="s">
        <v>84</v>
      </c>
      <c r="H17" s="2">
        <v>500</v>
      </c>
      <c r="I17" t="s">
        <v>86</v>
      </c>
      <c r="K17" t="s">
        <v>84</v>
      </c>
      <c r="L17" s="2">
        <v>1728180</v>
      </c>
    </row>
    <row r="18" spans="1:12" x14ac:dyDescent="0.25">
      <c r="A18">
        <v>17</v>
      </c>
      <c r="B18">
        <v>792</v>
      </c>
      <c r="C18" t="s">
        <v>67</v>
      </c>
      <c r="D18" t="s">
        <v>30</v>
      </c>
      <c r="E18" t="s">
        <v>71</v>
      </c>
      <c r="F18" s="1">
        <v>44630</v>
      </c>
      <c r="G18" t="s">
        <v>87</v>
      </c>
      <c r="H18" s="2">
        <v>275000</v>
      </c>
      <c r="I18" t="s">
        <v>69</v>
      </c>
      <c r="K18" t="s">
        <v>88</v>
      </c>
      <c r="L18" s="2">
        <v>1369840</v>
      </c>
    </row>
    <row r="19" spans="1:12" x14ac:dyDescent="0.25">
      <c r="A19">
        <v>18</v>
      </c>
      <c r="B19">
        <v>631</v>
      </c>
      <c r="C19" t="s">
        <v>77</v>
      </c>
      <c r="D19" t="s">
        <v>30</v>
      </c>
      <c r="E19" t="s">
        <v>83</v>
      </c>
      <c r="F19" s="1">
        <v>45038</v>
      </c>
      <c r="G19" t="s">
        <v>87</v>
      </c>
      <c r="H19" s="2">
        <v>14000</v>
      </c>
      <c r="I19" t="s">
        <v>74</v>
      </c>
      <c r="K19" t="s">
        <v>72</v>
      </c>
      <c r="L19" s="2">
        <v>1328290</v>
      </c>
    </row>
    <row r="20" spans="1:12" x14ac:dyDescent="0.25">
      <c r="A20">
        <v>19</v>
      </c>
      <c r="B20">
        <v>883</v>
      </c>
      <c r="C20" t="s">
        <v>82</v>
      </c>
      <c r="D20" t="s">
        <v>30</v>
      </c>
      <c r="E20" t="s">
        <v>71</v>
      </c>
      <c r="F20" s="1">
        <v>44832</v>
      </c>
      <c r="G20" t="s">
        <v>78</v>
      </c>
      <c r="H20" s="2">
        <v>135000</v>
      </c>
      <c r="I20" t="s">
        <v>79</v>
      </c>
      <c r="K20" t="s">
        <v>65</v>
      </c>
      <c r="L20" s="2">
        <v>1051215</v>
      </c>
    </row>
    <row r="21" spans="1:12" x14ac:dyDescent="0.25">
      <c r="A21">
        <v>20</v>
      </c>
      <c r="B21">
        <v>883</v>
      </c>
      <c r="C21" t="s">
        <v>82</v>
      </c>
      <c r="D21" t="s">
        <v>27</v>
      </c>
      <c r="E21" t="s">
        <v>71</v>
      </c>
      <c r="F21" s="1">
        <v>44641</v>
      </c>
      <c r="G21" t="s">
        <v>68</v>
      </c>
      <c r="H21" s="2">
        <v>140000</v>
      </c>
      <c r="I21" t="s">
        <v>63</v>
      </c>
      <c r="K21" t="s">
        <v>87</v>
      </c>
      <c r="L21" s="2">
        <v>935340</v>
      </c>
    </row>
    <row r="22" spans="1:12" x14ac:dyDescent="0.25">
      <c r="A22">
        <v>21</v>
      </c>
      <c r="B22">
        <v>631</v>
      </c>
      <c r="C22" t="s">
        <v>77</v>
      </c>
      <c r="D22" t="s">
        <v>28</v>
      </c>
      <c r="E22" t="s">
        <v>71</v>
      </c>
      <c r="F22" s="1">
        <v>45088</v>
      </c>
      <c r="G22" t="s">
        <v>78</v>
      </c>
      <c r="H22" s="2">
        <v>14000</v>
      </c>
      <c r="I22" t="s">
        <v>69</v>
      </c>
    </row>
    <row r="23" spans="1:12" x14ac:dyDescent="0.25">
      <c r="A23">
        <v>22</v>
      </c>
      <c r="B23">
        <v>883</v>
      </c>
      <c r="C23" t="s">
        <v>82</v>
      </c>
      <c r="D23" t="s">
        <v>29</v>
      </c>
      <c r="E23" t="s">
        <v>61</v>
      </c>
      <c r="F23" s="1">
        <v>45073</v>
      </c>
      <c r="G23" t="s">
        <v>88</v>
      </c>
      <c r="H23" s="2">
        <v>140000</v>
      </c>
      <c r="I23" t="s">
        <v>74</v>
      </c>
    </row>
    <row r="24" spans="1:12" x14ac:dyDescent="0.25">
      <c r="A24">
        <v>23</v>
      </c>
      <c r="B24">
        <v>631</v>
      </c>
      <c r="C24" t="s">
        <v>77</v>
      </c>
      <c r="D24" t="s">
        <v>30</v>
      </c>
      <c r="E24" t="s">
        <v>61</v>
      </c>
      <c r="F24" s="1">
        <v>44837</v>
      </c>
      <c r="G24" t="s">
        <v>84</v>
      </c>
      <c r="H24" s="2">
        <v>14000</v>
      </c>
      <c r="I24" t="s">
        <v>69</v>
      </c>
    </row>
    <row r="25" spans="1:12" x14ac:dyDescent="0.25">
      <c r="A25">
        <v>24</v>
      </c>
      <c r="B25">
        <v>956</v>
      </c>
      <c r="C25" t="s">
        <v>64</v>
      </c>
      <c r="D25" t="s">
        <v>27</v>
      </c>
      <c r="E25" t="s">
        <v>71</v>
      </c>
      <c r="F25" s="1">
        <v>44840</v>
      </c>
      <c r="G25" t="s">
        <v>65</v>
      </c>
      <c r="H25" s="2">
        <v>12000</v>
      </c>
      <c r="I25" t="s">
        <v>66</v>
      </c>
    </row>
    <row r="26" spans="1:12" x14ac:dyDescent="0.25">
      <c r="A26">
        <v>25</v>
      </c>
      <c r="B26">
        <v>631</v>
      </c>
      <c r="C26" t="s">
        <v>77</v>
      </c>
      <c r="D26" t="s">
        <v>29</v>
      </c>
      <c r="E26" t="s">
        <v>61</v>
      </c>
      <c r="F26" s="1">
        <v>45042</v>
      </c>
      <c r="G26" t="s">
        <v>78</v>
      </c>
      <c r="H26" s="2">
        <v>14000</v>
      </c>
      <c r="I26" t="s">
        <v>80</v>
      </c>
    </row>
    <row r="27" spans="1:12" x14ac:dyDescent="0.25">
      <c r="A27">
        <v>26</v>
      </c>
      <c r="B27">
        <v>451</v>
      </c>
      <c r="C27" t="s">
        <v>85</v>
      </c>
      <c r="D27" t="s">
        <v>29</v>
      </c>
      <c r="E27" t="s">
        <v>61</v>
      </c>
      <c r="F27" s="1">
        <v>45255</v>
      </c>
      <c r="G27" t="s">
        <v>62</v>
      </c>
      <c r="H27" s="2">
        <v>450</v>
      </c>
      <c r="I27" t="s">
        <v>73</v>
      </c>
    </row>
    <row r="28" spans="1:12" x14ac:dyDescent="0.25">
      <c r="A28">
        <v>27</v>
      </c>
      <c r="B28">
        <v>956</v>
      </c>
      <c r="C28" t="s">
        <v>64</v>
      </c>
      <c r="D28" t="s">
        <v>27</v>
      </c>
      <c r="E28" t="s">
        <v>83</v>
      </c>
      <c r="F28" s="1">
        <v>45081</v>
      </c>
      <c r="G28" t="s">
        <v>87</v>
      </c>
      <c r="H28" s="2">
        <v>12000</v>
      </c>
      <c r="I28" t="s">
        <v>80</v>
      </c>
    </row>
    <row r="29" spans="1:12" x14ac:dyDescent="0.25">
      <c r="A29">
        <v>28</v>
      </c>
      <c r="B29">
        <v>451</v>
      </c>
      <c r="C29" t="s">
        <v>85</v>
      </c>
      <c r="D29" t="s">
        <v>29</v>
      </c>
      <c r="E29" t="s">
        <v>71</v>
      </c>
      <c r="F29" s="1">
        <v>44837</v>
      </c>
      <c r="G29" t="s">
        <v>72</v>
      </c>
      <c r="H29" s="2">
        <v>470</v>
      </c>
      <c r="I29" t="s">
        <v>66</v>
      </c>
    </row>
    <row r="30" spans="1:12" x14ac:dyDescent="0.25">
      <c r="A30">
        <v>29</v>
      </c>
      <c r="B30">
        <v>248</v>
      </c>
      <c r="C30" t="s">
        <v>81</v>
      </c>
      <c r="D30" t="s">
        <v>27</v>
      </c>
      <c r="E30" t="s">
        <v>71</v>
      </c>
      <c r="F30" s="1">
        <v>44796</v>
      </c>
      <c r="G30" t="s">
        <v>68</v>
      </c>
      <c r="H30" s="2">
        <v>145</v>
      </c>
      <c r="I30" t="s">
        <v>63</v>
      </c>
    </row>
    <row r="31" spans="1:12" x14ac:dyDescent="0.25">
      <c r="A31">
        <v>30</v>
      </c>
      <c r="B31">
        <v>883</v>
      </c>
      <c r="C31" t="s">
        <v>82</v>
      </c>
      <c r="D31" t="s">
        <v>28</v>
      </c>
      <c r="E31" t="s">
        <v>83</v>
      </c>
      <c r="F31" s="1">
        <v>45146</v>
      </c>
      <c r="G31" t="s">
        <v>65</v>
      </c>
      <c r="H31" s="2">
        <v>140000</v>
      </c>
      <c r="I31" t="s">
        <v>66</v>
      </c>
    </row>
    <row r="32" spans="1:12" x14ac:dyDescent="0.25">
      <c r="A32">
        <v>31</v>
      </c>
      <c r="B32">
        <v>248</v>
      </c>
      <c r="C32" t="s">
        <v>81</v>
      </c>
      <c r="D32" t="s">
        <v>30</v>
      </c>
      <c r="E32" t="s">
        <v>61</v>
      </c>
      <c r="F32" s="1">
        <v>44792</v>
      </c>
      <c r="G32" t="s">
        <v>87</v>
      </c>
      <c r="H32" s="2">
        <v>300</v>
      </c>
      <c r="I32" t="s">
        <v>75</v>
      </c>
    </row>
    <row r="33" spans="1:9" x14ac:dyDescent="0.25">
      <c r="A33">
        <v>32</v>
      </c>
      <c r="B33">
        <v>792</v>
      </c>
      <c r="C33" t="s">
        <v>67</v>
      </c>
      <c r="D33" t="s">
        <v>28</v>
      </c>
      <c r="E33" t="s">
        <v>61</v>
      </c>
      <c r="F33" s="1">
        <v>44789</v>
      </c>
      <c r="G33" t="s">
        <v>62</v>
      </c>
      <c r="H33" s="2">
        <v>350000</v>
      </c>
      <c r="I33" t="s">
        <v>73</v>
      </c>
    </row>
    <row r="34" spans="1:9" x14ac:dyDescent="0.25">
      <c r="A34">
        <v>33</v>
      </c>
      <c r="B34">
        <v>972</v>
      </c>
      <c r="C34" t="s">
        <v>89</v>
      </c>
      <c r="D34" t="s">
        <v>30</v>
      </c>
      <c r="E34" t="s">
        <v>61</v>
      </c>
      <c r="F34" s="1">
        <v>44684</v>
      </c>
      <c r="G34" t="s">
        <v>87</v>
      </c>
      <c r="H34" s="2">
        <v>125000</v>
      </c>
      <c r="I34" t="s">
        <v>66</v>
      </c>
    </row>
    <row r="35" spans="1:9" x14ac:dyDescent="0.25">
      <c r="A35">
        <v>34</v>
      </c>
      <c r="B35">
        <v>883</v>
      </c>
      <c r="C35" t="s">
        <v>82</v>
      </c>
      <c r="D35" t="s">
        <v>28</v>
      </c>
      <c r="E35" t="s">
        <v>71</v>
      </c>
      <c r="F35" s="1">
        <v>45022</v>
      </c>
      <c r="G35" t="s">
        <v>68</v>
      </c>
      <c r="H35" s="2">
        <v>170000</v>
      </c>
      <c r="I35" t="s">
        <v>75</v>
      </c>
    </row>
    <row r="36" spans="1:9" x14ac:dyDescent="0.25">
      <c r="A36">
        <v>35</v>
      </c>
      <c r="B36">
        <v>113</v>
      </c>
      <c r="C36" t="s">
        <v>60</v>
      </c>
      <c r="D36" t="s">
        <v>28</v>
      </c>
      <c r="E36" t="s">
        <v>83</v>
      </c>
      <c r="F36" s="1">
        <v>45073</v>
      </c>
      <c r="G36" t="s">
        <v>84</v>
      </c>
      <c r="H36" s="2">
        <v>1800</v>
      </c>
      <c r="I36" t="s">
        <v>76</v>
      </c>
    </row>
    <row r="37" spans="1:9" x14ac:dyDescent="0.25">
      <c r="A37">
        <v>36</v>
      </c>
      <c r="B37">
        <v>113</v>
      </c>
      <c r="C37" t="s">
        <v>60</v>
      </c>
      <c r="D37" t="s">
        <v>29</v>
      </c>
      <c r="E37" t="s">
        <v>61</v>
      </c>
      <c r="F37" s="1">
        <v>45000</v>
      </c>
      <c r="G37" t="s">
        <v>62</v>
      </c>
      <c r="H37" s="2">
        <v>1800</v>
      </c>
      <c r="I37" t="s">
        <v>76</v>
      </c>
    </row>
    <row r="38" spans="1:9" x14ac:dyDescent="0.25">
      <c r="A38">
        <v>37</v>
      </c>
      <c r="B38">
        <v>972</v>
      </c>
      <c r="C38" t="s">
        <v>89</v>
      </c>
      <c r="D38" t="s">
        <v>30</v>
      </c>
      <c r="E38" t="s">
        <v>83</v>
      </c>
      <c r="F38" s="1">
        <v>44899</v>
      </c>
      <c r="G38" t="s">
        <v>68</v>
      </c>
      <c r="H38" s="2">
        <v>90000</v>
      </c>
      <c r="I38" t="s">
        <v>76</v>
      </c>
    </row>
    <row r="39" spans="1:9" x14ac:dyDescent="0.25">
      <c r="A39">
        <v>38</v>
      </c>
      <c r="B39">
        <v>956</v>
      </c>
      <c r="C39" t="s">
        <v>64</v>
      </c>
      <c r="D39" t="s">
        <v>29</v>
      </c>
      <c r="E39" t="s">
        <v>83</v>
      </c>
      <c r="F39" s="1">
        <v>44772</v>
      </c>
      <c r="G39" t="s">
        <v>68</v>
      </c>
      <c r="H39" s="2">
        <v>10000</v>
      </c>
      <c r="I39" t="s">
        <v>75</v>
      </c>
    </row>
    <row r="40" spans="1:9" x14ac:dyDescent="0.25">
      <c r="A40">
        <v>39</v>
      </c>
      <c r="B40">
        <v>972</v>
      </c>
      <c r="C40" t="s">
        <v>89</v>
      </c>
      <c r="D40" t="s">
        <v>29</v>
      </c>
      <c r="E40" t="s">
        <v>61</v>
      </c>
      <c r="F40" s="1">
        <v>45170</v>
      </c>
      <c r="G40" t="s">
        <v>72</v>
      </c>
      <c r="H40" s="2">
        <v>125000</v>
      </c>
      <c r="I40" t="s">
        <v>80</v>
      </c>
    </row>
    <row r="41" spans="1:9" x14ac:dyDescent="0.25">
      <c r="A41">
        <v>40</v>
      </c>
      <c r="B41">
        <v>883</v>
      </c>
      <c r="C41" t="s">
        <v>82</v>
      </c>
      <c r="D41" t="s">
        <v>30</v>
      </c>
      <c r="E41" t="s">
        <v>61</v>
      </c>
      <c r="F41" s="1">
        <v>44792</v>
      </c>
      <c r="G41" t="s">
        <v>62</v>
      </c>
      <c r="H41" s="2">
        <v>170000</v>
      </c>
      <c r="I41" t="s">
        <v>75</v>
      </c>
    </row>
    <row r="42" spans="1:9" x14ac:dyDescent="0.25">
      <c r="A42">
        <v>41</v>
      </c>
      <c r="B42">
        <v>792</v>
      </c>
      <c r="C42" t="s">
        <v>67</v>
      </c>
      <c r="D42" t="s">
        <v>30</v>
      </c>
      <c r="E42" t="s">
        <v>71</v>
      </c>
      <c r="F42" s="1">
        <v>44940</v>
      </c>
      <c r="G42" t="s">
        <v>72</v>
      </c>
      <c r="H42" s="2">
        <v>275000</v>
      </c>
      <c r="I42" t="s">
        <v>66</v>
      </c>
    </row>
    <row r="43" spans="1:9" x14ac:dyDescent="0.25">
      <c r="A43">
        <v>42</v>
      </c>
      <c r="B43">
        <v>631</v>
      </c>
      <c r="C43" t="s">
        <v>77</v>
      </c>
      <c r="D43" t="s">
        <v>28</v>
      </c>
      <c r="E43" t="s">
        <v>61</v>
      </c>
      <c r="F43" s="1">
        <v>44758</v>
      </c>
      <c r="G43" t="s">
        <v>65</v>
      </c>
      <c r="H43" s="2">
        <v>14000</v>
      </c>
      <c r="I43" t="s">
        <v>80</v>
      </c>
    </row>
    <row r="44" spans="1:9" x14ac:dyDescent="0.25">
      <c r="A44">
        <v>43</v>
      </c>
      <c r="B44">
        <v>792</v>
      </c>
      <c r="C44" t="s">
        <v>67</v>
      </c>
      <c r="D44" t="s">
        <v>27</v>
      </c>
      <c r="E44" t="s">
        <v>83</v>
      </c>
      <c r="F44" s="1">
        <v>45153</v>
      </c>
      <c r="G44" t="s">
        <v>62</v>
      </c>
      <c r="H44" s="2">
        <v>275000</v>
      </c>
      <c r="I44" t="s">
        <v>69</v>
      </c>
    </row>
    <row r="45" spans="1:9" x14ac:dyDescent="0.25">
      <c r="A45">
        <v>44</v>
      </c>
      <c r="B45">
        <v>451</v>
      </c>
      <c r="C45" t="s">
        <v>85</v>
      </c>
      <c r="D45" t="s">
        <v>30</v>
      </c>
      <c r="E45" t="s">
        <v>83</v>
      </c>
      <c r="F45" s="1">
        <v>45172</v>
      </c>
      <c r="G45" t="s">
        <v>62</v>
      </c>
      <c r="H45" s="2">
        <v>470</v>
      </c>
      <c r="I45" t="s">
        <v>66</v>
      </c>
    </row>
    <row r="46" spans="1:9" x14ac:dyDescent="0.25">
      <c r="A46">
        <v>45</v>
      </c>
      <c r="B46">
        <v>972</v>
      </c>
      <c r="C46" t="s">
        <v>89</v>
      </c>
      <c r="D46" t="s">
        <v>27</v>
      </c>
      <c r="E46" t="s">
        <v>61</v>
      </c>
      <c r="F46" s="1">
        <v>44976</v>
      </c>
      <c r="G46" t="s">
        <v>88</v>
      </c>
      <c r="H46" s="2">
        <v>125000</v>
      </c>
      <c r="I46" t="s">
        <v>63</v>
      </c>
    </row>
    <row r="47" spans="1:9" x14ac:dyDescent="0.25">
      <c r="A47">
        <v>46</v>
      </c>
      <c r="B47">
        <v>883</v>
      </c>
      <c r="C47" t="s">
        <v>82</v>
      </c>
      <c r="D47" t="s">
        <v>28</v>
      </c>
      <c r="E47" t="s">
        <v>71</v>
      </c>
      <c r="F47" s="1">
        <v>44862</v>
      </c>
      <c r="G47" t="s">
        <v>72</v>
      </c>
      <c r="H47" s="2">
        <v>170000</v>
      </c>
      <c r="I47" t="s">
        <v>75</v>
      </c>
    </row>
    <row r="48" spans="1:9" x14ac:dyDescent="0.25">
      <c r="A48">
        <v>47</v>
      </c>
      <c r="B48">
        <v>631</v>
      </c>
      <c r="C48" t="s">
        <v>77</v>
      </c>
      <c r="D48" t="s">
        <v>30</v>
      </c>
      <c r="E48" t="s">
        <v>61</v>
      </c>
      <c r="F48" s="1">
        <v>45251</v>
      </c>
      <c r="G48" t="s">
        <v>87</v>
      </c>
      <c r="H48" s="2">
        <v>14000</v>
      </c>
      <c r="I48" t="s">
        <v>79</v>
      </c>
    </row>
    <row r="49" spans="1:9" x14ac:dyDescent="0.25">
      <c r="A49">
        <v>48</v>
      </c>
      <c r="B49">
        <v>631</v>
      </c>
      <c r="C49" t="s">
        <v>77</v>
      </c>
      <c r="D49" t="s">
        <v>27</v>
      </c>
      <c r="E49" t="s">
        <v>71</v>
      </c>
      <c r="F49" s="1">
        <v>45003</v>
      </c>
      <c r="G49" t="s">
        <v>87</v>
      </c>
      <c r="H49" s="2">
        <v>14000</v>
      </c>
      <c r="I49" t="s">
        <v>74</v>
      </c>
    </row>
    <row r="50" spans="1:9" x14ac:dyDescent="0.25">
      <c r="A50">
        <v>49</v>
      </c>
      <c r="B50">
        <v>972</v>
      </c>
      <c r="C50" t="s">
        <v>89</v>
      </c>
      <c r="D50" t="s">
        <v>27</v>
      </c>
      <c r="E50" t="s">
        <v>71</v>
      </c>
      <c r="F50" s="1">
        <v>45211</v>
      </c>
      <c r="G50" t="s">
        <v>84</v>
      </c>
      <c r="H50" s="2">
        <v>125000</v>
      </c>
      <c r="I50" t="s">
        <v>69</v>
      </c>
    </row>
    <row r="51" spans="1:9" x14ac:dyDescent="0.25">
      <c r="A51">
        <v>50</v>
      </c>
      <c r="B51">
        <v>883</v>
      </c>
      <c r="C51" t="s">
        <v>82</v>
      </c>
      <c r="D51" t="s">
        <v>30</v>
      </c>
      <c r="E51" t="s">
        <v>61</v>
      </c>
      <c r="F51" s="1">
        <v>45047</v>
      </c>
      <c r="G51" t="s">
        <v>62</v>
      </c>
      <c r="H51" s="2">
        <v>140000</v>
      </c>
      <c r="I51" t="s">
        <v>76</v>
      </c>
    </row>
    <row r="52" spans="1:9" x14ac:dyDescent="0.25">
      <c r="A52">
        <v>51</v>
      </c>
      <c r="B52">
        <v>113</v>
      </c>
      <c r="C52" t="s">
        <v>60</v>
      </c>
      <c r="D52" t="s">
        <v>29</v>
      </c>
      <c r="E52" t="s">
        <v>61</v>
      </c>
      <c r="F52" s="1">
        <v>44843</v>
      </c>
      <c r="G52" t="s">
        <v>68</v>
      </c>
      <c r="H52" s="2">
        <v>1800</v>
      </c>
      <c r="I52" t="s">
        <v>76</v>
      </c>
    </row>
    <row r="53" spans="1:9" x14ac:dyDescent="0.25">
      <c r="A53">
        <v>52</v>
      </c>
      <c r="B53">
        <v>956</v>
      </c>
      <c r="C53" t="s">
        <v>64</v>
      </c>
      <c r="D53" t="s">
        <v>30</v>
      </c>
      <c r="E53" t="s">
        <v>61</v>
      </c>
      <c r="F53" s="1">
        <v>45070</v>
      </c>
      <c r="G53" t="s">
        <v>84</v>
      </c>
      <c r="H53" s="2">
        <v>12000</v>
      </c>
      <c r="I53" t="s">
        <v>73</v>
      </c>
    </row>
    <row r="54" spans="1:9" x14ac:dyDescent="0.25">
      <c r="A54">
        <v>53</v>
      </c>
      <c r="B54">
        <v>792</v>
      </c>
      <c r="C54" t="s">
        <v>67</v>
      </c>
      <c r="D54" t="s">
        <v>28</v>
      </c>
      <c r="E54" t="s">
        <v>61</v>
      </c>
      <c r="F54" s="1">
        <v>45210</v>
      </c>
      <c r="G54" t="s">
        <v>65</v>
      </c>
      <c r="H54" s="2">
        <v>250000</v>
      </c>
      <c r="I54" t="s">
        <v>75</v>
      </c>
    </row>
    <row r="55" spans="1:9" x14ac:dyDescent="0.25">
      <c r="A55">
        <v>54</v>
      </c>
      <c r="B55">
        <v>792</v>
      </c>
      <c r="C55" t="s">
        <v>67</v>
      </c>
      <c r="D55" t="s">
        <v>27</v>
      </c>
      <c r="E55" t="s">
        <v>83</v>
      </c>
      <c r="F55" s="1">
        <v>45048</v>
      </c>
      <c r="G55" t="s">
        <v>84</v>
      </c>
      <c r="H55" s="2">
        <v>320000</v>
      </c>
      <c r="I55" t="s">
        <v>63</v>
      </c>
    </row>
    <row r="56" spans="1:9" x14ac:dyDescent="0.25">
      <c r="A56">
        <v>55</v>
      </c>
      <c r="B56">
        <v>792</v>
      </c>
      <c r="C56" t="s">
        <v>67</v>
      </c>
      <c r="D56" t="s">
        <v>30</v>
      </c>
      <c r="E56" t="s">
        <v>71</v>
      </c>
      <c r="F56" s="1">
        <v>45173</v>
      </c>
      <c r="G56" t="s">
        <v>68</v>
      </c>
      <c r="H56" s="2">
        <v>275000</v>
      </c>
      <c r="I56" t="s">
        <v>69</v>
      </c>
    </row>
    <row r="57" spans="1:9" x14ac:dyDescent="0.25">
      <c r="A57">
        <v>56</v>
      </c>
      <c r="B57">
        <v>956</v>
      </c>
      <c r="C57" t="s">
        <v>64</v>
      </c>
      <c r="D57" t="s">
        <v>30</v>
      </c>
      <c r="E57" t="s">
        <v>61</v>
      </c>
      <c r="F57" s="1">
        <v>44677</v>
      </c>
      <c r="G57" t="s">
        <v>78</v>
      </c>
      <c r="H57" s="2">
        <v>10000</v>
      </c>
      <c r="I57" t="s">
        <v>75</v>
      </c>
    </row>
    <row r="58" spans="1:9" x14ac:dyDescent="0.25">
      <c r="A58">
        <v>57</v>
      </c>
      <c r="B58">
        <v>792</v>
      </c>
      <c r="C58" t="s">
        <v>67</v>
      </c>
      <c r="D58" t="s">
        <v>28</v>
      </c>
      <c r="E58" t="s">
        <v>61</v>
      </c>
      <c r="F58" s="1">
        <v>44564</v>
      </c>
      <c r="G58" t="s">
        <v>78</v>
      </c>
      <c r="H58" s="2">
        <v>320000</v>
      </c>
      <c r="I58" t="s">
        <v>63</v>
      </c>
    </row>
    <row r="59" spans="1:9" x14ac:dyDescent="0.25">
      <c r="A59">
        <v>58</v>
      </c>
      <c r="B59">
        <v>248</v>
      </c>
      <c r="C59" t="s">
        <v>81</v>
      </c>
      <c r="D59" t="s">
        <v>27</v>
      </c>
      <c r="E59" t="s">
        <v>71</v>
      </c>
      <c r="F59" s="1">
        <v>45236</v>
      </c>
      <c r="G59" t="s">
        <v>84</v>
      </c>
      <c r="H59" s="2">
        <v>120</v>
      </c>
      <c r="I59" t="s">
        <v>79</v>
      </c>
    </row>
    <row r="60" spans="1:9" x14ac:dyDescent="0.25">
      <c r="A60">
        <v>59</v>
      </c>
      <c r="B60">
        <v>631</v>
      </c>
      <c r="C60" t="s">
        <v>77</v>
      </c>
      <c r="D60" t="s">
        <v>29</v>
      </c>
      <c r="E60" t="s">
        <v>71</v>
      </c>
      <c r="F60" s="1">
        <v>45029</v>
      </c>
      <c r="G60" t="s">
        <v>84</v>
      </c>
      <c r="H60" s="2">
        <v>14000</v>
      </c>
      <c r="I60" t="s">
        <v>66</v>
      </c>
    </row>
    <row r="61" spans="1:9" x14ac:dyDescent="0.25">
      <c r="A61">
        <v>60</v>
      </c>
      <c r="B61">
        <v>792</v>
      </c>
      <c r="C61" t="s">
        <v>67</v>
      </c>
      <c r="D61" t="s">
        <v>30</v>
      </c>
      <c r="E61" t="s">
        <v>61</v>
      </c>
      <c r="F61" s="1">
        <v>44958</v>
      </c>
      <c r="G61" t="s">
        <v>68</v>
      </c>
      <c r="H61" s="2">
        <v>275000</v>
      </c>
      <c r="I61" t="s">
        <v>76</v>
      </c>
    </row>
    <row r="62" spans="1:9" x14ac:dyDescent="0.25">
      <c r="A62">
        <v>61</v>
      </c>
      <c r="B62">
        <v>348</v>
      </c>
      <c r="C62" t="s">
        <v>70</v>
      </c>
      <c r="D62" t="s">
        <v>29</v>
      </c>
      <c r="E62" t="s">
        <v>71</v>
      </c>
      <c r="F62" s="1">
        <v>44741</v>
      </c>
      <c r="G62" t="s">
        <v>68</v>
      </c>
      <c r="H62" s="2">
        <v>120</v>
      </c>
      <c r="I62" t="s">
        <v>76</v>
      </c>
    </row>
    <row r="63" spans="1:9" x14ac:dyDescent="0.25">
      <c r="A63">
        <v>62</v>
      </c>
      <c r="B63">
        <v>972</v>
      </c>
      <c r="C63" t="s">
        <v>89</v>
      </c>
      <c r="D63" t="s">
        <v>27</v>
      </c>
      <c r="E63" t="s">
        <v>61</v>
      </c>
      <c r="F63" s="1">
        <v>44958</v>
      </c>
      <c r="G63" t="s">
        <v>68</v>
      </c>
      <c r="H63" s="2">
        <v>125000</v>
      </c>
      <c r="I63" t="s">
        <v>63</v>
      </c>
    </row>
    <row r="64" spans="1:9" x14ac:dyDescent="0.25">
      <c r="A64">
        <v>63</v>
      </c>
      <c r="B64">
        <v>631</v>
      </c>
      <c r="C64" t="s">
        <v>77</v>
      </c>
      <c r="D64" t="s">
        <v>27</v>
      </c>
      <c r="E64" t="s">
        <v>61</v>
      </c>
      <c r="F64" s="1">
        <v>44797</v>
      </c>
      <c r="G64" t="s">
        <v>84</v>
      </c>
      <c r="H64" s="2">
        <v>14000</v>
      </c>
      <c r="I64" t="s">
        <v>76</v>
      </c>
    </row>
    <row r="65" spans="1:9" x14ac:dyDescent="0.25">
      <c r="A65">
        <v>64</v>
      </c>
      <c r="B65">
        <v>956</v>
      </c>
      <c r="C65" t="s">
        <v>64</v>
      </c>
      <c r="D65" t="s">
        <v>29</v>
      </c>
      <c r="E65" t="s">
        <v>61</v>
      </c>
      <c r="F65" s="1">
        <v>45152</v>
      </c>
      <c r="G65" t="s">
        <v>88</v>
      </c>
      <c r="H65" s="2">
        <v>12000</v>
      </c>
      <c r="I65" t="s">
        <v>66</v>
      </c>
    </row>
    <row r="66" spans="1:9" x14ac:dyDescent="0.25">
      <c r="A66">
        <v>65</v>
      </c>
      <c r="B66">
        <v>972</v>
      </c>
      <c r="C66" t="s">
        <v>89</v>
      </c>
      <c r="D66" t="s">
        <v>27</v>
      </c>
      <c r="E66" t="s">
        <v>71</v>
      </c>
      <c r="F66" s="1">
        <v>45123</v>
      </c>
      <c r="G66" t="s">
        <v>68</v>
      </c>
      <c r="H66" s="2">
        <v>125000</v>
      </c>
      <c r="I66" t="s">
        <v>80</v>
      </c>
    </row>
    <row r="67" spans="1:9" x14ac:dyDescent="0.25">
      <c r="A67">
        <v>66</v>
      </c>
      <c r="B67">
        <v>956</v>
      </c>
      <c r="C67" t="s">
        <v>64</v>
      </c>
      <c r="D67" t="s">
        <v>30</v>
      </c>
      <c r="E67" t="s">
        <v>83</v>
      </c>
      <c r="F67" s="1">
        <v>45070</v>
      </c>
      <c r="G67" t="s">
        <v>87</v>
      </c>
      <c r="H67" s="2">
        <v>12000</v>
      </c>
      <c r="I67" t="s">
        <v>74</v>
      </c>
    </row>
    <row r="68" spans="1:9" x14ac:dyDescent="0.25">
      <c r="A68">
        <v>67</v>
      </c>
      <c r="B68">
        <v>113</v>
      </c>
      <c r="C68" t="s">
        <v>60</v>
      </c>
      <c r="D68" t="s">
        <v>30</v>
      </c>
      <c r="E68" t="s">
        <v>83</v>
      </c>
      <c r="F68" s="1">
        <v>45249</v>
      </c>
      <c r="G68" t="s">
        <v>88</v>
      </c>
      <c r="H68" s="2">
        <v>1800</v>
      </c>
      <c r="I68" t="s">
        <v>63</v>
      </c>
    </row>
    <row r="69" spans="1:9" x14ac:dyDescent="0.25">
      <c r="A69">
        <v>68</v>
      </c>
      <c r="B69">
        <v>956</v>
      </c>
      <c r="C69" t="s">
        <v>64</v>
      </c>
      <c r="D69" t="s">
        <v>27</v>
      </c>
      <c r="E69" t="s">
        <v>61</v>
      </c>
      <c r="F69" s="1">
        <v>44865</v>
      </c>
      <c r="G69" t="s">
        <v>78</v>
      </c>
      <c r="H69" s="2">
        <v>12000</v>
      </c>
      <c r="I69" t="s">
        <v>73</v>
      </c>
    </row>
    <row r="70" spans="1:9" x14ac:dyDescent="0.25">
      <c r="A70">
        <v>69</v>
      </c>
      <c r="B70">
        <v>451</v>
      </c>
      <c r="C70" t="s">
        <v>85</v>
      </c>
      <c r="D70" t="s">
        <v>27</v>
      </c>
      <c r="E70" t="s">
        <v>61</v>
      </c>
      <c r="F70" s="1">
        <v>45104</v>
      </c>
      <c r="G70" t="s">
        <v>87</v>
      </c>
      <c r="H70" s="2">
        <v>890</v>
      </c>
      <c r="I70" t="s">
        <v>63</v>
      </c>
    </row>
    <row r="71" spans="1:9" x14ac:dyDescent="0.25">
      <c r="A71">
        <v>70</v>
      </c>
      <c r="B71">
        <v>113</v>
      </c>
      <c r="C71" t="s">
        <v>60</v>
      </c>
      <c r="D71" t="s">
        <v>29</v>
      </c>
      <c r="E71" t="s">
        <v>71</v>
      </c>
      <c r="F71" s="1">
        <v>45048</v>
      </c>
      <c r="G71" t="s">
        <v>62</v>
      </c>
      <c r="H71" s="2">
        <v>1800</v>
      </c>
      <c r="I71" t="s">
        <v>80</v>
      </c>
    </row>
    <row r="72" spans="1:9" x14ac:dyDescent="0.25">
      <c r="A72">
        <v>71</v>
      </c>
      <c r="B72">
        <v>972</v>
      </c>
      <c r="C72" t="s">
        <v>89</v>
      </c>
      <c r="D72" t="s">
        <v>27</v>
      </c>
      <c r="E72" t="s">
        <v>71</v>
      </c>
      <c r="F72" s="1">
        <v>45107</v>
      </c>
      <c r="G72" t="s">
        <v>88</v>
      </c>
      <c r="H72" s="2">
        <v>125000</v>
      </c>
      <c r="I72" t="s">
        <v>74</v>
      </c>
    </row>
    <row r="73" spans="1:9" x14ac:dyDescent="0.25">
      <c r="A73">
        <v>72</v>
      </c>
      <c r="B73">
        <v>248</v>
      </c>
      <c r="C73" t="s">
        <v>81</v>
      </c>
      <c r="D73" t="s">
        <v>28</v>
      </c>
      <c r="E73" t="s">
        <v>71</v>
      </c>
      <c r="F73" s="1">
        <v>44773</v>
      </c>
      <c r="G73" t="s">
        <v>72</v>
      </c>
      <c r="H73" s="2">
        <v>145</v>
      </c>
      <c r="I73" t="s">
        <v>69</v>
      </c>
    </row>
    <row r="74" spans="1:9" x14ac:dyDescent="0.25">
      <c r="A74">
        <v>73</v>
      </c>
      <c r="B74">
        <v>348</v>
      </c>
      <c r="C74" t="s">
        <v>70</v>
      </c>
      <c r="D74" t="s">
        <v>29</v>
      </c>
      <c r="E74" t="s">
        <v>71</v>
      </c>
      <c r="F74" s="1">
        <v>44690</v>
      </c>
      <c r="G74" t="s">
        <v>78</v>
      </c>
      <c r="H74" s="2">
        <v>150</v>
      </c>
      <c r="I74" t="s">
        <v>63</v>
      </c>
    </row>
    <row r="75" spans="1:9" x14ac:dyDescent="0.25">
      <c r="A75">
        <v>74</v>
      </c>
      <c r="B75">
        <v>956</v>
      </c>
      <c r="C75" t="s">
        <v>64</v>
      </c>
      <c r="D75" t="s">
        <v>29</v>
      </c>
      <c r="E75" t="s">
        <v>61</v>
      </c>
      <c r="F75" s="1">
        <v>45184</v>
      </c>
      <c r="G75" t="s">
        <v>88</v>
      </c>
      <c r="H75" s="2">
        <v>10000</v>
      </c>
      <c r="I75" t="s">
        <v>75</v>
      </c>
    </row>
    <row r="76" spans="1:9" x14ac:dyDescent="0.25">
      <c r="A76">
        <v>75</v>
      </c>
      <c r="B76">
        <v>348</v>
      </c>
      <c r="C76" t="s">
        <v>70</v>
      </c>
      <c r="D76" t="s">
        <v>28</v>
      </c>
      <c r="E76" t="s">
        <v>71</v>
      </c>
      <c r="F76" s="1">
        <v>44741</v>
      </c>
      <c r="G76" t="s">
        <v>68</v>
      </c>
      <c r="H76" s="2">
        <v>150</v>
      </c>
      <c r="I76" t="s">
        <v>63</v>
      </c>
    </row>
    <row r="77" spans="1:9" x14ac:dyDescent="0.25">
      <c r="A77">
        <v>76</v>
      </c>
      <c r="B77">
        <v>451</v>
      </c>
      <c r="C77" t="s">
        <v>85</v>
      </c>
      <c r="D77" t="s">
        <v>28</v>
      </c>
      <c r="E77" t="s">
        <v>83</v>
      </c>
      <c r="F77" s="1">
        <v>44666</v>
      </c>
      <c r="G77" t="s">
        <v>84</v>
      </c>
      <c r="H77" s="2">
        <v>450</v>
      </c>
      <c r="I77" t="s">
        <v>73</v>
      </c>
    </row>
    <row r="78" spans="1:9" x14ac:dyDescent="0.25">
      <c r="A78">
        <v>77</v>
      </c>
      <c r="B78">
        <v>956</v>
      </c>
      <c r="C78" t="s">
        <v>64</v>
      </c>
      <c r="D78" t="s">
        <v>30</v>
      </c>
      <c r="E78" t="s">
        <v>71</v>
      </c>
      <c r="F78" s="1">
        <v>44952</v>
      </c>
      <c r="G78" t="s">
        <v>88</v>
      </c>
      <c r="H78" s="2">
        <v>10000</v>
      </c>
      <c r="I78" t="s">
        <v>75</v>
      </c>
    </row>
    <row r="79" spans="1:9" x14ac:dyDescent="0.25">
      <c r="A79">
        <v>78</v>
      </c>
      <c r="B79">
        <v>248</v>
      </c>
      <c r="C79" t="s">
        <v>81</v>
      </c>
      <c r="D79" t="s">
        <v>29</v>
      </c>
      <c r="E79" t="s">
        <v>83</v>
      </c>
      <c r="F79" s="1">
        <v>44648</v>
      </c>
      <c r="G79" t="s">
        <v>62</v>
      </c>
      <c r="H79" s="2">
        <v>145</v>
      </c>
      <c r="I79" t="s">
        <v>69</v>
      </c>
    </row>
    <row r="80" spans="1:9" x14ac:dyDescent="0.25">
      <c r="A80">
        <v>79</v>
      </c>
      <c r="B80">
        <v>248</v>
      </c>
      <c r="C80" t="s">
        <v>81</v>
      </c>
      <c r="D80" t="s">
        <v>27</v>
      </c>
      <c r="E80" t="s">
        <v>61</v>
      </c>
      <c r="F80" s="1">
        <v>45096</v>
      </c>
      <c r="G80" t="s">
        <v>87</v>
      </c>
      <c r="H80" s="2">
        <v>145</v>
      </c>
      <c r="I80" t="s">
        <v>63</v>
      </c>
    </row>
    <row r="81" spans="1:9" x14ac:dyDescent="0.25">
      <c r="A81">
        <v>80</v>
      </c>
      <c r="B81">
        <v>956</v>
      </c>
      <c r="C81" t="s">
        <v>64</v>
      </c>
      <c r="D81" t="s">
        <v>28</v>
      </c>
      <c r="E81" t="s">
        <v>83</v>
      </c>
      <c r="F81" s="1">
        <v>44755</v>
      </c>
      <c r="G81" t="s">
        <v>78</v>
      </c>
      <c r="H81" s="2">
        <v>12000</v>
      </c>
      <c r="I81" t="s">
        <v>66</v>
      </c>
    </row>
    <row r="82" spans="1:9" x14ac:dyDescent="0.25">
      <c r="A82">
        <v>81</v>
      </c>
      <c r="B82">
        <v>248</v>
      </c>
      <c r="C82" t="s">
        <v>81</v>
      </c>
      <c r="D82" t="s">
        <v>27</v>
      </c>
      <c r="E82" t="s">
        <v>61</v>
      </c>
      <c r="F82" s="1">
        <v>44641</v>
      </c>
      <c r="G82" t="s">
        <v>65</v>
      </c>
      <c r="H82" s="2">
        <v>145</v>
      </c>
      <c r="I82" t="s">
        <v>86</v>
      </c>
    </row>
    <row r="83" spans="1:9" x14ac:dyDescent="0.25">
      <c r="A83">
        <v>82</v>
      </c>
      <c r="B83">
        <v>348</v>
      </c>
      <c r="C83" t="s">
        <v>70</v>
      </c>
      <c r="D83" t="s">
        <v>27</v>
      </c>
      <c r="E83" t="s">
        <v>83</v>
      </c>
      <c r="F83" s="1">
        <v>45226</v>
      </c>
      <c r="G83" t="s">
        <v>78</v>
      </c>
      <c r="H83" s="2">
        <v>150</v>
      </c>
      <c r="I83" t="s">
        <v>66</v>
      </c>
    </row>
    <row r="84" spans="1:9" x14ac:dyDescent="0.25">
      <c r="A84">
        <v>83</v>
      </c>
      <c r="B84">
        <v>631</v>
      </c>
      <c r="C84" t="s">
        <v>77</v>
      </c>
      <c r="D84" t="s">
        <v>28</v>
      </c>
      <c r="E84" t="s">
        <v>61</v>
      </c>
      <c r="F84" s="1">
        <v>44870</v>
      </c>
      <c r="G84" t="s">
        <v>87</v>
      </c>
      <c r="H84" s="2">
        <v>10000</v>
      </c>
      <c r="I84" t="s">
        <v>73</v>
      </c>
    </row>
    <row r="85" spans="1:9" x14ac:dyDescent="0.25">
      <c r="A85">
        <v>84</v>
      </c>
      <c r="B85">
        <v>348</v>
      </c>
      <c r="C85" t="s">
        <v>70</v>
      </c>
      <c r="D85" t="s">
        <v>29</v>
      </c>
      <c r="E85" t="s">
        <v>71</v>
      </c>
      <c r="F85" s="1">
        <v>44648</v>
      </c>
      <c r="G85" t="s">
        <v>78</v>
      </c>
      <c r="H85" s="2">
        <v>150</v>
      </c>
      <c r="I85" t="s">
        <v>80</v>
      </c>
    </row>
    <row r="86" spans="1:9" x14ac:dyDescent="0.25">
      <c r="A86">
        <v>85</v>
      </c>
      <c r="B86">
        <v>972</v>
      </c>
      <c r="C86" t="s">
        <v>89</v>
      </c>
      <c r="D86" t="s">
        <v>28</v>
      </c>
      <c r="E86" t="s">
        <v>61</v>
      </c>
      <c r="F86" s="1">
        <v>44956</v>
      </c>
      <c r="G86" t="s">
        <v>84</v>
      </c>
      <c r="H86" s="2">
        <v>125000</v>
      </c>
      <c r="I86" t="s">
        <v>63</v>
      </c>
    </row>
    <row r="87" spans="1:9" x14ac:dyDescent="0.25">
      <c r="A87">
        <v>86</v>
      </c>
      <c r="B87">
        <v>631</v>
      </c>
      <c r="C87" t="s">
        <v>77</v>
      </c>
      <c r="D87" t="s">
        <v>28</v>
      </c>
      <c r="E87" t="s">
        <v>71</v>
      </c>
      <c r="F87" s="1">
        <v>45067</v>
      </c>
      <c r="G87" t="s">
        <v>88</v>
      </c>
      <c r="H87" s="2">
        <v>14000</v>
      </c>
      <c r="I87" t="s">
        <v>86</v>
      </c>
    </row>
    <row r="88" spans="1:9" x14ac:dyDescent="0.25">
      <c r="A88">
        <v>87</v>
      </c>
      <c r="B88">
        <v>451</v>
      </c>
      <c r="C88" t="s">
        <v>85</v>
      </c>
      <c r="D88" t="s">
        <v>27</v>
      </c>
      <c r="E88" t="s">
        <v>83</v>
      </c>
      <c r="F88" s="1">
        <v>45022</v>
      </c>
      <c r="G88" t="s">
        <v>68</v>
      </c>
      <c r="H88" s="2">
        <v>470</v>
      </c>
      <c r="I88" t="s">
        <v>69</v>
      </c>
    </row>
    <row r="89" spans="1:9" x14ac:dyDescent="0.25">
      <c r="A89">
        <v>88</v>
      </c>
      <c r="B89">
        <v>451</v>
      </c>
      <c r="C89" t="s">
        <v>85</v>
      </c>
      <c r="D89" t="s">
        <v>28</v>
      </c>
      <c r="E89" t="s">
        <v>83</v>
      </c>
      <c r="F89" s="1">
        <v>44706</v>
      </c>
      <c r="G89" t="s">
        <v>62</v>
      </c>
      <c r="H89" s="2">
        <v>470</v>
      </c>
      <c r="I89" t="s">
        <v>76</v>
      </c>
    </row>
    <row r="90" spans="1:9" x14ac:dyDescent="0.25">
      <c r="A90">
        <v>89</v>
      </c>
      <c r="B90">
        <v>631</v>
      </c>
      <c r="C90" t="s">
        <v>77</v>
      </c>
      <c r="D90" t="s">
        <v>27</v>
      </c>
      <c r="E90" t="s">
        <v>61</v>
      </c>
      <c r="F90" s="1">
        <v>45139</v>
      </c>
      <c r="G90" t="s">
        <v>78</v>
      </c>
      <c r="H90" s="2">
        <v>14000</v>
      </c>
      <c r="I90" t="s">
        <v>80</v>
      </c>
    </row>
    <row r="91" spans="1:9" x14ac:dyDescent="0.25">
      <c r="A91">
        <v>90</v>
      </c>
      <c r="B91">
        <v>451</v>
      </c>
      <c r="C91" t="s">
        <v>85</v>
      </c>
      <c r="D91" t="s">
        <v>27</v>
      </c>
      <c r="E91" t="s">
        <v>61</v>
      </c>
      <c r="F91" s="1">
        <v>44624</v>
      </c>
      <c r="G91" t="s">
        <v>72</v>
      </c>
      <c r="H91" s="2">
        <v>470</v>
      </c>
      <c r="I91" t="s">
        <v>76</v>
      </c>
    </row>
    <row r="92" spans="1:9" x14ac:dyDescent="0.25">
      <c r="A92">
        <v>91</v>
      </c>
      <c r="B92">
        <v>956</v>
      </c>
      <c r="C92" t="s">
        <v>64</v>
      </c>
      <c r="D92" t="s">
        <v>30</v>
      </c>
      <c r="E92" t="s">
        <v>61</v>
      </c>
      <c r="F92" s="1">
        <v>45110</v>
      </c>
      <c r="G92" t="s">
        <v>72</v>
      </c>
      <c r="H92" s="2">
        <v>15000</v>
      </c>
      <c r="I92" t="s">
        <v>76</v>
      </c>
    </row>
    <row r="93" spans="1:9" x14ac:dyDescent="0.25">
      <c r="A93">
        <v>92</v>
      </c>
      <c r="B93">
        <v>113</v>
      </c>
      <c r="C93" t="s">
        <v>60</v>
      </c>
      <c r="D93" t="s">
        <v>27</v>
      </c>
      <c r="E93" t="s">
        <v>61</v>
      </c>
      <c r="F93" s="1">
        <v>45055</v>
      </c>
      <c r="G93" t="s">
        <v>62</v>
      </c>
      <c r="H93" s="2">
        <v>2200</v>
      </c>
      <c r="I93" t="s">
        <v>86</v>
      </c>
    </row>
    <row r="94" spans="1:9" x14ac:dyDescent="0.25">
      <c r="A94">
        <v>93</v>
      </c>
      <c r="B94">
        <v>248</v>
      </c>
      <c r="C94" t="s">
        <v>81</v>
      </c>
      <c r="D94" t="s">
        <v>30</v>
      </c>
      <c r="E94" t="s">
        <v>71</v>
      </c>
      <c r="F94" s="1">
        <v>45161</v>
      </c>
      <c r="G94" t="s">
        <v>72</v>
      </c>
      <c r="H94" s="2">
        <v>300</v>
      </c>
      <c r="I94" t="s">
        <v>75</v>
      </c>
    </row>
    <row r="95" spans="1:9" x14ac:dyDescent="0.25">
      <c r="A95">
        <v>94</v>
      </c>
      <c r="B95">
        <v>792</v>
      </c>
      <c r="C95" t="s">
        <v>67</v>
      </c>
      <c r="D95" t="s">
        <v>29</v>
      </c>
      <c r="E95" t="s">
        <v>71</v>
      </c>
      <c r="F95" s="1">
        <v>45048</v>
      </c>
      <c r="G95" t="s">
        <v>78</v>
      </c>
      <c r="H95" s="2">
        <v>320000</v>
      </c>
      <c r="I95" t="s">
        <v>63</v>
      </c>
    </row>
    <row r="96" spans="1:9" x14ac:dyDescent="0.25">
      <c r="A96">
        <v>95</v>
      </c>
      <c r="B96">
        <v>883</v>
      </c>
      <c r="C96" t="s">
        <v>82</v>
      </c>
      <c r="D96" t="s">
        <v>29</v>
      </c>
      <c r="E96" t="s">
        <v>61</v>
      </c>
      <c r="F96" s="1">
        <v>44958</v>
      </c>
      <c r="G96" t="s">
        <v>88</v>
      </c>
      <c r="H96" s="2">
        <v>140000</v>
      </c>
      <c r="I96" t="s">
        <v>76</v>
      </c>
    </row>
    <row r="97" spans="1:9" x14ac:dyDescent="0.25">
      <c r="A97">
        <v>96</v>
      </c>
      <c r="B97">
        <v>113</v>
      </c>
      <c r="C97" t="s">
        <v>60</v>
      </c>
      <c r="D97" t="s">
        <v>30</v>
      </c>
      <c r="E97" t="s">
        <v>71</v>
      </c>
      <c r="F97" s="1">
        <v>45079</v>
      </c>
      <c r="G97" t="s">
        <v>62</v>
      </c>
      <c r="H97" s="2">
        <v>1800</v>
      </c>
      <c r="I97" t="s">
        <v>73</v>
      </c>
    </row>
    <row r="98" spans="1:9" x14ac:dyDescent="0.25">
      <c r="A98">
        <v>97</v>
      </c>
      <c r="B98">
        <v>631</v>
      </c>
      <c r="C98" t="s">
        <v>77</v>
      </c>
      <c r="D98" t="s">
        <v>28</v>
      </c>
      <c r="E98" t="s">
        <v>61</v>
      </c>
      <c r="F98" s="1">
        <v>44626</v>
      </c>
      <c r="G98" t="s">
        <v>84</v>
      </c>
      <c r="H98" s="2">
        <v>14000</v>
      </c>
      <c r="I98" t="s">
        <v>74</v>
      </c>
    </row>
    <row r="99" spans="1:9" x14ac:dyDescent="0.25">
      <c r="A99">
        <v>98</v>
      </c>
      <c r="B99">
        <v>883</v>
      </c>
      <c r="C99" t="s">
        <v>82</v>
      </c>
      <c r="D99" t="s">
        <v>29</v>
      </c>
      <c r="E99" t="s">
        <v>83</v>
      </c>
      <c r="F99" s="1">
        <v>45029</v>
      </c>
      <c r="G99" t="s">
        <v>88</v>
      </c>
      <c r="H99" s="2">
        <v>140000</v>
      </c>
      <c r="I99" t="s">
        <v>76</v>
      </c>
    </row>
    <row r="100" spans="1:9" x14ac:dyDescent="0.25">
      <c r="A100">
        <v>99</v>
      </c>
      <c r="B100">
        <v>451</v>
      </c>
      <c r="C100" t="s">
        <v>85</v>
      </c>
      <c r="D100" t="s">
        <v>27</v>
      </c>
      <c r="E100" t="s">
        <v>83</v>
      </c>
      <c r="F100" s="1">
        <v>45022</v>
      </c>
      <c r="G100" t="s">
        <v>84</v>
      </c>
      <c r="H100" s="2">
        <v>470</v>
      </c>
      <c r="I100" t="s">
        <v>66</v>
      </c>
    </row>
    <row r="101" spans="1:9" x14ac:dyDescent="0.25">
      <c r="A101">
        <v>100</v>
      </c>
      <c r="B101">
        <v>792</v>
      </c>
      <c r="C101" t="s">
        <v>67</v>
      </c>
      <c r="D101" t="s">
        <v>30</v>
      </c>
      <c r="E101" t="s">
        <v>83</v>
      </c>
      <c r="F101" s="1">
        <v>44583</v>
      </c>
      <c r="G101" t="s">
        <v>84</v>
      </c>
      <c r="H101" s="2">
        <v>275000</v>
      </c>
      <c r="I101" t="s">
        <v>79</v>
      </c>
    </row>
    <row r="102" spans="1:9" x14ac:dyDescent="0.25">
      <c r="A102">
        <v>101</v>
      </c>
      <c r="B102">
        <v>348</v>
      </c>
      <c r="C102" t="s">
        <v>70</v>
      </c>
      <c r="D102" t="s">
        <v>30</v>
      </c>
      <c r="E102" t="s">
        <v>83</v>
      </c>
      <c r="F102" s="1">
        <v>44625</v>
      </c>
      <c r="G102" t="s">
        <v>84</v>
      </c>
      <c r="H102" s="2">
        <v>150</v>
      </c>
      <c r="I102" t="s">
        <v>73</v>
      </c>
    </row>
    <row r="103" spans="1:9" x14ac:dyDescent="0.25">
      <c r="A103">
        <v>102</v>
      </c>
      <c r="B103">
        <v>956</v>
      </c>
      <c r="C103" t="s">
        <v>64</v>
      </c>
      <c r="D103" t="s">
        <v>28</v>
      </c>
      <c r="E103" t="s">
        <v>71</v>
      </c>
      <c r="F103" s="1">
        <v>44633</v>
      </c>
      <c r="G103" t="s">
        <v>84</v>
      </c>
      <c r="H103" s="2">
        <v>10000</v>
      </c>
      <c r="I103" t="s">
        <v>75</v>
      </c>
    </row>
    <row r="104" spans="1:9" x14ac:dyDescent="0.25">
      <c r="A104">
        <v>103</v>
      </c>
      <c r="B104">
        <v>792</v>
      </c>
      <c r="C104" t="s">
        <v>67</v>
      </c>
      <c r="D104" t="s">
        <v>27</v>
      </c>
      <c r="E104" t="s">
        <v>71</v>
      </c>
      <c r="F104" s="1">
        <v>45190</v>
      </c>
      <c r="G104" t="s">
        <v>72</v>
      </c>
      <c r="H104" s="2">
        <v>275000</v>
      </c>
      <c r="I104" t="s">
        <v>79</v>
      </c>
    </row>
    <row r="105" spans="1:9" x14ac:dyDescent="0.25">
      <c r="A105">
        <v>104</v>
      </c>
      <c r="B105">
        <v>113</v>
      </c>
      <c r="C105" t="s">
        <v>60</v>
      </c>
      <c r="D105" t="s">
        <v>28</v>
      </c>
      <c r="E105" t="s">
        <v>61</v>
      </c>
      <c r="F105" s="1">
        <v>45080</v>
      </c>
      <c r="G105" t="s">
        <v>68</v>
      </c>
      <c r="H105" s="2">
        <v>1800</v>
      </c>
      <c r="I105" t="s">
        <v>66</v>
      </c>
    </row>
    <row r="106" spans="1:9" x14ac:dyDescent="0.25">
      <c r="A106">
        <v>105</v>
      </c>
      <c r="B106">
        <v>792</v>
      </c>
      <c r="C106" t="s">
        <v>67</v>
      </c>
      <c r="D106" t="s">
        <v>29</v>
      </c>
      <c r="E106" t="s">
        <v>61</v>
      </c>
      <c r="F106" s="1">
        <v>44755</v>
      </c>
      <c r="G106" t="s">
        <v>62</v>
      </c>
      <c r="H106" s="2">
        <v>275000</v>
      </c>
      <c r="I106" t="s">
        <v>76</v>
      </c>
    </row>
    <row r="107" spans="1:9" x14ac:dyDescent="0.25">
      <c r="A107">
        <v>106</v>
      </c>
      <c r="B107">
        <v>631</v>
      </c>
      <c r="C107" t="s">
        <v>77</v>
      </c>
      <c r="D107" t="s">
        <v>27</v>
      </c>
      <c r="E107" t="s">
        <v>71</v>
      </c>
      <c r="F107" s="1">
        <v>44802</v>
      </c>
      <c r="G107" t="s">
        <v>62</v>
      </c>
      <c r="H107" s="2">
        <v>13000</v>
      </c>
      <c r="I107" t="s">
        <v>75</v>
      </c>
    </row>
    <row r="108" spans="1:9" x14ac:dyDescent="0.25">
      <c r="A108">
        <v>107</v>
      </c>
      <c r="B108">
        <v>451</v>
      </c>
      <c r="C108" t="s">
        <v>85</v>
      </c>
      <c r="D108" t="s">
        <v>30</v>
      </c>
      <c r="E108" t="s">
        <v>71</v>
      </c>
      <c r="F108" s="1">
        <v>44741</v>
      </c>
      <c r="G108" t="s">
        <v>87</v>
      </c>
      <c r="H108" s="2">
        <v>470</v>
      </c>
      <c r="I108" t="s">
        <v>79</v>
      </c>
    </row>
    <row r="109" spans="1:9" x14ac:dyDescent="0.25">
      <c r="A109">
        <v>108</v>
      </c>
      <c r="B109">
        <v>248</v>
      </c>
      <c r="C109" t="s">
        <v>81</v>
      </c>
      <c r="D109" t="s">
        <v>28</v>
      </c>
      <c r="E109" t="s">
        <v>61</v>
      </c>
      <c r="F109" s="1">
        <v>44715</v>
      </c>
      <c r="G109" t="s">
        <v>72</v>
      </c>
      <c r="H109" s="2">
        <v>145</v>
      </c>
      <c r="I109" t="s">
        <v>63</v>
      </c>
    </row>
    <row r="110" spans="1:9" x14ac:dyDescent="0.25">
      <c r="A110">
        <v>109</v>
      </c>
      <c r="B110">
        <v>348</v>
      </c>
      <c r="C110" t="s">
        <v>70</v>
      </c>
      <c r="D110" t="s">
        <v>28</v>
      </c>
      <c r="E110" t="s">
        <v>71</v>
      </c>
      <c r="F110" s="1">
        <v>45102</v>
      </c>
      <c r="G110" t="s">
        <v>68</v>
      </c>
      <c r="H110" s="2">
        <v>120</v>
      </c>
      <c r="I110" t="s">
        <v>76</v>
      </c>
    </row>
    <row r="111" spans="1:9" x14ac:dyDescent="0.25">
      <c r="A111">
        <v>110</v>
      </c>
      <c r="B111">
        <v>792</v>
      </c>
      <c r="C111" t="s">
        <v>67</v>
      </c>
      <c r="D111" t="s">
        <v>27</v>
      </c>
      <c r="E111" t="s">
        <v>83</v>
      </c>
      <c r="F111" s="1">
        <v>44989</v>
      </c>
      <c r="G111" t="s">
        <v>78</v>
      </c>
      <c r="H111" s="2">
        <v>275000</v>
      </c>
      <c r="I111" t="s">
        <v>69</v>
      </c>
    </row>
    <row r="112" spans="1:9" x14ac:dyDescent="0.25">
      <c r="A112">
        <v>111</v>
      </c>
      <c r="B112">
        <v>883</v>
      </c>
      <c r="C112" t="s">
        <v>82</v>
      </c>
      <c r="D112" t="s">
        <v>28</v>
      </c>
      <c r="E112" t="s">
        <v>61</v>
      </c>
      <c r="F112" s="1">
        <v>44665</v>
      </c>
      <c r="G112" t="s">
        <v>78</v>
      </c>
      <c r="H112" s="2">
        <v>140000</v>
      </c>
      <c r="I112" t="s">
        <v>69</v>
      </c>
    </row>
    <row r="113" spans="1:9" x14ac:dyDescent="0.25">
      <c r="A113">
        <v>112</v>
      </c>
      <c r="B113">
        <v>883</v>
      </c>
      <c r="C113" t="s">
        <v>82</v>
      </c>
      <c r="D113" t="s">
        <v>29</v>
      </c>
      <c r="E113" t="s">
        <v>61</v>
      </c>
      <c r="F113" s="1">
        <v>45165</v>
      </c>
      <c r="G113" t="s">
        <v>87</v>
      </c>
      <c r="H113" s="2">
        <v>135000</v>
      </c>
      <c r="I113" t="s">
        <v>79</v>
      </c>
    </row>
    <row r="114" spans="1:9" x14ac:dyDescent="0.25">
      <c r="A114">
        <v>113</v>
      </c>
      <c r="B114">
        <v>631</v>
      </c>
      <c r="C114" t="s">
        <v>77</v>
      </c>
      <c r="D114" t="s">
        <v>30</v>
      </c>
      <c r="E114" t="s">
        <v>61</v>
      </c>
      <c r="F114" s="1">
        <v>44982</v>
      </c>
      <c r="G114" t="s">
        <v>72</v>
      </c>
      <c r="H114" s="2">
        <v>14000</v>
      </c>
      <c r="I114" t="s">
        <v>79</v>
      </c>
    </row>
    <row r="115" spans="1:9" x14ac:dyDescent="0.25">
      <c r="A115">
        <v>114</v>
      </c>
      <c r="B115">
        <v>883</v>
      </c>
      <c r="C115" t="s">
        <v>82</v>
      </c>
      <c r="D115" t="s">
        <v>27</v>
      </c>
      <c r="E115" t="s">
        <v>83</v>
      </c>
      <c r="F115" s="1">
        <v>44758</v>
      </c>
      <c r="G115" t="s">
        <v>68</v>
      </c>
      <c r="H115" s="2">
        <v>140000</v>
      </c>
      <c r="I115" t="s">
        <v>74</v>
      </c>
    </row>
    <row r="116" spans="1:9" x14ac:dyDescent="0.25">
      <c r="A116">
        <v>115</v>
      </c>
      <c r="B116">
        <v>972</v>
      </c>
      <c r="C116" t="s">
        <v>89</v>
      </c>
      <c r="D116" t="s">
        <v>28</v>
      </c>
      <c r="E116" t="s">
        <v>83</v>
      </c>
      <c r="F116" s="1">
        <v>44658</v>
      </c>
      <c r="G116" t="s">
        <v>65</v>
      </c>
      <c r="H116" s="2">
        <v>125000</v>
      </c>
      <c r="I116" t="s">
        <v>63</v>
      </c>
    </row>
    <row r="117" spans="1:9" x14ac:dyDescent="0.25">
      <c r="A117">
        <v>116</v>
      </c>
      <c r="B117">
        <v>348</v>
      </c>
      <c r="C117" t="s">
        <v>70</v>
      </c>
      <c r="D117" t="s">
        <v>28</v>
      </c>
      <c r="E117" t="s">
        <v>71</v>
      </c>
      <c r="F117" s="1">
        <v>44771</v>
      </c>
      <c r="G117" t="s">
        <v>62</v>
      </c>
      <c r="H117" s="2">
        <v>110</v>
      </c>
      <c r="I117" t="s">
        <v>75</v>
      </c>
    </row>
    <row r="118" spans="1:9" x14ac:dyDescent="0.25">
      <c r="A118">
        <v>117</v>
      </c>
      <c r="B118">
        <v>792</v>
      </c>
      <c r="C118" t="s">
        <v>67</v>
      </c>
      <c r="D118" t="s">
        <v>27</v>
      </c>
      <c r="E118" t="s">
        <v>71</v>
      </c>
      <c r="F118" s="1">
        <v>44649</v>
      </c>
      <c r="G118" t="s">
        <v>62</v>
      </c>
      <c r="H118" s="2">
        <v>350000</v>
      </c>
      <c r="I118" t="s">
        <v>73</v>
      </c>
    </row>
    <row r="119" spans="1:9" x14ac:dyDescent="0.25">
      <c r="A119">
        <v>118</v>
      </c>
      <c r="B119">
        <v>972</v>
      </c>
      <c r="C119" t="s">
        <v>89</v>
      </c>
      <c r="D119" t="s">
        <v>29</v>
      </c>
      <c r="E119" t="s">
        <v>83</v>
      </c>
      <c r="F119" s="1">
        <v>44907</v>
      </c>
      <c r="G119" t="s">
        <v>88</v>
      </c>
      <c r="H119" s="2">
        <v>125000</v>
      </c>
      <c r="I119" t="s">
        <v>66</v>
      </c>
    </row>
    <row r="120" spans="1:9" x14ac:dyDescent="0.25">
      <c r="A120">
        <v>119</v>
      </c>
      <c r="B120">
        <v>883</v>
      </c>
      <c r="C120" t="s">
        <v>82</v>
      </c>
      <c r="D120" t="s">
        <v>30</v>
      </c>
      <c r="E120" t="s">
        <v>61</v>
      </c>
      <c r="F120" s="1">
        <v>44952</v>
      </c>
      <c r="G120" t="s">
        <v>62</v>
      </c>
      <c r="H120" s="2">
        <v>135000</v>
      </c>
      <c r="I120" t="s">
        <v>79</v>
      </c>
    </row>
    <row r="121" spans="1:9" x14ac:dyDescent="0.25">
      <c r="A121">
        <v>120</v>
      </c>
      <c r="B121">
        <v>883</v>
      </c>
      <c r="C121" t="s">
        <v>82</v>
      </c>
      <c r="D121" t="s">
        <v>28</v>
      </c>
      <c r="E121" t="s">
        <v>61</v>
      </c>
      <c r="F121" s="1">
        <v>45050</v>
      </c>
      <c r="G121" t="s">
        <v>84</v>
      </c>
      <c r="H121" s="2">
        <v>140000</v>
      </c>
      <c r="I121" t="s">
        <v>73</v>
      </c>
    </row>
    <row r="122" spans="1:9" x14ac:dyDescent="0.25">
      <c r="A122">
        <v>121</v>
      </c>
      <c r="B122">
        <v>451</v>
      </c>
      <c r="C122" t="s">
        <v>85</v>
      </c>
      <c r="D122" t="s">
        <v>28</v>
      </c>
      <c r="E122" t="s">
        <v>61</v>
      </c>
      <c r="F122" s="1">
        <v>45191</v>
      </c>
      <c r="G122" t="s">
        <v>87</v>
      </c>
      <c r="H122" s="2">
        <v>470</v>
      </c>
      <c r="I122" t="s">
        <v>75</v>
      </c>
    </row>
    <row r="123" spans="1:9" x14ac:dyDescent="0.25">
      <c r="A123">
        <v>122</v>
      </c>
      <c r="B123">
        <v>972</v>
      </c>
      <c r="C123" t="s">
        <v>89</v>
      </c>
      <c r="D123" t="s">
        <v>27</v>
      </c>
      <c r="E123" t="s">
        <v>71</v>
      </c>
      <c r="F123" s="1">
        <v>44792</v>
      </c>
      <c r="G123" t="s">
        <v>68</v>
      </c>
      <c r="H123" s="2">
        <v>125000</v>
      </c>
      <c r="I123" t="s">
        <v>63</v>
      </c>
    </row>
    <row r="124" spans="1:9" x14ac:dyDescent="0.25">
      <c r="A124">
        <v>123</v>
      </c>
      <c r="B124">
        <v>631</v>
      </c>
      <c r="C124" t="s">
        <v>77</v>
      </c>
      <c r="D124" t="s">
        <v>29</v>
      </c>
      <c r="E124" t="s">
        <v>61</v>
      </c>
      <c r="F124" s="1">
        <v>45085</v>
      </c>
      <c r="G124" t="s">
        <v>87</v>
      </c>
      <c r="H124" s="2">
        <v>14000</v>
      </c>
      <c r="I124" t="s">
        <v>66</v>
      </c>
    </row>
    <row r="125" spans="1:9" x14ac:dyDescent="0.25">
      <c r="A125">
        <v>124</v>
      </c>
      <c r="B125">
        <v>631</v>
      </c>
      <c r="C125" t="s">
        <v>77</v>
      </c>
      <c r="D125" t="s">
        <v>29</v>
      </c>
      <c r="E125" t="s">
        <v>83</v>
      </c>
      <c r="F125" s="1">
        <v>44707</v>
      </c>
      <c r="G125" t="s">
        <v>62</v>
      </c>
      <c r="H125" s="2">
        <v>13000</v>
      </c>
      <c r="I125" t="s">
        <v>75</v>
      </c>
    </row>
    <row r="126" spans="1:9" x14ac:dyDescent="0.25">
      <c r="A126">
        <v>125</v>
      </c>
      <c r="B126">
        <v>348</v>
      </c>
      <c r="C126" t="s">
        <v>70</v>
      </c>
      <c r="D126" t="s">
        <v>29</v>
      </c>
      <c r="E126" t="s">
        <v>61</v>
      </c>
      <c r="F126" s="1">
        <v>45042</v>
      </c>
      <c r="G126" t="s">
        <v>84</v>
      </c>
      <c r="H126" s="2">
        <v>150</v>
      </c>
      <c r="I126" t="s">
        <v>79</v>
      </c>
    </row>
    <row r="127" spans="1:9" x14ac:dyDescent="0.25">
      <c r="A127">
        <v>126</v>
      </c>
      <c r="B127">
        <v>113</v>
      </c>
      <c r="C127" t="s">
        <v>60</v>
      </c>
      <c r="D127" t="s">
        <v>30</v>
      </c>
      <c r="E127" t="s">
        <v>61</v>
      </c>
      <c r="F127" s="1">
        <v>44690</v>
      </c>
      <c r="G127" t="s">
        <v>87</v>
      </c>
      <c r="H127" s="2">
        <v>1800</v>
      </c>
      <c r="I127" t="s">
        <v>80</v>
      </c>
    </row>
    <row r="128" spans="1:9" x14ac:dyDescent="0.25">
      <c r="A128">
        <v>127</v>
      </c>
      <c r="B128">
        <v>956</v>
      </c>
      <c r="C128" t="s">
        <v>64</v>
      </c>
      <c r="D128" t="s">
        <v>29</v>
      </c>
      <c r="E128" t="s">
        <v>61</v>
      </c>
      <c r="F128" s="1">
        <v>45170</v>
      </c>
      <c r="G128" t="s">
        <v>87</v>
      </c>
      <c r="H128" s="2">
        <v>12000</v>
      </c>
      <c r="I128" t="s">
        <v>79</v>
      </c>
    </row>
    <row r="129" spans="1:9" x14ac:dyDescent="0.25">
      <c r="A129">
        <v>128</v>
      </c>
      <c r="B129">
        <v>972</v>
      </c>
      <c r="C129" t="s">
        <v>89</v>
      </c>
      <c r="D129" t="s">
        <v>29</v>
      </c>
      <c r="E129" t="s">
        <v>71</v>
      </c>
      <c r="F129" s="1">
        <v>45170</v>
      </c>
      <c r="G129" t="s">
        <v>88</v>
      </c>
      <c r="H129" s="2">
        <v>125000</v>
      </c>
      <c r="I129" t="s">
        <v>86</v>
      </c>
    </row>
    <row r="130" spans="1:9" x14ac:dyDescent="0.25">
      <c r="A130">
        <v>129</v>
      </c>
      <c r="B130">
        <v>972</v>
      </c>
      <c r="C130" t="s">
        <v>89</v>
      </c>
      <c r="D130" t="s">
        <v>29</v>
      </c>
      <c r="E130" t="s">
        <v>83</v>
      </c>
      <c r="F130" s="1">
        <v>45071</v>
      </c>
      <c r="G130" t="s">
        <v>84</v>
      </c>
      <c r="H130" s="2">
        <v>90000</v>
      </c>
      <c r="I130" t="s">
        <v>76</v>
      </c>
    </row>
    <row r="131" spans="1:9" x14ac:dyDescent="0.25">
      <c r="A131">
        <v>130</v>
      </c>
      <c r="B131">
        <v>883</v>
      </c>
      <c r="C131" t="s">
        <v>82</v>
      </c>
      <c r="D131" t="s">
        <v>29</v>
      </c>
      <c r="E131" t="s">
        <v>71</v>
      </c>
      <c r="F131" s="1">
        <v>44625</v>
      </c>
      <c r="G131" t="s">
        <v>87</v>
      </c>
      <c r="H131" s="2">
        <v>140000</v>
      </c>
      <c r="I131" t="s">
        <v>76</v>
      </c>
    </row>
    <row r="132" spans="1:9" x14ac:dyDescent="0.25">
      <c r="A132">
        <v>131</v>
      </c>
      <c r="B132">
        <v>631</v>
      </c>
      <c r="C132" t="s">
        <v>77</v>
      </c>
      <c r="D132" t="s">
        <v>27</v>
      </c>
      <c r="E132" t="s">
        <v>71</v>
      </c>
      <c r="F132" s="1">
        <v>45232</v>
      </c>
      <c r="G132" t="s">
        <v>65</v>
      </c>
      <c r="H132" s="2">
        <v>14000</v>
      </c>
      <c r="I132" t="s">
        <v>74</v>
      </c>
    </row>
    <row r="133" spans="1:9" x14ac:dyDescent="0.25">
      <c r="A133">
        <v>132</v>
      </c>
      <c r="B133">
        <v>792</v>
      </c>
      <c r="C133" t="s">
        <v>67</v>
      </c>
      <c r="D133" t="s">
        <v>29</v>
      </c>
      <c r="E133" t="s">
        <v>61</v>
      </c>
      <c r="F133" s="1">
        <v>44665</v>
      </c>
      <c r="G133" t="s">
        <v>62</v>
      </c>
      <c r="H133" s="2">
        <v>350000</v>
      </c>
      <c r="I133" t="s">
        <v>73</v>
      </c>
    </row>
    <row r="134" spans="1:9" x14ac:dyDescent="0.25">
      <c r="A134">
        <v>133</v>
      </c>
      <c r="B134">
        <v>631</v>
      </c>
      <c r="C134" t="s">
        <v>77</v>
      </c>
      <c r="D134" t="s">
        <v>27</v>
      </c>
      <c r="E134" t="s">
        <v>83</v>
      </c>
      <c r="F134" s="1">
        <v>44911</v>
      </c>
      <c r="G134" t="s">
        <v>78</v>
      </c>
      <c r="H134" s="2">
        <v>14000</v>
      </c>
      <c r="I134" t="s">
        <v>79</v>
      </c>
    </row>
    <row r="135" spans="1:9" x14ac:dyDescent="0.25">
      <c r="A135">
        <v>134</v>
      </c>
      <c r="B135">
        <v>348</v>
      </c>
      <c r="C135" t="s">
        <v>70</v>
      </c>
      <c r="D135" t="s">
        <v>28</v>
      </c>
      <c r="E135" t="s">
        <v>71</v>
      </c>
      <c r="F135" s="1">
        <v>45042</v>
      </c>
      <c r="G135" t="s">
        <v>68</v>
      </c>
      <c r="H135" s="2">
        <v>150</v>
      </c>
      <c r="I135" t="s">
        <v>63</v>
      </c>
    </row>
    <row r="136" spans="1:9" x14ac:dyDescent="0.25">
      <c r="A136">
        <v>135</v>
      </c>
      <c r="B136">
        <v>248</v>
      </c>
      <c r="C136" t="s">
        <v>81</v>
      </c>
      <c r="D136" t="s">
        <v>29</v>
      </c>
      <c r="E136" t="s">
        <v>61</v>
      </c>
      <c r="F136" s="1">
        <v>45161</v>
      </c>
      <c r="G136" t="s">
        <v>78</v>
      </c>
      <c r="H136" s="2">
        <v>170</v>
      </c>
      <c r="I136" t="s">
        <v>76</v>
      </c>
    </row>
    <row r="137" spans="1:9" x14ac:dyDescent="0.25">
      <c r="A137">
        <v>136</v>
      </c>
      <c r="B137">
        <v>248</v>
      </c>
      <c r="C137" t="s">
        <v>81</v>
      </c>
      <c r="D137" t="s">
        <v>29</v>
      </c>
      <c r="E137" t="s">
        <v>61</v>
      </c>
      <c r="F137" s="1">
        <v>44862</v>
      </c>
      <c r="G137" t="s">
        <v>84</v>
      </c>
      <c r="H137" s="2">
        <v>145</v>
      </c>
      <c r="I137" t="s">
        <v>86</v>
      </c>
    </row>
    <row r="138" spans="1:9" x14ac:dyDescent="0.25">
      <c r="A138">
        <v>137</v>
      </c>
      <c r="B138">
        <v>348</v>
      </c>
      <c r="C138" t="s">
        <v>70</v>
      </c>
      <c r="D138" t="s">
        <v>27</v>
      </c>
      <c r="E138" t="s">
        <v>83</v>
      </c>
      <c r="F138" s="1">
        <v>44641</v>
      </c>
      <c r="G138" t="s">
        <v>88</v>
      </c>
      <c r="H138" s="2">
        <v>120</v>
      </c>
      <c r="I138" t="s">
        <v>76</v>
      </c>
    </row>
    <row r="139" spans="1:9" x14ac:dyDescent="0.25">
      <c r="A139">
        <v>138</v>
      </c>
      <c r="B139">
        <v>348</v>
      </c>
      <c r="C139" t="s">
        <v>70</v>
      </c>
      <c r="D139" t="s">
        <v>29</v>
      </c>
      <c r="E139" t="s">
        <v>61</v>
      </c>
      <c r="F139" s="1">
        <v>45255</v>
      </c>
      <c r="G139" t="s">
        <v>78</v>
      </c>
      <c r="H139" s="2">
        <v>150</v>
      </c>
      <c r="I139" t="s">
        <v>74</v>
      </c>
    </row>
    <row r="140" spans="1:9" x14ac:dyDescent="0.25">
      <c r="A140">
        <v>139</v>
      </c>
      <c r="B140">
        <v>348</v>
      </c>
      <c r="C140" t="s">
        <v>70</v>
      </c>
      <c r="D140" t="s">
        <v>30</v>
      </c>
      <c r="E140" t="s">
        <v>61</v>
      </c>
      <c r="F140" s="1">
        <v>45109</v>
      </c>
      <c r="G140" t="s">
        <v>72</v>
      </c>
      <c r="H140" s="2">
        <v>110</v>
      </c>
      <c r="I140" t="s">
        <v>75</v>
      </c>
    </row>
    <row r="141" spans="1:9" x14ac:dyDescent="0.25">
      <c r="A141">
        <v>140</v>
      </c>
      <c r="B141">
        <v>972</v>
      </c>
      <c r="C141" t="s">
        <v>89</v>
      </c>
      <c r="D141" t="s">
        <v>28</v>
      </c>
      <c r="E141" t="s">
        <v>71</v>
      </c>
      <c r="F141" s="1">
        <v>44973</v>
      </c>
      <c r="G141" t="s">
        <v>84</v>
      </c>
      <c r="H141" s="2">
        <v>125000</v>
      </c>
      <c r="I141" t="s">
        <v>66</v>
      </c>
    </row>
    <row r="142" spans="1:9" x14ac:dyDescent="0.25">
      <c r="A142">
        <v>141</v>
      </c>
      <c r="B142">
        <v>956</v>
      </c>
      <c r="C142" t="s">
        <v>64</v>
      </c>
      <c r="D142" t="s">
        <v>30</v>
      </c>
      <c r="E142" t="s">
        <v>83</v>
      </c>
      <c r="F142" s="1">
        <v>44693</v>
      </c>
      <c r="G142" t="s">
        <v>62</v>
      </c>
      <c r="H142" s="2">
        <v>12000</v>
      </c>
      <c r="I142" t="s">
        <v>63</v>
      </c>
    </row>
    <row r="143" spans="1:9" x14ac:dyDescent="0.25">
      <c r="A143">
        <v>142</v>
      </c>
      <c r="B143">
        <v>883</v>
      </c>
      <c r="C143" t="s">
        <v>82</v>
      </c>
      <c r="D143" t="s">
        <v>29</v>
      </c>
      <c r="E143" t="s">
        <v>71</v>
      </c>
      <c r="F143" s="1">
        <v>45003</v>
      </c>
      <c r="G143" t="s">
        <v>78</v>
      </c>
      <c r="H143" s="2">
        <v>140000</v>
      </c>
      <c r="I143" t="s">
        <v>73</v>
      </c>
    </row>
    <row r="144" spans="1:9" x14ac:dyDescent="0.25">
      <c r="A144">
        <v>143</v>
      </c>
      <c r="B144">
        <v>451</v>
      </c>
      <c r="C144" t="s">
        <v>85</v>
      </c>
      <c r="D144" t="s">
        <v>30</v>
      </c>
      <c r="E144" t="s">
        <v>61</v>
      </c>
      <c r="F144" s="1">
        <v>44958</v>
      </c>
      <c r="G144" t="s">
        <v>88</v>
      </c>
      <c r="H144" s="2">
        <v>470</v>
      </c>
      <c r="I144" t="s">
        <v>76</v>
      </c>
    </row>
    <row r="145" spans="1:9" x14ac:dyDescent="0.25">
      <c r="A145">
        <v>144</v>
      </c>
      <c r="B145">
        <v>956</v>
      </c>
      <c r="C145" t="s">
        <v>64</v>
      </c>
      <c r="D145" t="s">
        <v>30</v>
      </c>
      <c r="E145" t="s">
        <v>61</v>
      </c>
      <c r="F145" s="1">
        <v>44966</v>
      </c>
      <c r="G145" t="s">
        <v>84</v>
      </c>
      <c r="H145" s="2">
        <v>12000</v>
      </c>
      <c r="I145" t="s">
        <v>80</v>
      </c>
    </row>
    <row r="146" spans="1:9" x14ac:dyDescent="0.25">
      <c r="A146">
        <v>145</v>
      </c>
      <c r="B146">
        <v>956</v>
      </c>
      <c r="C146" t="s">
        <v>64</v>
      </c>
      <c r="D146" t="s">
        <v>30</v>
      </c>
      <c r="E146" t="s">
        <v>61</v>
      </c>
      <c r="F146" s="1">
        <v>44977</v>
      </c>
      <c r="G146" t="s">
        <v>84</v>
      </c>
      <c r="H146" s="2">
        <v>12000</v>
      </c>
      <c r="I146" t="s">
        <v>74</v>
      </c>
    </row>
    <row r="147" spans="1:9" x14ac:dyDescent="0.25">
      <c r="A147">
        <v>146</v>
      </c>
      <c r="B147">
        <v>883</v>
      </c>
      <c r="C147" t="s">
        <v>82</v>
      </c>
      <c r="D147" t="s">
        <v>27</v>
      </c>
      <c r="E147" t="s">
        <v>83</v>
      </c>
      <c r="F147" s="1">
        <v>45123</v>
      </c>
      <c r="G147" t="s">
        <v>84</v>
      </c>
      <c r="H147" s="2">
        <v>140000</v>
      </c>
      <c r="I147" t="s">
        <v>63</v>
      </c>
    </row>
    <row r="148" spans="1:9" x14ac:dyDescent="0.25">
      <c r="A148">
        <v>147</v>
      </c>
      <c r="B148">
        <v>451</v>
      </c>
      <c r="C148" t="s">
        <v>85</v>
      </c>
      <c r="D148" t="s">
        <v>29</v>
      </c>
      <c r="E148" t="s">
        <v>83</v>
      </c>
      <c r="F148" s="1">
        <v>45226</v>
      </c>
      <c r="G148" t="s">
        <v>62</v>
      </c>
      <c r="H148" s="2">
        <v>470</v>
      </c>
      <c r="I148" t="s">
        <v>80</v>
      </c>
    </row>
    <row r="149" spans="1:9" x14ac:dyDescent="0.25">
      <c r="A149">
        <v>148</v>
      </c>
      <c r="B149">
        <v>956</v>
      </c>
      <c r="C149" t="s">
        <v>64</v>
      </c>
      <c r="D149" t="s">
        <v>29</v>
      </c>
      <c r="E149" t="s">
        <v>61</v>
      </c>
      <c r="F149" s="1">
        <v>44785</v>
      </c>
      <c r="G149" t="s">
        <v>88</v>
      </c>
      <c r="H149" s="2">
        <v>12000</v>
      </c>
      <c r="I149" t="s">
        <v>73</v>
      </c>
    </row>
    <row r="150" spans="1:9" x14ac:dyDescent="0.25">
      <c r="A150">
        <v>149</v>
      </c>
      <c r="B150">
        <v>113</v>
      </c>
      <c r="C150" t="s">
        <v>60</v>
      </c>
      <c r="D150" t="s">
        <v>29</v>
      </c>
      <c r="E150" t="s">
        <v>71</v>
      </c>
      <c r="F150" s="1">
        <v>45038</v>
      </c>
      <c r="G150" t="s">
        <v>84</v>
      </c>
      <c r="H150" s="2">
        <v>1800</v>
      </c>
      <c r="I150" t="s">
        <v>80</v>
      </c>
    </row>
    <row r="151" spans="1:9" x14ac:dyDescent="0.25">
      <c r="A151">
        <v>150</v>
      </c>
      <c r="B151">
        <v>113</v>
      </c>
      <c r="C151" t="s">
        <v>60</v>
      </c>
      <c r="D151" t="s">
        <v>30</v>
      </c>
      <c r="E151" t="s">
        <v>83</v>
      </c>
      <c r="F151" s="1">
        <v>44706</v>
      </c>
      <c r="G151" t="s">
        <v>65</v>
      </c>
      <c r="H151" s="2">
        <v>1800</v>
      </c>
      <c r="I151" t="s">
        <v>80</v>
      </c>
    </row>
    <row r="152" spans="1:9" x14ac:dyDescent="0.25">
      <c r="A152">
        <v>151</v>
      </c>
      <c r="B152">
        <v>883</v>
      </c>
      <c r="C152" t="s">
        <v>82</v>
      </c>
      <c r="D152" t="s">
        <v>27</v>
      </c>
      <c r="E152" t="s">
        <v>83</v>
      </c>
      <c r="F152" s="1">
        <v>45070</v>
      </c>
      <c r="G152" t="s">
        <v>68</v>
      </c>
      <c r="H152" s="2">
        <v>140000</v>
      </c>
      <c r="I152" t="s">
        <v>69</v>
      </c>
    </row>
    <row r="153" spans="1:9" x14ac:dyDescent="0.25">
      <c r="A153">
        <v>152</v>
      </c>
      <c r="B153">
        <v>972</v>
      </c>
      <c r="C153" t="s">
        <v>89</v>
      </c>
      <c r="D153" t="s">
        <v>27</v>
      </c>
      <c r="E153" t="s">
        <v>61</v>
      </c>
      <c r="F153" s="1">
        <v>44979</v>
      </c>
      <c r="G153" t="s">
        <v>72</v>
      </c>
      <c r="H153" s="2">
        <v>125000</v>
      </c>
      <c r="I153" t="s">
        <v>80</v>
      </c>
    </row>
    <row r="154" spans="1:9" x14ac:dyDescent="0.25">
      <c r="A154">
        <v>153</v>
      </c>
      <c r="B154">
        <v>248</v>
      </c>
      <c r="C154" t="s">
        <v>81</v>
      </c>
      <c r="D154" t="s">
        <v>27</v>
      </c>
      <c r="E154" t="s">
        <v>71</v>
      </c>
      <c r="F154" s="1">
        <v>44796</v>
      </c>
      <c r="G154" t="s">
        <v>84</v>
      </c>
      <c r="H154" s="2">
        <v>145</v>
      </c>
      <c r="I154" t="s">
        <v>74</v>
      </c>
    </row>
    <row r="155" spans="1:9" x14ac:dyDescent="0.25">
      <c r="A155">
        <v>154</v>
      </c>
      <c r="B155">
        <v>956</v>
      </c>
      <c r="C155" t="s">
        <v>64</v>
      </c>
      <c r="D155" t="s">
        <v>30</v>
      </c>
      <c r="E155" t="s">
        <v>61</v>
      </c>
      <c r="F155" s="1">
        <v>44940</v>
      </c>
      <c r="G155" t="s">
        <v>68</v>
      </c>
      <c r="H155" s="2">
        <v>15000</v>
      </c>
      <c r="I155" t="s">
        <v>76</v>
      </c>
    </row>
    <row r="156" spans="1:9" x14ac:dyDescent="0.25">
      <c r="A156">
        <v>155</v>
      </c>
      <c r="B156">
        <v>113</v>
      </c>
      <c r="C156" t="s">
        <v>60</v>
      </c>
      <c r="D156" t="s">
        <v>29</v>
      </c>
      <c r="E156" t="s">
        <v>83</v>
      </c>
      <c r="F156" s="1">
        <v>44952</v>
      </c>
      <c r="G156" t="s">
        <v>87</v>
      </c>
      <c r="H156" s="2">
        <v>1800</v>
      </c>
      <c r="I156" t="s">
        <v>63</v>
      </c>
    </row>
    <row r="157" spans="1:9" x14ac:dyDescent="0.25">
      <c r="A157">
        <v>156</v>
      </c>
      <c r="B157">
        <v>956</v>
      </c>
      <c r="C157" t="s">
        <v>64</v>
      </c>
      <c r="D157" t="s">
        <v>29</v>
      </c>
      <c r="E157" t="s">
        <v>83</v>
      </c>
      <c r="F157" s="1">
        <v>44958</v>
      </c>
      <c r="G157" t="s">
        <v>65</v>
      </c>
      <c r="H157" s="2">
        <v>12000</v>
      </c>
      <c r="I157" t="s">
        <v>63</v>
      </c>
    </row>
    <row r="158" spans="1:9" x14ac:dyDescent="0.25">
      <c r="A158">
        <v>157</v>
      </c>
      <c r="B158">
        <v>972</v>
      </c>
      <c r="C158" t="s">
        <v>89</v>
      </c>
      <c r="D158" t="s">
        <v>28</v>
      </c>
      <c r="E158" t="s">
        <v>61</v>
      </c>
      <c r="F158" s="1">
        <v>45067</v>
      </c>
      <c r="G158" t="s">
        <v>68</v>
      </c>
      <c r="H158" s="2">
        <v>125000</v>
      </c>
      <c r="I158" t="s">
        <v>69</v>
      </c>
    </row>
    <row r="159" spans="1:9" x14ac:dyDescent="0.25">
      <c r="A159">
        <v>158</v>
      </c>
      <c r="B159">
        <v>348</v>
      </c>
      <c r="C159" t="s">
        <v>70</v>
      </c>
      <c r="D159" t="s">
        <v>29</v>
      </c>
      <c r="E159" t="s">
        <v>83</v>
      </c>
      <c r="F159" s="1">
        <v>44784</v>
      </c>
      <c r="G159" t="s">
        <v>88</v>
      </c>
      <c r="H159" s="2">
        <v>150</v>
      </c>
      <c r="I159" t="s">
        <v>63</v>
      </c>
    </row>
    <row r="160" spans="1:9" x14ac:dyDescent="0.25">
      <c r="A160">
        <v>159</v>
      </c>
      <c r="B160">
        <v>113</v>
      </c>
      <c r="C160" t="s">
        <v>60</v>
      </c>
      <c r="D160" t="s">
        <v>27</v>
      </c>
      <c r="E160" t="s">
        <v>83</v>
      </c>
      <c r="F160" s="1">
        <v>44592</v>
      </c>
      <c r="G160" t="s">
        <v>65</v>
      </c>
      <c r="H160" s="2">
        <v>2850</v>
      </c>
      <c r="I160" t="s">
        <v>75</v>
      </c>
    </row>
    <row r="161" spans="1:9" x14ac:dyDescent="0.25">
      <c r="A161">
        <v>160</v>
      </c>
      <c r="B161">
        <v>956</v>
      </c>
      <c r="C161" t="s">
        <v>64</v>
      </c>
      <c r="D161" t="s">
        <v>28</v>
      </c>
      <c r="E161" t="s">
        <v>71</v>
      </c>
      <c r="F161" s="1">
        <v>44957</v>
      </c>
      <c r="G161" t="s">
        <v>88</v>
      </c>
      <c r="H161" s="2">
        <v>12000</v>
      </c>
      <c r="I161" t="s">
        <v>69</v>
      </c>
    </row>
    <row r="162" spans="1:9" x14ac:dyDescent="0.25">
      <c r="A162">
        <v>161</v>
      </c>
      <c r="B162">
        <v>972</v>
      </c>
      <c r="C162" t="s">
        <v>89</v>
      </c>
      <c r="D162" t="s">
        <v>28</v>
      </c>
      <c r="E162" t="s">
        <v>71</v>
      </c>
      <c r="F162" s="1">
        <v>44785</v>
      </c>
      <c r="G162" t="s">
        <v>62</v>
      </c>
      <c r="H162" s="2">
        <v>200000</v>
      </c>
      <c r="I162" t="s">
        <v>73</v>
      </c>
    </row>
    <row r="163" spans="1:9" x14ac:dyDescent="0.25">
      <c r="A163">
        <v>162</v>
      </c>
      <c r="B163">
        <v>972</v>
      </c>
      <c r="C163" t="s">
        <v>89</v>
      </c>
      <c r="D163" t="s">
        <v>28</v>
      </c>
      <c r="E163" t="s">
        <v>83</v>
      </c>
      <c r="F163" s="1">
        <v>45003</v>
      </c>
      <c r="G163" t="s">
        <v>68</v>
      </c>
      <c r="H163" s="2">
        <v>125000</v>
      </c>
      <c r="I163" t="s">
        <v>63</v>
      </c>
    </row>
    <row r="164" spans="1:9" x14ac:dyDescent="0.25">
      <c r="A164">
        <v>163</v>
      </c>
      <c r="B164">
        <v>956</v>
      </c>
      <c r="C164" t="s">
        <v>64</v>
      </c>
      <c r="D164" t="s">
        <v>29</v>
      </c>
      <c r="E164" t="s">
        <v>71</v>
      </c>
      <c r="F164" s="1">
        <v>44649</v>
      </c>
      <c r="G164" t="s">
        <v>68</v>
      </c>
      <c r="H164" s="2">
        <v>12000</v>
      </c>
      <c r="I164" t="s">
        <v>74</v>
      </c>
    </row>
    <row r="165" spans="1:9" x14ac:dyDescent="0.25">
      <c r="A165">
        <v>164</v>
      </c>
      <c r="B165">
        <v>631</v>
      </c>
      <c r="C165" t="s">
        <v>77</v>
      </c>
      <c r="D165" t="s">
        <v>27</v>
      </c>
      <c r="E165" t="s">
        <v>83</v>
      </c>
      <c r="F165" s="1">
        <v>44930</v>
      </c>
      <c r="G165" t="s">
        <v>78</v>
      </c>
      <c r="H165" s="2">
        <v>10000</v>
      </c>
      <c r="I165" t="s">
        <v>73</v>
      </c>
    </row>
    <row r="166" spans="1:9" x14ac:dyDescent="0.25">
      <c r="A166">
        <v>165</v>
      </c>
      <c r="B166">
        <v>348</v>
      </c>
      <c r="C166" t="s">
        <v>70</v>
      </c>
      <c r="D166" t="s">
        <v>28</v>
      </c>
      <c r="E166" t="s">
        <v>83</v>
      </c>
      <c r="F166" s="1">
        <v>44958</v>
      </c>
      <c r="G166" t="s">
        <v>87</v>
      </c>
      <c r="H166" s="2">
        <v>150</v>
      </c>
      <c r="I166" t="s">
        <v>69</v>
      </c>
    </row>
    <row r="167" spans="1:9" x14ac:dyDescent="0.25">
      <c r="A167">
        <v>166</v>
      </c>
      <c r="B167">
        <v>248</v>
      </c>
      <c r="C167" t="s">
        <v>81</v>
      </c>
      <c r="D167" t="s">
        <v>28</v>
      </c>
      <c r="E167" t="s">
        <v>83</v>
      </c>
      <c r="F167" s="1">
        <v>44670</v>
      </c>
      <c r="G167" t="s">
        <v>68</v>
      </c>
      <c r="H167" s="2">
        <v>120</v>
      </c>
      <c r="I167" t="s">
        <v>79</v>
      </c>
    </row>
    <row r="168" spans="1:9" x14ac:dyDescent="0.25">
      <c r="A168">
        <v>167</v>
      </c>
      <c r="B168">
        <v>248</v>
      </c>
      <c r="C168" t="s">
        <v>81</v>
      </c>
      <c r="D168" t="s">
        <v>27</v>
      </c>
      <c r="E168" t="s">
        <v>61</v>
      </c>
      <c r="F168" s="1">
        <v>45211</v>
      </c>
      <c r="G168" t="s">
        <v>68</v>
      </c>
      <c r="H168" s="2">
        <v>145</v>
      </c>
      <c r="I168" t="s">
        <v>66</v>
      </c>
    </row>
    <row r="169" spans="1:9" x14ac:dyDescent="0.25">
      <c r="A169">
        <v>168</v>
      </c>
      <c r="B169">
        <v>348</v>
      </c>
      <c r="C169" t="s">
        <v>70</v>
      </c>
      <c r="D169" t="s">
        <v>29</v>
      </c>
      <c r="E169" t="s">
        <v>71</v>
      </c>
      <c r="F169" s="1">
        <v>45173</v>
      </c>
      <c r="G169" t="s">
        <v>78</v>
      </c>
      <c r="H169" s="2">
        <v>150</v>
      </c>
      <c r="I169" t="s">
        <v>66</v>
      </c>
    </row>
    <row r="170" spans="1:9" x14ac:dyDescent="0.25">
      <c r="A170">
        <v>169</v>
      </c>
      <c r="B170">
        <v>113</v>
      </c>
      <c r="C170" t="s">
        <v>60</v>
      </c>
      <c r="D170" t="s">
        <v>28</v>
      </c>
      <c r="E170" t="s">
        <v>71</v>
      </c>
      <c r="F170" s="1">
        <v>44837</v>
      </c>
      <c r="G170" t="s">
        <v>65</v>
      </c>
      <c r="H170" s="2">
        <v>2500</v>
      </c>
      <c r="I170" t="s">
        <v>74</v>
      </c>
    </row>
    <row r="171" spans="1:9" x14ac:dyDescent="0.25">
      <c r="A171">
        <v>170</v>
      </c>
      <c r="B171">
        <v>248</v>
      </c>
      <c r="C171" t="s">
        <v>81</v>
      </c>
      <c r="D171" t="s">
        <v>27</v>
      </c>
      <c r="E171" t="s">
        <v>83</v>
      </c>
      <c r="F171" s="1">
        <v>45036</v>
      </c>
      <c r="G171" t="s">
        <v>65</v>
      </c>
      <c r="H171" s="2">
        <v>120</v>
      </c>
      <c r="I171" t="s">
        <v>79</v>
      </c>
    </row>
    <row r="172" spans="1:9" x14ac:dyDescent="0.25">
      <c r="A172">
        <v>171</v>
      </c>
      <c r="B172">
        <v>631</v>
      </c>
      <c r="C172" t="s">
        <v>77</v>
      </c>
      <c r="D172" t="s">
        <v>27</v>
      </c>
      <c r="E172" t="s">
        <v>61</v>
      </c>
      <c r="F172" s="1">
        <v>45188</v>
      </c>
      <c r="G172" t="s">
        <v>65</v>
      </c>
      <c r="H172" s="2">
        <v>12000</v>
      </c>
      <c r="I172" t="s">
        <v>63</v>
      </c>
    </row>
    <row r="173" spans="1:9" x14ac:dyDescent="0.25">
      <c r="A173">
        <v>172</v>
      </c>
      <c r="B173">
        <v>248</v>
      </c>
      <c r="C173" t="s">
        <v>81</v>
      </c>
      <c r="D173" t="s">
        <v>30</v>
      </c>
      <c r="E173" t="s">
        <v>83</v>
      </c>
      <c r="F173" s="1">
        <v>44784</v>
      </c>
      <c r="G173" t="s">
        <v>87</v>
      </c>
      <c r="H173" s="2">
        <v>170</v>
      </c>
      <c r="I173" t="s">
        <v>76</v>
      </c>
    </row>
    <row r="174" spans="1:9" x14ac:dyDescent="0.25">
      <c r="A174">
        <v>173</v>
      </c>
      <c r="B174">
        <v>792</v>
      </c>
      <c r="C174" t="s">
        <v>67</v>
      </c>
      <c r="D174" t="s">
        <v>27</v>
      </c>
      <c r="E174" t="s">
        <v>61</v>
      </c>
      <c r="F174" s="1">
        <v>44862</v>
      </c>
      <c r="G174" t="s">
        <v>78</v>
      </c>
      <c r="H174" s="2">
        <v>275000</v>
      </c>
      <c r="I174" t="s">
        <v>80</v>
      </c>
    </row>
    <row r="175" spans="1:9" x14ac:dyDescent="0.25">
      <c r="A175">
        <v>174</v>
      </c>
      <c r="B175">
        <v>956</v>
      </c>
      <c r="C175" t="s">
        <v>64</v>
      </c>
      <c r="D175" t="s">
        <v>29</v>
      </c>
      <c r="E175" t="s">
        <v>61</v>
      </c>
      <c r="F175" s="1">
        <v>45238</v>
      </c>
      <c r="G175" t="s">
        <v>72</v>
      </c>
      <c r="H175" s="2">
        <v>15000</v>
      </c>
      <c r="I175" t="s">
        <v>76</v>
      </c>
    </row>
    <row r="176" spans="1:9" x14ac:dyDescent="0.25">
      <c r="A176">
        <v>175</v>
      </c>
      <c r="B176">
        <v>348</v>
      </c>
      <c r="C176" t="s">
        <v>70</v>
      </c>
      <c r="D176" t="s">
        <v>27</v>
      </c>
      <c r="E176" t="s">
        <v>61</v>
      </c>
      <c r="F176" s="1">
        <v>44783</v>
      </c>
      <c r="G176" t="s">
        <v>62</v>
      </c>
      <c r="H176" s="2">
        <v>150</v>
      </c>
      <c r="I176" t="s">
        <v>74</v>
      </c>
    </row>
    <row r="177" spans="1:9" x14ac:dyDescent="0.25">
      <c r="A177">
        <v>176</v>
      </c>
      <c r="B177">
        <v>883</v>
      </c>
      <c r="C177" t="s">
        <v>82</v>
      </c>
      <c r="D177" t="s">
        <v>28</v>
      </c>
      <c r="E177" t="s">
        <v>61</v>
      </c>
      <c r="F177" s="1">
        <v>44751</v>
      </c>
      <c r="G177" t="s">
        <v>87</v>
      </c>
      <c r="H177" s="2">
        <v>140000</v>
      </c>
      <c r="I177" t="s">
        <v>74</v>
      </c>
    </row>
    <row r="178" spans="1:9" x14ac:dyDescent="0.25">
      <c r="A178">
        <v>177</v>
      </c>
      <c r="B178">
        <v>792</v>
      </c>
      <c r="C178" t="s">
        <v>67</v>
      </c>
      <c r="D178" t="s">
        <v>27</v>
      </c>
      <c r="E178" t="s">
        <v>83</v>
      </c>
      <c r="F178" s="1">
        <v>44865</v>
      </c>
      <c r="G178" t="s">
        <v>68</v>
      </c>
      <c r="H178" s="2">
        <v>250000</v>
      </c>
      <c r="I178" t="s">
        <v>75</v>
      </c>
    </row>
    <row r="179" spans="1:9" x14ac:dyDescent="0.25">
      <c r="A179">
        <v>178</v>
      </c>
      <c r="B179">
        <v>956</v>
      </c>
      <c r="C179" t="s">
        <v>64</v>
      </c>
      <c r="D179" t="s">
        <v>30</v>
      </c>
      <c r="E179" t="s">
        <v>61</v>
      </c>
      <c r="F179" s="1">
        <v>44988</v>
      </c>
      <c r="G179" t="s">
        <v>62</v>
      </c>
      <c r="H179" s="2">
        <v>10000</v>
      </c>
      <c r="I179" t="s">
        <v>75</v>
      </c>
    </row>
    <row r="180" spans="1:9" x14ac:dyDescent="0.25">
      <c r="A180">
        <v>179</v>
      </c>
      <c r="B180">
        <v>972</v>
      </c>
      <c r="C180" t="s">
        <v>89</v>
      </c>
      <c r="D180" t="s">
        <v>29</v>
      </c>
      <c r="E180" t="s">
        <v>71</v>
      </c>
      <c r="F180" s="1">
        <v>44872</v>
      </c>
      <c r="G180" t="s">
        <v>88</v>
      </c>
      <c r="H180" s="2">
        <v>125000</v>
      </c>
      <c r="I180" t="s">
        <v>74</v>
      </c>
    </row>
    <row r="181" spans="1:9" x14ac:dyDescent="0.25">
      <c r="A181">
        <v>180</v>
      </c>
      <c r="B181">
        <v>113</v>
      </c>
      <c r="C181" t="s">
        <v>60</v>
      </c>
      <c r="D181" t="s">
        <v>28</v>
      </c>
      <c r="E181" t="s">
        <v>71</v>
      </c>
      <c r="F181" s="1">
        <v>45042</v>
      </c>
      <c r="G181" t="s">
        <v>88</v>
      </c>
      <c r="H181" s="2">
        <v>1800</v>
      </c>
      <c r="I181" t="s">
        <v>69</v>
      </c>
    </row>
    <row r="182" spans="1:9" x14ac:dyDescent="0.25">
      <c r="A182">
        <v>181</v>
      </c>
      <c r="B182">
        <v>451</v>
      </c>
      <c r="C182" t="s">
        <v>85</v>
      </c>
      <c r="D182" t="s">
        <v>27</v>
      </c>
      <c r="E182" t="s">
        <v>61</v>
      </c>
      <c r="F182" s="1">
        <v>44785</v>
      </c>
      <c r="G182" t="s">
        <v>78</v>
      </c>
      <c r="H182" s="2">
        <v>470</v>
      </c>
      <c r="I182" t="s">
        <v>69</v>
      </c>
    </row>
    <row r="183" spans="1:9" x14ac:dyDescent="0.25">
      <c r="A183">
        <v>182</v>
      </c>
      <c r="B183">
        <v>451</v>
      </c>
      <c r="C183" t="s">
        <v>85</v>
      </c>
      <c r="D183" t="s">
        <v>30</v>
      </c>
      <c r="E183" t="s">
        <v>61</v>
      </c>
      <c r="F183" s="1">
        <v>44901</v>
      </c>
      <c r="G183" t="s">
        <v>88</v>
      </c>
      <c r="H183" s="2">
        <v>500</v>
      </c>
      <c r="I183" t="s">
        <v>86</v>
      </c>
    </row>
    <row r="184" spans="1:9" x14ac:dyDescent="0.25">
      <c r="A184">
        <v>183</v>
      </c>
      <c r="B184">
        <v>972</v>
      </c>
      <c r="C184" t="s">
        <v>89</v>
      </c>
      <c r="D184" t="s">
        <v>28</v>
      </c>
      <c r="E184" t="s">
        <v>61</v>
      </c>
      <c r="F184" s="1">
        <v>44741</v>
      </c>
      <c r="G184" t="s">
        <v>68</v>
      </c>
      <c r="H184" s="2">
        <v>125000</v>
      </c>
      <c r="I184" t="s">
        <v>66</v>
      </c>
    </row>
    <row r="185" spans="1:9" x14ac:dyDescent="0.25">
      <c r="A185">
        <v>184</v>
      </c>
      <c r="B185">
        <v>248</v>
      </c>
      <c r="C185" t="s">
        <v>81</v>
      </c>
      <c r="D185" t="s">
        <v>28</v>
      </c>
      <c r="E185" t="s">
        <v>61</v>
      </c>
      <c r="F185" s="1">
        <v>44641</v>
      </c>
      <c r="G185" t="s">
        <v>87</v>
      </c>
      <c r="H185" s="2">
        <v>145</v>
      </c>
      <c r="I185" t="s">
        <v>86</v>
      </c>
    </row>
    <row r="186" spans="1:9" x14ac:dyDescent="0.25">
      <c r="A186">
        <v>185</v>
      </c>
      <c r="B186">
        <v>956</v>
      </c>
      <c r="C186" t="s">
        <v>64</v>
      </c>
      <c r="D186" t="s">
        <v>30</v>
      </c>
      <c r="E186" t="s">
        <v>71</v>
      </c>
      <c r="F186" s="1">
        <v>44920</v>
      </c>
      <c r="G186" t="s">
        <v>87</v>
      </c>
      <c r="H186" s="2">
        <v>12000</v>
      </c>
      <c r="I186" t="s">
        <v>80</v>
      </c>
    </row>
    <row r="187" spans="1:9" x14ac:dyDescent="0.25">
      <c r="A187">
        <v>186</v>
      </c>
      <c r="B187">
        <v>113</v>
      </c>
      <c r="C187" t="s">
        <v>60</v>
      </c>
      <c r="D187" t="s">
        <v>27</v>
      </c>
      <c r="E187" t="s">
        <v>71</v>
      </c>
      <c r="F187" s="1">
        <v>44752</v>
      </c>
      <c r="G187" t="s">
        <v>65</v>
      </c>
      <c r="H187" s="2">
        <v>1800</v>
      </c>
      <c r="I187" t="s">
        <v>80</v>
      </c>
    </row>
    <row r="188" spans="1:9" x14ac:dyDescent="0.25">
      <c r="A188">
        <v>187</v>
      </c>
      <c r="B188">
        <v>956</v>
      </c>
      <c r="C188" t="s">
        <v>64</v>
      </c>
      <c r="D188" t="s">
        <v>27</v>
      </c>
      <c r="E188" t="s">
        <v>83</v>
      </c>
      <c r="F188" s="1">
        <v>44666</v>
      </c>
      <c r="G188" t="s">
        <v>65</v>
      </c>
      <c r="H188" s="2">
        <v>12000</v>
      </c>
      <c r="I188" t="s">
        <v>63</v>
      </c>
    </row>
    <row r="189" spans="1:9" x14ac:dyDescent="0.25">
      <c r="A189">
        <v>188</v>
      </c>
      <c r="B189">
        <v>631</v>
      </c>
      <c r="C189" t="s">
        <v>77</v>
      </c>
      <c r="D189" t="s">
        <v>30</v>
      </c>
      <c r="E189" t="s">
        <v>71</v>
      </c>
      <c r="F189" s="1">
        <v>44843</v>
      </c>
      <c r="G189" t="s">
        <v>65</v>
      </c>
      <c r="H189" s="2">
        <v>14000</v>
      </c>
      <c r="I189" t="s">
        <v>66</v>
      </c>
    </row>
    <row r="190" spans="1:9" x14ac:dyDescent="0.25">
      <c r="A190">
        <v>189</v>
      </c>
      <c r="B190">
        <v>972</v>
      </c>
      <c r="C190" t="s">
        <v>89</v>
      </c>
      <c r="D190" t="s">
        <v>28</v>
      </c>
      <c r="E190" t="s">
        <v>83</v>
      </c>
      <c r="F190" s="1">
        <v>45107</v>
      </c>
      <c r="G190" t="s">
        <v>88</v>
      </c>
      <c r="H190" s="2">
        <v>125000</v>
      </c>
      <c r="I190" t="s">
        <v>74</v>
      </c>
    </row>
    <row r="191" spans="1:9" x14ac:dyDescent="0.25">
      <c r="A191">
        <v>190</v>
      </c>
      <c r="B191">
        <v>792</v>
      </c>
      <c r="C191" t="s">
        <v>67</v>
      </c>
      <c r="D191" t="s">
        <v>27</v>
      </c>
      <c r="E191" t="s">
        <v>61</v>
      </c>
      <c r="F191" s="1">
        <v>45146</v>
      </c>
      <c r="G191" t="s">
        <v>65</v>
      </c>
      <c r="H191" s="2">
        <v>275000</v>
      </c>
      <c r="I191" t="s">
        <v>80</v>
      </c>
    </row>
    <row r="192" spans="1:9" x14ac:dyDescent="0.25">
      <c r="A192">
        <v>191</v>
      </c>
      <c r="B192">
        <v>883</v>
      </c>
      <c r="C192" t="s">
        <v>82</v>
      </c>
      <c r="D192" t="s">
        <v>30</v>
      </c>
      <c r="E192" t="s">
        <v>71</v>
      </c>
      <c r="F192" s="1">
        <v>44670</v>
      </c>
      <c r="G192" t="s">
        <v>72</v>
      </c>
      <c r="H192" s="2">
        <v>140000</v>
      </c>
      <c r="I192" t="s">
        <v>74</v>
      </c>
    </row>
    <row r="193" spans="1:9" x14ac:dyDescent="0.25">
      <c r="A193">
        <v>192</v>
      </c>
      <c r="B193">
        <v>451</v>
      </c>
      <c r="C193" t="s">
        <v>85</v>
      </c>
      <c r="D193" t="s">
        <v>27</v>
      </c>
      <c r="E193" t="s">
        <v>71</v>
      </c>
      <c r="F193" s="1">
        <v>44957</v>
      </c>
      <c r="G193" t="s">
        <v>62</v>
      </c>
      <c r="H193" s="2">
        <v>470</v>
      </c>
      <c r="I193" t="s">
        <v>69</v>
      </c>
    </row>
    <row r="194" spans="1:9" x14ac:dyDescent="0.25">
      <c r="A194">
        <v>193</v>
      </c>
      <c r="B194">
        <v>883</v>
      </c>
      <c r="C194" t="s">
        <v>82</v>
      </c>
      <c r="D194" t="s">
        <v>27</v>
      </c>
      <c r="E194" t="s">
        <v>61</v>
      </c>
      <c r="F194" s="1">
        <v>44593</v>
      </c>
      <c r="G194" t="s">
        <v>84</v>
      </c>
      <c r="H194" s="2">
        <v>140000</v>
      </c>
      <c r="I194" t="s">
        <v>80</v>
      </c>
    </row>
    <row r="195" spans="1:9" x14ac:dyDescent="0.25">
      <c r="A195">
        <v>194</v>
      </c>
      <c r="B195">
        <v>883</v>
      </c>
      <c r="C195" t="s">
        <v>82</v>
      </c>
      <c r="D195" t="s">
        <v>28</v>
      </c>
      <c r="E195" t="s">
        <v>71</v>
      </c>
      <c r="F195" s="1">
        <v>44958</v>
      </c>
      <c r="G195" t="s">
        <v>78</v>
      </c>
      <c r="H195" s="2">
        <v>140000</v>
      </c>
      <c r="I195" t="s">
        <v>74</v>
      </c>
    </row>
    <row r="196" spans="1:9" x14ac:dyDescent="0.25">
      <c r="A196">
        <v>195</v>
      </c>
      <c r="B196">
        <v>883</v>
      </c>
      <c r="C196" t="s">
        <v>82</v>
      </c>
      <c r="D196" t="s">
        <v>27</v>
      </c>
      <c r="E196" t="s">
        <v>83</v>
      </c>
      <c r="F196" s="1">
        <v>44974</v>
      </c>
      <c r="G196" t="s">
        <v>78</v>
      </c>
      <c r="H196" s="2">
        <v>140000</v>
      </c>
      <c r="I196" t="s">
        <v>74</v>
      </c>
    </row>
    <row r="197" spans="1:9" x14ac:dyDescent="0.25">
      <c r="A197">
        <v>196</v>
      </c>
      <c r="B197">
        <v>883</v>
      </c>
      <c r="C197" t="s">
        <v>82</v>
      </c>
      <c r="D197" t="s">
        <v>28</v>
      </c>
      <c r="E197" t="s">
        <v>71</v>
      </c>
      <c r="F197" s="1">
        <v>45070</v>
      </c>
      <c r="G197" t="s">
        <v>72</v>
      </c>
      <c r="H197" s="2">
        <v>170000</v>
      </c>
      <c r="I197" t="s">
        <v>75</v>
      </c>
    </row>
    <row r="198" spans="1:9" x14ac:dyDescent="0.25">
      <c r="A198">
        <v>197</v>
      </c>
      <c r="B198">
        <v>883</v>
      </c>
      <c r="C198" t="s">
        <v>82</v>
      </c>
      <c r="D198" t="s">
        <v>30</v>
      </c>
      <c r="E198" t="s">
        <v>61</v>
      </c>
      <c r="F198" s="1">
        <v>44797</v>
      </c>
      <c r="G198" t="s">
        <v>65</v>
      </c>
      <c r="H198" s="2">
        <v>140000</v>
      </c>
      <c r="I198" t="s">
        <v>74</v>
      </c>
    </row>
    <row r="199" spans="1:9" x14ac:dyDescent="0.25">
      <c r="A199">
        <v>198</v>
      </c>
      <c r="B199">
        <v>792</v>
      </c>
      <c r="C199" t="s">
        <v>67</v>
      </c>
      <c r="D199" t="s">
        <v>27</v>
      </c>
      <c r="E199" t="s">
        <v>71</v>
      </c>
      <c r="F199" s="1">
        <v>44977</v>
      </c>
      <c r="G199" t="s">
        <v>78</v>
      </c>
      <c r="H199" s="2">
        <v>275000</v>
      </c>
      <c r="I199" t="s">
        <v>69</v>
      </c>
    </row>
    <row r="200" spans="1:9" x14ac:dyDescent="0.25">
      <c r="A200">
        <v>199</v>
      </c>
      <c r="B200">
        <v>631</v>
      </c>
      <c r="C200" t="s">
        <v>77</v>
      </c>
      <c r="D200" t="s">
        <v>30</v>
      </c>
      <c r="E200" t="s">
        <v>71</v>
      </c>
      <c r="F200" s="1">
        <v>44705</v>
      </c>
      <c r="G200" t="s">
        <v>65</v>
      </c>
      <c r="H200" s="2">
        <v>10000</v>
      </c>
      <c r="I200" t="s">
        <v>73</v>
      </c>
    </row>
    <row r="201" spans="1:9" x14ac:dyDescent="0.25">
      <c r="A201">
        <v>200</v>
      </c>
      <c r="B201">
        <v>972</v>
      </c>
      <c r="C201" t="s">
        <v>89</v>
      </c>
      <c r="D201" t="s">
        <v>27</v>
      </c>
      <c r="E201" t="s">
        <v>71</v>
      </c>
      <c r="F201" s="1">
        <v>44832</v>
      </c>
      <c r="G201" t="s">
        <v>88</v>
      </c>
      <c r="H201" s="2">
        <v>125000</v>
      </c>
      <c r="I201" t="s">
        <v>69</v>
      </c>
    </row>
    <row r="204" spans="1:9" x14ac:dyDescent="0.25">
      <c r="H204" s="3">
        <f>SUM(H2:H203)</f>
        <v>14365965</v>
      </c>
    </row>
  </sheetData>
  <autoFilter ref="K12:L12" xr:uid="{4B60B6BE-9B8D-4195-9B81-D5CF772E39F2}">
    <sortState xmlns:xlrd2="http://schemas.microsoft.com/office/spreadsheetml/2017/richdata2" ref="K13:L20">
      <sortCondition descending="1" ref="L12"/>
    </sortState>
  </autoFilter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591B-4B9F-48DF-8622-6B31E948CB35}">
  <dimension ref="A1:Q181"/>
  <sheetViews>
    <sheetView zoomScale="55" zoomScaleNormal="55" workbookViewId="0">
      <selection activeCell="A45" sqref="A45:D51"/>
    </sheetView>
  </sheetViews>
  <sheetFormatPr defaultRowHeight="15" x14ac:dyDescent="0.25"/>
  <cols>
    <col min="1" max="1" width="34.42578125" bestFit="1" customWidth="1"/>
    <col min="2" max="2" width="28.42578125" bestFit="1" customWidth="1"/>
    <col min="3" max="3" width="8.42578125" bestFit="1" customWidth="1"/>
    <col min="4" max="5" width="15.42578125" bestFit="1" customWidth="1"/>
    <col min="6" max="6" width="10.28515625" bestFit="1" customWidth="1"/>
    <col min="7" max="7" width="6.140625" bestFit="1" customWidth="1"/>
    <col min="8" max="8" width="5.5703125" bestFit="1" customWidth="1"/>
    <col min="9" max="9" width="16" bestFit="1" customWidth="1"/>
    <col min="10" max="10" width="10.28515625" bestFit="1" customWidth="1"/>
    <col min="11" max="11" width="6.5703125" bestFit="1" customWidth="1"/>
    <col min="12" max="12" width="5.85546875" bestFit="1" customWidth="1"/>
    <col min="13" max="13" width="16" bestFit="1" customWidth="1"/>
    <col min="14" max="14" width="10.28515625" bestFit="1" customWidth="1"/>
    <col min="15" max="16" width="6.42578125" bestFit="1" customWidth="1"/>
    <col min="17" max="17" width="16" bestFit="1" customWidth="1"/>
    <col min="18" max="18" width="15.42578125" bestFit="1" customWidth="1"/>
    <col min="19" max="19" width="9.7109375" bestFit="1" customWidth="1"/>
    <col min="20" max="20" width="5.85546875" bestFit="1" customWidth="1"/>
    <col min="21" max="21" width="6.42578125" bestFit="1" customWidth="1"/>
    <col min="22" max="22" width="15.42578125" bestFit="1" customWidth="1"/>
    <col min="23" max="23" width="10.28515625" bestFit="1" customWidth="1"/>
    <col min="24" max="24" width="6.140625" bestFit="1" customWidth="1"/>
    <col min="25" max="25" width="5.5703125" bestFit="1" customWidth="1"/>
    <col min="26" max="26" width="16" bestFit="1" customWidth="1"/>
    <col min="27" max="27" width="10.28515625" bestFit="1" customWidth="1"/>
    <col min="28" max="28" width="6.5703125" bestFit="1" customWidth="1"/>
    <col min="29" max="29" width="5.85546875" bestFit="1" customWidth="1"/>
    <col min="30" max="30" width="16" bestFit="1" customWidth="1"/>
    <col min="31" max="31" width="10.28515625" bestFit="1" customWidth="1"/>
    <col min="32" max="32" width="6.42578125" bestFit="1" customWidth="1"/>
    <col min="33" max="33" width="16" bestFit="1" customWidth="1"/>
    <col min="34" max="35" width="15.42578125" bestFit="1" customWidth="1"/>
  </cols>
  <sheetData>
    <row r="1" spans="1:4" ht="15.75" x14ac:dyDescent="0.25">
      <c r="C1" t="s">
        <v>158</v>
      </c>
      <c r="D1" s="11" t="s">
        <v>150</v>
      </c>
    </row>
    <row r="2" spans="1:4" ht="15.75" x14ac:dyDescent="0.25">
      <c r="C2">
        <f>GETPIVOTDATA("Fornecedor",$A$30)</f>
        <v>200</v>
      </c>
      <c r="D2" s="12">
        <f>GETPIVOTDATA("Valor",$A$3)</f>
        <v>14365965</v>
      </c>
    </row>
    <row r="3" spans="1:4" x14ac:dyDescent="0.25">
      <c r="A3" s="4" t="s">
        <v>34</v>
      </c>
      <c r="B3" t="s">
        <v>37</v>
      </c>
    </row>
    <row r="4" spans="1:4" x14ac:dyDescent="0.25">
      <c r="A4" s="5" t="s">
        <v>61</v>
      </c>
      <c r="B4" s="3">
        <v>6093725</v>
      </c>
    </row>
    <row r="5" spans="1:4" x14ac:dyDescent="0.25">
      <c r="A5" s="5" t="s">
        <v>71</v>
      </c>
      <c r="B5" s="3">
        <v>5070115</v>
      </c>
    </row>
    <row r="6" spans="1:4" x14ac:dyDescent="0.25">
      <c r="A6" s="5" t="s">
        <v>83</v>
      </c>
      <c r="B6" s="3">
        <v>3202125</v>
      </c>
    </row>
    <row r="7" spans="1:4" x14ac:dyDescent="0.25">
      <c r="A7" s="5" t="s">
        <v>35</v>
      </c>
      <c r="B7" s="3">
        <v>14365965</v>
      </c>
    </row>
    <row r="10" spans="1:4" x14ac:dyDescent="0.25">
      <c r="A10" s="4" t="s">
        <v>34</v>
      </c>
      <c r="B10" t="s">
        <v>37</v>
      </c>
    </row>
    <row r="11" spans="1:4" x14ac:dyDescent="0.25">
      <c r="A11" s="5" t="s">
        <v>27</v>
      </c>
      <c r="B11" s="3">
        <v>4851725</v>
      </c>
    </row>
    <row r="12" spans="1:4" x14ac:dyDescent="0.25">
      <c r="A12" s="5" t="s">
        <v>28</v>
      </c>
      <c r="B12" s="3">
        <v>3590975</v>
      </c>
    </row>
    <row r="13" spans="1:4" x14ac:dyDescent="0.25">
      <c r="A13" s="5" t="s">
        <v>30</v>
      </c>
      <c r="B13" s="3">
        <v>2964250</v>
      </c>
    </row>
    <row r="14" spans="1:4" x14ac:dyDescent="0.25">
      <c r="A14" s="5" t="s">
        <v>29</v>
      </c>
      <c r="B14" s="3">
        <v>2959015</v>
      </c>
    </row>
    <row r="15" spans="1:4" x14ac:dyDescent="0.25">
      <c r="A15" s="5" t="s">
        <v>35</v>
      </c>
      <c r="B15" s="3">
        <v>14365965</v>
      </c>
    </row>
    <row r="17" spans="1:4" x14ac:dyDescent="0.25">
      <c r="A17" s="4" t="s">
        <v>34</v>
      </c>
      <c r="B17" t="s">
        <v>37</v>
      </c>
    </row>
    <row r="18" spans="1:4" x14ac:dyDescent="0.25">
      <c r="A18" s="5" t="s">
        <v>67</v>
      </c>
      <c r="B18" s="3">
        <v>6910000</v>
      </c>
    </row>
    <row r="19" spans="1:4" x14ac:dyDescent="0.25">
      <c r="A19" s="5" t="s">
        <v>82</v>
      </c>
      <c r="B19" s="3">
        <v>3885000</v>
      </c>
    </row>
    <row r="20" spans="1:4" x14ac:dyDescent="0.25">
      <c r="A20" s="5" t="s">
        <v>89</v>
      </c>
      <c r="B20" s="3">
        <v>2880000</v>
      </c>
    </row>
    <row r="21" spans="1:4" x14ac:dyDescent="0.25">
      <c r="A21" s="5" t="s">
        <v>64</v>
      </c>
      <c r="B21" s="3">
        <v>321000</v>
      </c>
    </row>
    <row r="22" spans="1:4" x14ac:dyDescent="0.25">
      <c r="A22" s="5" t="s">
        <v>77</v>
      </c>
      <c r="B22" s="3">
        <v>320000</v>
      </c>
    </row>
    <row r="23" spans="1:4" x14ac:dyDescent="0.25">
      <c r="A23" s="5" t="s">
        <v>60</v>
      </c>
      <c r="B23" s="3">
        <v>35250</v>
      </c>
    </row>
    <row r="24" spans="1:4" x14ac:dyDescent="0.25">
      <c r="A24" s="5" t="s">
        <v>85</v>
      </c>
      <c r="B24" s="3">
        <v>8880</v>
      </c>
    </row>
    <row r="25" spans="1:4" x14ac:dyDescent="0.25">
      <c r="A25" s="5" t="s">
        <v>70</v>
      </c>
      <c r="B25" s="3">
        <v>2940</v>
      </c>
    </row>
    <row r="26" spans="1:4" x14ac:dyDescent="0.25">
      <c r="A26" s="5" t="s">
        <v>81</v>
      </c>
      <c r="B26" s="3">
        <v>2895</v>
      </c>
    </row>
    <row r="27" spans="1:4" x14ac:dyDescent="0.25">
      <c r="A27" s="5" t="s">
        <v>35</v>
      </c>
      <c r="B27" s="3">
        <v>14365965</v>
      </c>
    </row>
    <row r="30" spans="1:4" x14ac:dyDescent="0.25">
      <c r="A30" s="4" t="s">
        <v>34</v>
      </c>
      <c r="B30" t="s">
        <v>146</v>
      </c>
    </row>
    <row r="31" spans="1:4" x14ac:dyDescent="0.25">
      <c r="A31" s="5" t="s">
        <v>75</v>
      </c>
      <c r="B31">
        <v>21</v>
      </c>
      <c r="D31" s="5"/>
    </row>
    <row r="32" spans="1:4" x14ac:dyDescent="0.25">
      <c r="A32" s="5" t="s">
        <v>86</v>
      </c>
      <c r="B32">
        <v>8</v>
      </c>
      <c r="D32" s="5"/>
    </row>
    <row r="33" spans="1:17" x14ac:dyDescent="0.25">
      <c r="A33" s="5" t="s">
        <v>63</v>
      </c>
      <c r="B33">
        <v>27</v>
      </c>
      <c r="D33" s="5"/>
    </row>
    <row r="34" spans="1:17" x14ac:dyDescent="0.25">
      <c r="A34" s="5" t="s">
        <v>74</v>
      </c>
      <c r="B34">
        <v>23</v>
      </c>
      <c r="D34" s="5"/>
    </row>
    <row r="35" spans="1:17" x14ac:dyDescent="0.25">
      <c r="A35" s="5" t="s">
        <v>76</v>
      </c>
      <c r="B35">
        <v>24</v>
      </c>
      <c r="D35" s="5"/>
    </row>
    <row r="36" spans="1:17" x14ac:dyDescent="0.25">
      <c r="A36" s="5" t="s">
        <v>80</v>
      </c>
      <c r="B36">
        <v>21</v>
      </c>
      <c r="D36" s="5"/>
    </row>
    <row r="37" spans="1:17" x14ac:dyDescent="0.25">
      <c r="A37" s="5" t="s">
        <v>79</v>
      </c>
      <c r="B37">
        <v>15</v>
      </c>
      <c r="D37" s="5"/>
    </row>
    <row r="38" spans="1:17" x14ac:dyDescent="0.25">
      <c r="A38" s="5" t="s">
        <v>66</v>
      </c>
      <c r="B38">
        <v>20</v>
      </c>
      <c r="D38" s="5"/>
      <c r="H38" s="5" t="s">
        <v>75</v>
      </c>
      <c r="I38" s="5" t="s">
        <v>86</v>
      </c>
      <c r="J38" s="5" t="s">
        <v>63</v>
      </c>
      <c r="K38" s="5" t="s">
        <v>74</v>
      </c>
      <c r="L38" s="5" t="s">
        <v>76</v>
      </c>
      <c r="M38" s="5" t="s">
        <v>80</v>
      </c>
      <c r="N38" s="5" t="s">
        <v>79</v>
      </c>
      <c r="O38" s="5" t="s">
        <v>66</v>
      </c>
      <c r="P38" s="5" t="s">
        <v>73</v>
      </c>
      <c r="Q38" s="5" t="s">
        <v>69</v>
      </c>
    </row>
    <row r="39" spans="1:17" x14ac:dyDescent="0.25">
      <c r="A39" s="5" t="s">
        <v>73</v>
      </c>
      <c r="B39">
        <v>19</v>
      </c>
      <c r="D39" s="5"/>
      <c r="H39" t="e">
        <f>COUNTIF('[1]Custo Manutenção de equipamento'!$I:$I,'[1]Custo Manutenção de equipamento'!$I$7)</f>
        <v>#VALUE!</v>
      </c>
      <c r="I39" t="e">
        <f>COUNTIF('[1]Custo Manutenção de equipamento'!$I:$I,'[1]Custo Manutenção de equipamento'!$I$17)</f>
        <v>#VALUE!</v>
      </c>
      <c r="J39" t="e">
        <f>COUNTIF('[1]Custo Manutenção de equipamento'!$I:$I,'[1]Custo Manutenção de equipamento'!$I$13)</f>
        <v>#VALUE!</v>
      </c>
      <c r="K39" t="e">
        <f>COUNTIF('[1]Custo Manutenção de equipamento'!$I:$I,'[1]Custo Manutenção de equipamento'!$I$6)</f>
        <v>#VALUE!</v>
      </c>
      <c r="L39" t="e">
        <f>COUNTIF('[1]Custo Manutenção de equipamento'!$I:$I,'[1]Custo Manutenção de equipamento'!$I$8)</f>
        <v>#VALUE!</v>
      </c>
      <c r="M39" t="e">
        <f>COUNTIF('[1]Custo Manutenção de equipamento'!$I:$I,'[1]Custo Manutenção de equipamento'!$I$12)</f>
        <v>#VALUE!</v>
      </c>
    </row>
    <row r="40" spans="1:17" x14ac:dyDescent="0.25">
      <c r="A40" s="5" t="s">
        <v>69</v>
      </c>
      <c r="B40">
        <v>22</v>
      </c>
      <c r="D40" s="5"/>
    </row>
    <row r="41" spans="1:17" x14ac:dyDescent="0.25">
      <c r="A41" s="5" t="s">
        <v>35</v>
      </c>
      <c r="B41">
        <v>200</v>
      </c>
    </row>
    <row r="45" spans="1:17" x14ac:dyDescent="0.25">
      <c r="A45" s="4" t="s">
        <v>37</v>
      </c>
      <c r="B45" s="4" t="s">
        <v>149</v>
      </c>
    </row>
    <row r="46" spans="1:17" x14ac:dyDescent="0.25">
      <c r="A46" s="4" t="s">
        <v>34</v>
      </c>
      <c r="B46" t="s">
        <v>137</v>
      </c>
      <c r="C46" t="s">
        <v>142</v>
      </c>
      <c r="D46" t="s">
        <v>35</v>
      </c>
    </row>
    <row r="47" spans="1:17" x14ac:dyDescent="0.25">
      <c r="A47" s="5" t="s">
        <v>138</v>
      </c>
      <c r="B47">
        <v>1683125</v>
      </c>
      <c r="C47">
        <v>2958190</v>
      </c>
      <c r="D47">
        <v>4641315</v>
      </c>
    </row>
    <row r="48" spans="1:17" x14ac:dyDescent="0.25">
      <c r="A48" s="5" t="s">
        <v>139</v>
      </c>
      <c r="B48">
        <v>1067785</v>
      </c>
      <c r="C48">
        <v>2984515</v>
      </c>
      <c r="D48">
        <v>4052300</v>
      </c>
    </row>
    <row r="49" spans="1:4" x14ac:dyDescent="0.25">
      <c r="A49" s="5" t="s">
        <v>140</v>
      </c>
      <c r="B49">
        <v>1878730</v>
      </c>
      <c r="C49">
        <v>1968920</v>
      </c>
      <c r="D49">
        <v>3847650</v>
      </c>
    </row>
    <row r="50" spans="1:4" x14ac:dyDescent="0.25">
      <c r="A50" s="5" t="s">
        <v>141</v>
      </c>
      <c r="B50">
        <v>1403415</v>
      </c>
      <c r="C50">
        <v>421285</v>
      </c>
      <c r="D50">
        <v>1824700</v>
      </c>
    </row>
    <row r="51" spans="1:4" x14ac:dyDescent="0.25">
      <c r="A51" s="5" t="s">
        <v>35</v>
      </c>
      <c r="B51">
        <v>6033055</v>
      </c>
      <c r="C51">
        <v>8332910</v>
      </c>
      <c r="D51">
        <v>14365965</v>
      </c>
    </row>
    <row r="55" spans="1:4" x14ac:dyDescent="0.25">
      <c r="A55" s="4" t="s">
        <v>34</v>
      </c>
      <c r="B55" t="s">
        <v>152</v>
      </c>
    </row>
    <row r="56" spans="1:4" x14ac:dyDescent="0.25">
      <c r="A56" s="5" t="s">
        <v>83</v>
      </c>
      <c r="B56">
        <v>49</v>
      </c>
    </row>
    <row r="57" spans="1:4" x14ac:dyDescent="0.25">
      <c r="A57" s="5" t="s">
        <v>71</v>
      </c>
      <c r="B57">
        <v>67</v>
      </c>
    </row>
    <row r="58" spans="1:4" x14ac:dyDescent="0.25">
      <c r="A58" s="5" t="s">
        <v>61</v>
      </c>
      <c r="B58">
        <v>84</v>
      </c>
    </row>
    <row r="59" spans="1:4" x14ac:dyDescent="0.25">
      <c r="A59" s="5" t="s">
        <v>35</v>
      </c>
      <c r="B59">
        <v>200</v>
      </c>
    </row>
    <row r="63" spans="1:4" x14ac:dyDescent="0.25">
      <c r="A63" s="4" t="s">
        <v>34</v>
      </c>
    </row>
    <row r="64" spans="1:4" x14ac:dyDescent="0.25">
      <c r="A64" s="5" t="s">
        <v>75</v>
      </c>
    </row>
    <row r="65" spans="1:12" x14ac:dyDescent="0.25">
      <c r="A65" s="7" t="s">
        <v>67</v>
      </c>
    </row>
    <row r="66" spans="1:12" x14ac:dyDescent="0.25">
      <c r="A66" s="7" t="s">
        <v>85</v>
      </c>
    </row>
    <row r="67" spans="1:12" x14ac:dyDescent="0.25">
      <c r="A67" s="7" t="s">
        <v>77</v>
      </c>
    </row>
    <row r="68" spans="1:12" x14ac:dyDescent="0.25">
      <c r="A68" s="7" t="s">
        <v>81</v>
      </c>
    </row>
    <row r="69" spans="1:12" x14ac:dyDescent="0.25">
      <c r="A69" s="7" t="s">
        <v>70</v>
      </c>
      <c r="C69" s="5" t="s">
        <v>75</v>
      </c>
      <c r="D69" s="5" t="s">
        <v>86</v>
      </c>
      <c r="E69" s="5" t="s">
        <v>63</v>
      </c>
      <c r="F69" s="5" t="s">
        <v>74</v>
      </c>
      <c r="G69" s="5" t="s">
        <v>76</v>
      </c>
      <c r="H69" s="5" t="s">
        <v>80</v>
      </c>
      <c r="I69" s="5" t="s">
        <v>79</v>
      </c>
      <c r="J69" s="5" t="s">
        <v>66</v>
      </c>
      <c r="K69" s="5" t="s">
        <v>73</v>
      </c>
      <c r="L69" s="5" t="s">
        <v>69</v>
      </c>
    </row>
    <row r="70" spans="1:12" x14ac:dyDescent="0.25">
      <c r="A70" s="7" t="s">
        <v>60</v>
      </c>
      <c r="C70">
        <f>COUNTIF($A$64:$A$151,C69)</f>
        <v>1</v>
      </c>
      <c r="D70">
        <f t="shared" ref="D70:L70" si="0">COUNTIF($A$64:$A$151,D69)</f>
        <v>1</v>
      </c>
      <c r="E70">
        <f t="shared" si="0"/>
        <v>1</v>
      </c>
      <c r="F70">
        <f t="shared" si="0"/>
        <v>1</v>
      </c>
      <c r="G70">
        <f t="shared" si="0"/>
        <v>1</v>
      </c>
      <c r="H70">
        <f t="shared" si="0"/>
        <v>1</v>
      </c>
      <c r="I70">
        <f t="shared" si="0"/>
        <v>1</v>
      </c>
      <c r="J70">
        <f t="shared" si="0"/>
        <v>1</v>
      </c>
      <c r="K70">
        <f t="shared" si="0"/>
        <v>1</v>
      </c>
      <c r="L70">
        <f t="shared" si="0"/>
        <v>1</v>
      </c>
    </row>
    <row r="71" spans="1:12" x14ac:dyDescent="0.25">
      <c r="A71" s="7" t="s">
        <v>64</v>
      </c>
    </row>
    <row r="72" spans="1:12" x14ac:dyDescent="0.25">
      <c r="A72" s="7" t="s">
        <v>82</v>
      </c>
    </row>
    <row r="73" spans="1:12" x14ac:dyDescent="0.25">
      <c r="A73" s="5" t="s">
        <v>86</v>
      </c>
    </row>
    <row r="74" spans="1:12" x14ac:dyDescent="0.25">
      <c r="A74" s="7" t="s">
        <v>89</v>
      </c>
      <c r="C74" t="s">
        <v>153</v>
      </c>
      <c r="D74" t="s">
        <v>154</v>
      </c>
      <c r="E74" t="s">
        <v>155</v>
      </c>
      <c r="F74" t="s">
        <v>156</v>
      </c>
      <c r="G74" t="s">
        <v>157</v>
      </c>
    </row>
    <row r="75" spans="1:12" x14ac:dyDescent="0.25">
      <c r="A75" s="7" t="s">
        <v>85</v>
      </c>
      <c r="C75">
        <f>SUM(D70,E70,G70,J70,K70,L70)</f>
        <v>6</v>
      </c>
      <c r="D75">
        <f>SUM(C70)</f>
        <v>1</v>
      </c>
      <c r="E75">
        <f>H70</f>
        <v>1</v>
      </c>
      <c r="F75">
        <f>F70</f>
        <v>1</v>
      </c>
      <c r="G75">
        <f>I70</f>
        <v>1</v>
      </c>
    </row>
    <row r="76" spans="1:12" x14ac:dyDescent="0.25">
      <c r="A76" s="7" t="s">
        <v>77</v>
      </c>
    </row>
    <row r="77" spans="1:12" x14ac:dyDescent="0.25">
      <c r="A77" s="7" t="s">
        <v>81</v>
      </c>
    </row>
    <row r="78" spans="1:12" x14ac:dyDescent="0.25">
      <c r="A78" s="7" t="s">
        <v>60</v>
      </c>
    </row>
    <row r="79" spans="1:12" x14ac:dyDescent="0.25">
      <c r="A79" s="5" t="s">
        <v>63</v>
      </c>
    </row>
    <row r="80" spans="1:12" x14ac:dyDescent="0.25">
      <c r="A80" s="7" t="s">
        <v>67</v>
      </c>
    </row>
    <row r="81" spans="1:1" x14ac:dyDescent="0.25">
      <c r="A81" s="7" t="s">
        <v>89</v>
      </c>
    </row>
    <row r="82" spans="1:1" x14ac:dyDescent="0.25">
      <c r="A82" s="7" t="s">
        <v>85</v>
      </c>
    </row>
    <row r="83" spans="1:1" x14ac:dyDescent="0.25">
      <c r="A83" s="7" t="s">
        <v>77</v>
      </c>
    </row>
    <row r="84" spans="1:1" x14ac:dyDescent="0.25">
      <c r="A84" s="7" t="s">
        <v>81</v>
      </c>
    </row>
    <row r="85" spans="1:1" x14ac:dyDescent="0.25">
      <c r="A85" s="7" t="s">
        <v>70</v>
      </c>
    </row>
    <row r="86" spans="1:1" x14ac:dyDescent="0.25">
      <c r="A86" s="7" t="s">
        <v>60</v>
      </c>
    </row>
    <row r="87" spans="1:1" x14ac:dyDescent="0.25">
      <c r="A87" s="7" t="s">
        <v>64</v>
      </c>
    </row>
    <row r="88" spans="1:1" x14ac:dyDescent="0.25">
      <c r="A88" s="7" t="s">
        <v>82</v>
      </c>
    </row>
    <row r="89" spans="1:1" x14ac:dyDescent="0.25">
      <c r="A89" s="5" t="s">
        <v>74</v>
      </c>
    </row>
    <row r="90" spans="1:1" x14ac:dyDescent="0.25">
      <c r="A90" s="7" t="s">
        <v>89</v>
      </c>
    </row>
    <row r="91" spans="1:1" x14ac:dyDescent="0.25">
      <c r="A91" s="7" t="s">
        <v>77</v>
      </c>
    </row>
    <row r="92" spans="1:1" x14ac:dyDescent="0.25">
      <c r="A92" s="7" t="s">
        <v>81</v>
      </c>
    </row>
    <row r="93" spans="1:1" x14ac:dyDescent="0.25">
      <c r="A93" s="7" t="s">
        <v>70</v>
      </c>
    </row>
    <row r="94" spans="1:1" x14ac:dyDescent="0.25">
      <c r="A94" s="7" t="s">
        <v>60</v>
      </c>
    </row>
    <row r="95" spans="1:1" x14ac:dyDescent="0.25">
      <c r="A95" s="7" t="s">
        <v>64</v>
      </c>
    </row>
    <row r="96" spans="1:1" x14ac:dyDescent="0.25">
      <c r="A96" s="7" t="s">
        <v>82</v>
      </c>
    </row>
    <row r="97" spans="1:1" x14ac:dyDescent="0.25">
      <c r="A97" s="5" t="s">
        <v>76</v>
      </c>
    </row>
    <row r="98" spans="1:1" x14ac:dyDescent="0.25">
      <c r="A98" s="7" t="s">
        <v>67</v>
      </c>
    </row>
    <row r="99" spans="1:1" x14ac:dyDescent="0.25">
      <c r="A99" s="7" t="s">
        <v>89</v>
      </c>
    </row>
    <row r="100" spans="1:1" x14ac:dyDescent="0.25">
      <c r="A100" s="7" t="s">
        <v>85</v>
      </c>
    </row>
    <row r="101" spans="1:1" x14ac:dyDescent="0.25">
      <c r="A101" s="7" t="s">
        <v>77</v>
      </c>
    </row>
    <row r="102" spans="1:1" x14ac:dyDescent="0.25">
      <c r="A102" s="7" t="s">
        <v>81</v>
      </c>
    </row>
    <row r="103" spans="1:1" x14ac:dyDescent="0.25">
      <c r="A103" s="7" t="s">
        <v>70</v>
      </c>
    </row>
    <row r="104" spans="1:1" x14ac:dyDescent="0.25">
      <c r="A104" s="7" t="s">
        <v>60</v>
      </c>
    </row>
    <row r="105" spans="1:1" x14ac:dyDescent="0.25">
      <c r="A105" s="7" t="s">
        <v>64</v>
      </c>
    </row>
    <row r="106" spans="1:1" x14ac:dyDescent="0.25">
      <c r="A106" s="7" t="s">
        <v>82</v>
      </c>
    </row>
    <row r="107" spans="1:1" x14ac:dyDescent="0.25">
      <c r="A107" s="5" t="s">
        <v>80</v>
      </c>
    </row>
    <row r="108" spans="1:1" x14ac:dyDescent="0.25">
      <c r="A108" s="7" t="s">
        <v>67</v>
      </c>
    </row>
    <row r="109" spans="1:1" x14ac:dyDescent="0.25">
      <c r="A109" s="7" t="s">
        <v>89</v>
      </c>
    </row>
    <row r="110" spans="1:1" x14ac:dyDescent="0.25">
      <c r="A110" s="7" t="s">
        <v>85</v>
      </c>
    </row>
    <row r="111" spans="1:1" x14ac:dyDescent="0.25">
      <c r="A111" s="7" t="s">
        <v>77</v>
      </c>
    </row>
    <row r="112" spans="1:1" x14ac:dyDescent="0.25">
      <c r="A112" s="7" t="s">
        <v>70</v>
      </c>
    </row>
    <row r="113" spans="1:1" x14ac:dyDescent="0.25">
      <c r="A113" s="7" t="s">
        <v>60</v>
      </c>
    </row>
    <row r="114" spans="1:1" x14ac:dyDescent="0.25">
      <c r="A114" s="7" t="s">
        <v>64</v>
      </c>
    </row>
    <row r="115" spans="1:1" x14ac:dyDescent="0.25">
      <c r="A115" s="7" t="s">
        <v>82</v>
      </c>
    </row>
    <row r="116" spans="1:1" x14ac:dyDescent="0.25">
      <c r="A116" s="5" t="s">
        <v>79</v>
      </c>
    </row>
    <row r="117" spans="1:1" x14ac:dyDescent="0.25">
      <c r="A117" s="7" t="s">
        <v>67</v>
      </c>
    </row>
    <row r="118" spans="1:1" x14ac:dyDescent="0.25">
      <c r="A118" s="7" t="s">
        <v>85</v>
      </c>
    </row>
    <row r="119" spans="1:1" x14ac:dyDescent="0.25">
      <c r="A119" s="7" t="s">
        <v>77</v>
      </c>
    </row>
    <row r="120" spans="1:1" x14ac:dyDescent="0.25">
      <c r="A120" s="7" t="s">
        <v>81</v>
      </c>
    </row>
    <row r="121" spans="1:1" x14ac:dyDescent="0.25">
      <c r="A121" s="7" t="s">
        <v>70</v>
      </c>
    </row>
    <row r="122" spans="1:1" x14ac:dyDescent="0.25">
      <c r="A122" s="7" t="s">
        <v>64</v>
      </c>
    </row>
    <row r="123" spans="1:1" x14ac:dyDescent="0.25">
      <c r="A123" s="7" t="s">
        <v>82</v>
      </c>
    </row>
    <row r="124" spans="1:1" x14ac:dyDescent="0.25">
      <c r="A124" s="5" t="s">
        <v>66</v>
      </c>
    </row>
    <row r="125" spans="1:1" x14ac:dyDescent="0.25">
      <c r="A125" s="7" t="s">
        <v>67</v>
      </c>
    </row>
    <row r="126" spans="1:1" x14ac:dyDescent="0.25">
      <c r="A126" s="7" t="s">
        <v>89</v>
      </c>
    </row>
    <row r="127" spans="1:1" x14ac:dyDescent="0.25">
      <c r="A127" s="7" t="s">
        <v>85</v>
      </c>
    </row>
    <row r="128" spans="1:1" x14ac:dyDescent="0.25">
      <c r="A128" s="7" t="s">
        <v>77</v>
      </c>
    </row>
    <row r="129" spans="1:1" x14ac:dyDescent="0.25">
      <c r="A129" s="7" t="s">
        <v>81</v>
      </c>
    </row>
    <row r="130" spans="1:1" x14ac:dyDescent="0.25">
      <c r="A130" s="7" t="s">
        <v>70</v>
      </c>
    </row>
    <row r="131" spans="1:1" x14ac:dyDescent="0.25">
      <c r="A131" s="7" t="s">
        <v>60</v>
      </c>
    </row>
    <row r="132" spans="1:1" x14ac:dyDescent="0.25">
      <c r="A132" s="7" t="s">
        <v>64</v>
      </c>
    </row>
    <row r="133" spans="1:1" x14ac:dyDescent="0.25">
      <c r="A133" s="7" t="s">
        <v>82</v>
      </c>
    </row>
    <row r="134" spans="1:1" x14ac:dyDescent="0.25">
      <c r="A134" s="5" t="s">
        <v>73</v>
      </c>
    </row>
    <row r="135" spans="1:1" x14ac:dyDescent="0.25">
      <c r="A135" s="7" t="s">
        <v>67</v>
      </c>
    </row>
    <row r="136" spans="1:1" x14ac:dyDescent="0.25">
      <c r="A136" s="7" t="s">
        <v>89</v>
      </c>
    </row>
    <row r="137" spans="1:1" x14ac:dyDescent="0.25">
      <c r="A137" s="7" t="s">
        <v>85</v>
      </c>
    </row>
    <row r="138" spans="1:1" x14ac:dyDescent="0.25">
      <c r="A138" s="7" t="s">
        <v>77</v>
      </c>
    </row>
    <row r="139" spans="1:1" x14ac:dyDescent="0.25">
      <c r="A139" s="7" t="s">
        <v>70</v>
      </c>
    </row>
    <row r="140" spans="1:1" x14ac:dyDescent="0.25">
      <c r="A140" s="7" t="s">
        <v>60</v>
      </c>
    </row>
    <row r="141" spans="1:1" x14ac:dyDescent="0.25">
      <c r="A141" s="7" t="s">
        <v>64</v>
      </c>
    </row>
    <row r="142" spans="1:1" x14ac:dyDescent="0.25">
      <c r="A142" s="7" t="s">
        <v>82</v>
      </c>
    </row>
    <row r="143" spans="1:1" x14ac:dyDescent="0.25">
      <c r="A143" s="5" t="s">
        <v>69</v>
      </c>
    </row>
    <row r="144" spans="1:1" x14ac:dyDescent="0.25">
      <c r="A144" s="7" t="s">
        <v>67</v>
      </c>
    </row>
    <row r="145" spans="1:2" x14ac:dyDescent="0.25">
      <c r="A145" s="7" t="s">
        <v>89</v>
      </c>
    </row>
    <row r="146" spans="1:2" x14ac:dyDescent="0.25">
      <c r="A146" s="7" t="s">
        <v>85</v>
      </c>
    </row>
    <row r="147" spans="1:2" x14ac:dyDescent="0.25">
      <c r="A147" s="7" t="s">
        <v>77</v>
      </c>
    </row>
    <row r="148" spans="1:2" x14ac:dyDescent="0.25">
      <c r="A148" s="7" t="s">
        <v>81</v>
      </c>
    </row>
    <row r="149" spans="1:2" x14ac:dyDescent="0.25">
      <c r="A149" s="7" t="s">
        <v>70</v>
      </c>
    </row>
    <row r="150" spans="1:2" x14ac:dyDescent="0.25">
      <c r="A150" s="7" t="s">
        <v>60</v>
      </c>
    </row>
    <row r="151" spans="1:2" x14ac:dyDescent="0.25">
      <c r="A151" s="7" t="s">
        <v>64</v>
      </c>
    </row>
    <row r="152" spans="1:2" x14ac:dyDescent="0.25">
      <c r="A152" s="7" t="s">
        <v>82</v>
      </c>
    </row>
    <row r="153" spans="1:2" x14ac:dyDescent="0.25">
      <c r="A153" s="5" t="s">
        <v>35</v>
      </c>
    </row>
    <row r="156" spans="1:2" x14ac:dyDescent="0.25">
      <c r="A156" s="4" t="s">
        <v>34</v>
      </c>
      <c r="B156" t="s">
        <v>152</v>
      </c>
    </row>
    <row r="157" spans="1:2" x14ac:dyDescent="0.25">
      <c r="A157" s="5" t="s">
        <v>67</v>
      </c>
      <c r="B157">
        <v>24</v>
      </c>
    </row>
    <row r="158" spans="1:2" x14ac:dyDescent="0.25">
      <c r="A158" s="5" t="s">
        <v>89</v>
      </c>
      <c r="B158">
        <v>23</v>
      </c>
    </row>
    <row r="159" spans="1:2" x14ac:dyDescent="0.25">
      <c r="A159" s="5" t="s">
        <v>85</v>
      </c>
      <c r="B159">
        <v>18</v>
      </c>
    </row>
    <row r="160" spans="1:2" x14ac:dyDescent="0.25">
      <c r="A160" s="5" t="s">
        <v>77</v>
      </c>
      <c r="B160">
        <v>24</v>
      </c>
    </row>
    <row r="161" spans="1:4" x14ac:dyDescent="0.25">
      <c r="A161" s="5" t="s">
        <v>81</v>
      </c>
      <c r="B161">
        <v>18</v>
      </c>
    </row>
    <row r="162" spans="1:4" x14ac:dyDescent="0.25">
      <c r="A162" s="5" t="s">
        <v>70</v>
      </c>
      <c r="B162">
        <v>21</v>
      </c>
    </row>
    <row r="163" spans="1:4" x14ac:dyDescent="0.25">
      <c r="A163" s="5" t="s">
        <v>60</v>
      </c>
      <c r="B163">
        <v>18</v>
      </c>
    </row>
    <row r="164" spans="1:4" x14ac:dyDescent="0.25">
      <c r="A164" s="5" t="s">
        <v>64</v>
      </c>
      <c r="B164">
        <v>27</v>
      </c>
    </row>
    <row r="165" spans="1:4" x14ac:dyDescent="0.25">
      <c r="A165" s="5" t="s">
        <v>82</v>
      </c>
      <c r="B165">
        <v>27</v>
      </c>
    </row>
    <row r="166" spans="1:4" x14ac:dyDescent="0.25">
      <c r="A166" s="5" t="s">
        <v>35</v>
      </c>
      <c r="B166">
        <v>200</v>
      </c>
    </row>
    <row r="170" spans="1:4" x14ac:dyDescent="0.25">
      <c r="A170" s="4" t="s">
        <v>152</v>
      </c>
      <c r="B170" s="4" t="s">
        <v>149</v>
      </c>
    </row>
    <row r="171" spans="1:4" x14ac:dyDescent="0.25">
      <c r="A171" s="4" t="s">
        <v>34</v>
      </c>
      <c r="B171" t="s">
        <v>137</v>
      </c>
      <c r="C171" t="s">
        <v>142</v>
      </c>
      <c r="D171" t="s">
        <v>35</v>
      </c>
    </row>
    <row r="172" spans="1:4" x14ac:dyDescent="0.25">
      <c r="A172" s="5" t="s">
        <v>67</v>
      </c>
      <c r="B172">
        <v>10</v>
      </c>
      <c r="C172">
        <v>14</v>
      </c>
      <c r="D172">
        <v>24</v>
      </c>
    </row>
    <row r="173" spans="1:4" x14ac:dyDescent="0.25">
      <c r="A173" s="5" t="s">
        <v>89</v>
      </c>
      <c r="B173">
        <v>9</v>
      </c>
      <c r="C173">
        <v>14</v>
      </c>
      <c r="D173">
        <v>23</v>
      </c>
    </row>
    <row r="174" spans="1:4" x14ac:dyDescent="0.25">
      <c r="A174" s="5" t="s">
        <v>85</v>
      </c>
      <c r="B174">
        <v>8</v>
      </c>
      <c r="C174">
        <v>10</v>
      </c>
      <c r="D174">
        <v>18</v>
      </c>
    </row>
    <row r="175" spans="1:4" x14ac:dyDescent="0.25">
      <c r="A175" s="5" t="s">
        <v>77</v>
      </c>
      <c r="B175">
        <v>10</v>
      </c>
      <c r="C175">
        <v>14</v>
      </c>
      <c r="D175">
        <v>24</v>
      </c>
    </row>
    <row r="176" spans="1:4" x14ac:dyDescent="0.25">
      <c r="A176" s="5" t="s">
        <v>81</v>
      </c>
      <c r="B176">
        <v>12</v>
      </c>
      <c r="C176">
        <v>6</v>
      </c>
      <c r="D176">
        <v>18</v>
      </c>
    </row>
    <row r="177" spans="1:4" x14ac:dyDescent="0.25">
      <c r="A177" s="5" t="s">
        <v>70</v>
      </c>
      <c r="B177">
        <v>10</v>
      </c>
      <c r="C177">
        <v>11</v>
      </c>
      <c r="D177">
        <v>21</v>
      </c>
    </row>
    <row r="178" spans="1:4" x14ac:dyDescent="0.25">
      <c r="A178" s="5" t="s">
        <v>60</v>
      </c>
      <c r="B178">
        <v>7</v>
      </c>
      <c r="C178">
        <v>11</v>
      </c>
      <c r="D178">
        <v>18</v>
      </c>
    </row>
    <row r="179" spans="1:4" x14ac:dyDescent="0.25">
      <c r="A179" s="5" t="s">
        <v>64</v>
      </c>
      <c r="B179">
        <v>11</v>
      </c>
      <c r="C179">
        <v>16</v>
      </c>
      <c r="D179">
        <v>27</v>
      </c>
    </row>
    <row r="180" spans="1:4" x14ac:dyDescent="0.25">
      <c r="A180" s="5" t="s">
        <v>82</v>
      </c>
      <c r="B180">
        <v>11</v>
      </c>
      <c r="C180">
        <v>16</v>
      </c>
      <c r="D180">
        <v>27</v>
      </c>
    </row>
    <row r="181" spans="1:4" x14ac:dyDescent="0.25">
      <c r="A181" s="5" t="s">
        <v>35</v>
      </c>
      <c r="B181">
        <v>88</v>
      </c>
      <c r="C181">
        <v>112</v>
      </c>
      <c r="D181">
        <v>200</v>
      </c>
    </row>
  </sheetData>
  <pageMargins left="0.511811024" right="0.511811024" top="0.78740157499999996" bottom="0.78740157499999996" header="0.31496062000000002" footer="0.31496062000000002"/>
  <drawing r:id="rId10"/>
  <tableParts count="1">
    <tablePart r:id="rId11"/>
  </tableParts>
  <extLst>
    <ext xmlns:x14="http://schemas.microsoft.com/office/spreadsheetml/2009/9/main" uri="{A8765BA9-456A-4dab-B4F3-ACF838C121DE}">
      <x14:slicerList>
        <x14:slicer r:id="rId12"/>
      </x14:slicerList>
    </ext>
    <ext xmlns:x15="http://schemas.microsoft.com/office/spreadsheetml/2010/11/main" uri="{7E03D99C-DC04-49d9-9315-930204A7B6E9}">
      <x15:timelineRefs>
        <x15:timelineRef r:id="rId13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31A7-9EC7-4941-9DE8-729F43CCFDEB}">
  <dimension ref="A1:J201"/>
  <sheetViews>
    <sheetView workbookViewId="0">
      <selection activeCell="J3" sqref="J3"/>
    </sheetView>
  </sheetViews>
  <sheetFormatPr defaultRowHeight="15" x14ac:dyDescent="0.25"/>
  <cols>
    <col min="2" max="2" width="19.42578125" bestFit="1" customWidth="1"/>
    <col min="3" max="3" width="13.140625" bestFit="1" customWidth="1"/>
    <col min="5" max="5" width="12.5703125" bestFit="1" customWidth="1"/>
    <col min="6" max="6" width="11.42578125" bestFit="1" customWidth="1"/>
    <col min="7" max="7" width="10.42578125" bestFit="1" customWidth="1"/>
    <col min="8" max="8" width="11.42578125" bestFit="1" customWidth="1"/>
    <col min="9" max="9" width="9.42578125" customWidth="1"/>
    <col min="10" max="10" width="14.42578125" bestFit="1" customWidth="1"/>
  </cols>
  <sheetData>
    <row r="1" spans="1:10" x14ac:dyDescent="0.25">
      <c r="A1" t="s">
        <v>0</v>
      </c>
      <c r="B1" t="s">
        <v>90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91</v>
      </c>
      <c r="I1" t="s">
        <v>92</v>
      </c>
      <c r="J1" t="s">
        <v>33</v>
      </c>
    </row>
    <row r="2" spans="1:10" x14ac:dyDescent="0.25">
      <c r="A2">
        <v>1</v>
      </c>
      <c r="B2" t="s">
        <v>93</v>
      </c>
      <c r="C2">
        <v>350</v>
      </c>
      <c r="D2" t="s">
        <v>94</v>
      </c>
      <c r="E2" t="s">
        <v>95</v>
      </c>
      <c r="F2" t="s">
        <v>31</v>
      </c>
      <c r="G2" s="1">
        <v>45238</v>
      </c>
      <c r="H2" s="6">
        <v>3000</v>
      </c>
      <c r="I2" t="s">
        <v>96</v>
      </c>
      <c r="J2" s="6">
        <f>Tabela18[[#This Row],[Quantidade]]*Tabela18[[#This Row],[ValorUnit]]</f>
        <v>1050000</v>
      </c>
    </row>
    <row r="3" spans="1:10" x14ac:dyDescent="0.25">
      <c r="A3">
        <v>2</v>
      </c>
      <c r="B3" t="s">
        <v>97</v>
      </c>
      <c r="C3">
        <v>250</v>
      </c>
      <c r="D3" t="s">
        <v>98</v>
      </c>
      <c r="E3" t="s">
        <v>99</v>
      </c>
      <c r="F3" t="s">
        <v>31</v>
      </c>
      <c r="G3" s="1">
        <v>44592</v>
      </c>
      <c r="H3" s="6">
        <v>1000</v>
      </c>
      <c r="I3" t="s">
        <v>100</v>
      </c>
      <c r="J3" s="6">
        <f>Tabela18[[#This Row],[Quantidade]]*Tabela18[[#This Row],[ValorUnit]]</f>
        <v>250000</v>
      </c>
    </row>
    <row r="4" spans="1:10" x14ac:dyDescent="0.25">
      <c r="A4">
        <v>3</v>
      </c>
      <c r="B4" t="s">
        <v>101</v>
      </c>
      <c r="C4">
        <v>450</v>
      </c>
      <c r="D4" t="s">
        <v>102</v>
      </c>
      <c r="E4" t="s">
        <v>95</v>
      </c>
      <c r="F4" t="s">
        <v>10</v>
      </c>
      <c r="G4" s="1">
        <v>44966</v>
      </c>
      <c r="H4" s="6">
        <v>2000</v>
      </c>
      <c r="I4" t="s">
        <v>96</v>
      </c>
      <c r="J4" s="6">
        <f>Tabela18[[#This Row],[Quantidade]]*Tabela18[[#This Row],[ValorUnit]]</f>
        <v>900000</v>
      </c>
    </row>
    <row r="5" spans="1:10" x14ac:dyDescent="0.25">
      <c r="A5">
        <v>4</v>
      </c>
      <c r="B5" t="s">
        <v>93</v>
      </c>
      <c r="C5">
        <v>150</v>
      </c>
      <c r="D5" t="s">
        <v>94</v>
      </c>
      <c r="E5" t="s">
        <v>103</v>
      </c>
      <c r="F5" t="s">
        <v>31</v>
      </c>
      <c r="G5" s="1">
        <v>44568</v>
      </c>
      <c r="H5" s="6">
        <v>3000</v>
      </c>
      <c r="I5" t="s">
        <v>96</v>
      </c>
      <c r="J5" s="6">
        <f>Tabela18[[#This Row],[Quantidade]]*Tabela18[[#This Row],[ValorUnit]]</f>
        <v>450000</v>
      </c>
    </row>
    <row r="6" spans="1:10" x14ac:dyDescent="0.25">
      <c r="A6">
        <v>5</v>
      </c>
      <c r="B6" t="s">
        <v>104</v>
      </c>
      <c r="C6">
        <v>50</v>
      </c>
      <c r="D6" t="s">
        <v>105</v>
      </c>
      <c r="E6" t="s">
        <v>99</v>
      </c>
      <c r="F6" t="s">
        <v>106</v>
      </c>
      <c r="G6" s="1">
        <v>44973</v>
      </c>
      <c r="H6" s="6">
        <v>800</v>
      </c>
      <c r="I6" t="s">
        <v>96</v>
      </c>
      <c r="J6" s="6">
        <f>Tabela18[[#This Row],[Quantidade]]*Tabela18[[#This Row],[ValorUnit]]</f>
        <v>40000</v>
      </c>
    </row>
    <row r="7" spans="1:10" x14ac:dyDescent="0.25">
      <c r="A7">
        <v>6</v>
      </c>
      <c r="B7" t="s">
        <v>101</v>
      </c>
      <c r="C7">
        <v>50</v>
      </c>
      <c r="D7" t="s">
        <v>102</v>
      </c>
      <c r="E7" t="s">
        <v>95</v>
      </c>
      <c r="F7" t="s">
        <v>107</v>
      </c>
      <c r="G7" s="1">
        <v>44952</v>
      </c>
      <c r="H7" s="6">
        <v>2000</v>
      </c>
      <c r="I7" t="s">
        <v>96</v>
      </c>
      <c r="J7" s="6">
        <f>Tabela18[[#This Row],[Quantidade]]*Tabela18[[#This Row],[ValorUnit]]</f>
        <v>100000</v>
      </c>
    </row>
    <row r="8" spans="1:10" x14ac:dyDescent="0.25">
      <c r="A8">
        <v>7</v>
      </c>
      <c r="B8" t="s">
        <v>108</v>
      </c>
      <c r="C8">
        <v>150</v>
      </c>
      <c r="D8" t="s">
        <v>109</v>
      </c>
      <c r="E8" t="s">
        <v>110</v>
      </c>
      <c r="F8" t="s">
        <v>106</v>
      </c>
      <c r="G8" s="1">
        <v>45075</v>
      </c>
      <c r="H8" s="6">
        <v>3500</v>
      </c>
      <c r="I8" t="s">
        <v>100</v>
      </c>
      <c r="J8" s="6">
        <f>Tabela18[[#This Row],[Quantidade]]*Tabela18[[#This Row],[ValorUnit]]</f>
        <v>525000</v>
      </c>
    </row>
    <row r="9" spans="1:10" x14ac:dyDescent="0.25">
      <c r="A9">
        <v>8</v>
      </c>
      <c r="B9" t="s">
        <v>108</v>
      </c>
      <c r="C9">
        <v>500</v>
      </c>
      <c r="D9" t="s">
        <v>109</v>
      </c>
      <c r="E9" t="s">
        <v>110</v>
      </c>
      <c r="F9" t="s">
        <v>10</v>
      </c>
      <c r="G9" s="1">
        <v>45105</v>
      </c>
      <c r="H9" s="6">
        <v>3500</v>
      </c>
      <c r="I9" t="s">
        <v>100</v>
      </c>
      <c r="J9" s="6">
        <f>Tabela18[[#This Row],[Quantidade]]*Tabela18[[#This Row],[ValorUnit]]</f>
        <v>1750000</v>
      </c>
    </row>
    <row r="10" spans="1:10" x14ac:dyDescent="0.25">
      <c r="A10">
        <v>9</v>
      </c>
      <c r="B10" t="s">
        <v>111</v>
      </c>
      <c r="C10">
        <v>100</v>
      </c>
      <c r="D10" t="s">
        <v>112</v>
      </c>
      <c r="E10" t="s">
        <v>103</v>
      </c>
      <c r="F10" t="s">
        <v>31</v>
      </c>
      <c r="G10" s="1">
        <v>45102</v>
      </c>
      <c r="H10" s="6">
        <v>500</v>
      </c>
      <c r="I10" t="s">
        <v>113</v>
      </c>
      <c r="J10" s="6">
        <f>Tabela18[[#This Row],[Quantidade]]*Tabela18[[#This Row],[ValorUnit]]</f>
        <v>50000</v>
      </c>
    </row>
    <row r="11" spans="1:10" x14ac:dyDescent="0.25">
      <c r="A11">
        <v>10</v>
      </c>
      <c r="B11" t="s">
        <v>104</v>
      </c>
      <c r="C11">
        <v>50</v>
      </c>
      <c r="D11" t="s">
        <v>105</v>
      </c>
      <c r="E11" t="s">
        <v>110</v>
      </c>
      <c r="F11" t="s">
        <v>10</v>
      </c>
      <c r="G11" s="1">
        <v>44772</v>
      </c>
      <c r="H11" s="6">
        <v>800</v>
      </c>
      <c r="I11" t="s">
        <v>96</v>
      </c>
      <c r="J11" s="6">
        <f>Tabela18[[#This Row],[Quantidade]]*Tabela18[[#This Row],[ValorUnit]]</f>
        <v>40000</v>
      </c>
    </row>
    <row r="12" spans="1:10" x14ac:dyDescent="0.25">
      <c r="A12">
        <v>11</v>
      </c>
      <c r="B12" t="s">
        <v>101</v>
      </c>
      <c r="C12">
        <v>150</v>
      </c>
      <c r="D12" t="s">
        <v>102</v>
      </c>
      <c r="E12" t="s">
        <v>110</v>
      </c>
      <c r="F12" t="s">
        <v>106</v>
      </c>
      <c r="G12" s="1">
        <v>44930</v>
      </c>
      <c r="H12" s="6">
        <v>2000</v>
      </c>
      <c r="I12" t="s">
        <v>96</v>
      </c>
      <c r="J12" s="6">
        <f>Tabela18[[#This Row],[Quantidade]]*Tabela18[[#This Row],[ValorUnit]]</f>
        <v>300000</v>
      </c>
    </row>
    <row r="13" spans="1:10" x14ac:dyDescent="0.25">
      <c r="A13">
        <v>12</v>
      </c>
      <c r="B13" t="s">
        <v>114</v>
      </c>
      <c r="C13">
        <v>100</v>
      </c>
      <c r="D13" t="s">
        <v>115</v>
      </c>
      <c r="E13" t="s">
        <v>95</v>
      </c>
      <c r="F13" t="s">
        <v>106</v>
      </c>
      <c r="G13" s="1">
        <v>45251</v>
      </c>
      <c r="H13" s="6">
        <v>500</v>
      </c>
      <c r="I13" t="s">
        <v>116</v>
      </c>
      <c r="J13" s="6">
        <f>Tabela18[[#This Row],[Quantidade]]*Tabela18[[#This Row],[ValorUnit]]</f>
        <v>50000</v>
      </c>
    </row>
    <row r="14" spans="1:10" x14ac:dyDescent="0.25">
      <c r="A14">
        <v>13</v>
      </c>
      <c r="B14" t="s">
        <v>101</v>
      </c>
      <c r="C14">
        <v>350</v>
      </c>
      <c r="D14" t="s">
        <v>102</v>
      </c>
      <c r="E14" t="s">
        <v>110</v>
      </c>
      <c r="F14" t="s">
        <v>31</v>
      </c>
      <c r="G14" s="1">
        <v>44979</v>
      </c>
      <c r="H14" s="6">
        <v>2000</v>
      </c>
      <c r="I14" t="s">
        <v>96</v>
      </c>
      <c r="J14" s="6">
        <f>Tabela18[[#This Row],[Quantidade]]*Tabela18[[#This Row],[ValorUnit]]</f>
        <v>700000</v>
      </c>
    </row>
    <row r="15" spans="1:10" x14ac:dyDescent="0.25">
      <c r="A15">
        <v>14</v>
      </c>
      <c r="B15" t="s">
        <v>108</v>
      </c>
      <c r="C15">
        <v>250</v>
      </c>
      <c r="D15" t="s">
        <v>109</v>
      </c>
      <c r="E15" t="s">
        <v>99</v>
      </c>
      <c r="F15" t="s">
        <v>31</v>
      </c>
      <c r="G15" s="1">
        <v>45102</v>
      </c>
      <c r="H15" s="6">
        <v>3500</v>
      </c>
      <c r="I15" t="s">
        <v>100</v>
      </c>
      <c r="J15" s="6">
        <f>Tabela18[[#This Row],[Quantidade]]*Tabela18[[#This Row],[ValorUnit]]</f>
        <v>875000</v>
      </c>
    </row>
    <row r="16" spans="1:10" x14ac:dyDescent="0.25">
      <c r="A16">
        <v>15</v>
      </c>
      <c r="B16" t="s">
        <v>108</v>
      </c>
      <c r="C16">
        <v>350</v>
      </c>
      <c r="D16" t="s">
        <v>109</v>
      </c>
      <c r="E16" t="s">
        <v>99</v>
      </c>
      <c r="F16" t="s">
        <v>106</v>
      </c>
      <c r="G16" s="1">
        <v>44796</v>
      </c>
      <c r="H16" s="6">
        <v>3500</v>
      </c>
      <c r="I16" t="s">
        <v>100</v>
      </c>
      <c r="J16" s="6">
        <f>Tabela18[[#This Row],[Quantidade]]*Tabela18[[#This Row],[ValorUnit]]</f>
        <v>1225000</v>
      </c>
    </row>
    <row r="17" spans="1:10" x14ac:dyDescent="0.25">
      <c r="A17">
        <v>16</v>
      </c>
      <c r="B17" t="s">
        <v>97</v>
      </c>
      <c r="C17">
        <v>400</v>
      </c>
      <c r="D17" t="s">
        <v>98</v>
      </c>
      <c r="E17" t="s">
        <v>110</v>
      </c>
      <c r="F17" t="s">
        <v>10</v>
      </c>
      <c r="G17" s="1">
        <v>45137</v>
      </c>
      <c r="H17" s="6">
        <v>1000</v>
      </c>
      <c r="I17" t="s">
        <v>100</v>
      </c>
      <c r="J17" s="6">
        <f>Tabela18[[#This Row],[Quantidade]]*Tabela18[[#This Row],[ValorUnit]]</f>
        <v>400000</v>
      </c>
    </row>
    <row r="18" spans="1:10" x14ac:dyDescent="0.25">
      <c r="A18">
        <v>17</v>
      </c>
      <c r="B18" t="s">
        <v>97</v>
      </c>
      <c r="C18">
        <v>100</v>
      </c>
      <c r="D18" t="s">
        <v>98</v>
      </c>
      <c r="E18" t="s">
        <v>110</v>
      </c>
      <c r="F18" t="s">
        <v>31</v>
      </c>
      <c r="G18" s="1">
        <v>45157</v>
      </c>
      <c r="H18" s="6">
        <v>1000</v>
      </c>
      <c r="I18" t="s">
        <v>100</v>
      </c>
      <c r="J18" s="6">
        <f>Tabela18[[#This Row],[Quantidade]]*Tabela18[[#This Row],[ValorUnit]]</f>
        <v>100000</v>
      </c>
    </row>
    <row r="19" spans="1:10" x14ac:dyDescent="0.25">
      <c r="A19">
        <v>18</v>
      </c>
      <c r="B19" t="s">
        <v>114</v>
      </c>
      <c r="C19">
        <v>150</v>
      </c>
      <c r="D19" t="s">
        <v>115</v>
      </c>
      <c r="E19" t="s">
        <v>110</v>
      </c>
      <c r="F19" t="s">
        <v>107</v>
      </c>
      <c r="G19" s="1">
        <v>44690</v>
      </c>
      <c r="H19" s="6">
        <v>500</v>
      </c>
      <c r="I19" t="s">
        <v>116</v>
      </c>
      <c r="J19" s="6">
        <f>Tabela18[[#This Row],[Quantidade]]*Tabela18[[#This Row],[ValorUnit]]</f>
        <v>75000</v>
      </c>
    </row>
    <row r="20" spans="1:10" x14ac:dyDescent="0.25">
      <c r="A20">
        <v>19</v>
      </c>
      <c r="B20" t="s">
        <v>117</v>
      </c>
      <c r="C20">
        <v>100</v>
      </c>
      <c r="D20" t="s">
        <v>118</v>
      </c>
      <c r="E20" t="s">
        <v>99</v>
      </c>
      <c r="F20" t="s">
        <v>10</v>
      </c>
      <c r="G20" s="1">
        <v>45037</v>
      </c>
      <c r="H20" s="6">
        <v>1500</v>
      </c>
      <c r="I20" t="s">
        <v>113</v>
      </c>
      <c r="J20" s="6">
        <f>Tabela18[[#This Row],[Quantidade]]*Tabela18[[#This Row],[ValorUnit]]</f>
        <v>150000</v>
      </c>
    </row>
    <row r="21" spans="1:10" x14ac:dyDescent="0.25">
      <c r="A21">
        <v>20</v>
      </c>
      <c r="B21" t="s">
        <v>108</v>
      </c>
      <c r="C21">
        <v>500</v>
      </c>
      <c r="D21" t="s">
        <v>109</v>
      </c>
      <c r="E21" t="s">
        <v>95</v>
      </c>
      <c r="F21" t="s">
        <v>106</v>
      </c>
      <c r="G21" s="1">
        <v>45257</v>
      </c>
      <c r="H21" s="6">
        <v>3500</v>
      </c>
      <c r="I21" t="s">
        <v>100</v>
      </c>
      <c r="J21" s="6">
        <f>Tabela18[[#This Row],[Quantidade]]*Tabela18[[#This Row],[ValorUnit]]</f>
        <v>1750000</v>
      </c>
    </row>
    <row r="22" spans="1:10" x14ac:dyDescent="0.25">
      <c r="A22">
        <v>21</v>
      </c>
      <c r="B22" t="s">
        <v>114</v>
      </c>
      <c r="C22">
        <v>350</v>
      </c>
      <c r="D22" t="s">
        <v>115</v>
      </c>
      <c r="E22" t="s">
        <v>110</v>
      </c>
      <c r="F22" t="s">
        <v>10</v>
      </c>
      <c r="G22" s="1">
        <v>45076</v>
      </c>
      <c r="H22" s="6">
        <v>500</v>
      </c>
      <c r="I22" t="s">
        <v>116</v>
      </c>
      <c r="J22" s="6">
        <f>Tabela18[[#This Row],[Quantidade]]*Tabela18[[#This Row],[ValorUnit]]</f>
        <v>175000</v>
      </c>
    </row>
    <row r="23" spans="1:10" x14ac:dyDescent="0.25">
      <c r="A23">
        <v>22</v>
      </c>
      <c r="B23" t="s">
        <v>101</v>
      </c>
      <c r="C23">
        <v>150</v>
      </c>
      <c r="D23" t="s">
        <v>102</v>
      </c>
      <c r="E23" t="s">
        <v>110</v>
      </c>
      <c r="F23" t="s">
        <v>106</v>
      </c>
      <c r="G23" s="1">
        <v>44564</v>
      </c>
      <c r="H23" s="6">
        <v>2000</v>
      </c>
      <c r="I23" t="s">
        <v>96</v>
      </c>
      <c r="J23" s="6">
        <f>Tabela18[[#This Row],[Quantidade]]*Tabela18[[#This Row],[ValorUnit]]</f>
        <v>300000</v>
      </c>
    </row>
    <row r="24" spans="1:10" x14ac:dyDescent="0.25">
      <c r="A24">
        <v>23</v>
      </c>
      <c r="B24" t="s">
        <v>97</v>
      </c>
      <c r="C24">
        <v>200</v>
      </c>
      <c r="D24" t="s">
        <v>98</v>
      </c>
      <c r="E24" t="s">
        <v>99</v>
      </c>
      <c r="F24" t="s">
        <v>107</v>
      </c>
      <c r="G24" s="1">
        <v>45244</v>
      </c>
      <c r="H24" s="6">
        <v>1000</v>
      </c>
      <c r="I24" t="s">
        <v>100</v>
      </c>
      <c r="J24" s="6">
        <f>Tabela18[[#This Row],[Quantidade]]*Tabela18[[#This Row],[ValorUnit]]</f>
        <v>200000</v>
      </c>
    </row>
    <row r="25" spans="1:10" x14ac:dyDescent="0.25">
      <c r="A25">
        <v>24</v>
      </c>
      <c r="B25" t="s">
        <v>108</v>
      </c>
      <c r="C25">
        <v>200</v>
      </c>
      <c r="D25" t="s">
        <v>109</v>
      </c>
      <c r="E25" t="s">
        <v>110</v>
      </c>
      <c r="F25" t="s">
        <v>10</v>
      </c>
      <c r="G25" s="1">
        <v>44583</v>
      </c>
      <c r="H25" s="6">
        <v>3500</v>
      </c>
      <c r="I25" t="s">
        <v>100</v>
      </c>
      <c r="J25" s="6">
        <f>Tabela18[[#This Row],[Quantidade]]*Tabela18[[#This Row],[ValorUnit]]</f>
        <v>700000</v>
      </c>
    </row>
    <row r="26" spans="1:10" x14ac:dyDescent="0.25">
      <c r="A26">
        <v>25</v>
      </c>
      <c r="B26" t="s">
        <v>93</v>
      </c>
      <c r="C26">
        <v>450</v>
      </c>
      <c r="D26" t="s">
        <v>94</v>
      </c>
      <c r="E26" t="s">
        <v>99</v>
      </c>
      <c r="F26" t="s">
        <v>10</v>
      </c>
      <c r="G26" s="1">
        <v>45239</v>
      </c>
      <c r="H26" s="6">
        <v>3000</v>
      </c>
      <c r="I26" t="s">
        <v>96</v>
      </c>
      <c r="J26" s="6">
        <f>Tabela18[[#This Row],[Quantidade]]*Tabela18[[#This Row],[ValorUnit]]</f>
        <v>1350000</v>
      </c>
    </row>
    <row r="27" spans="1:10" x14ac:dyDescent="0.25">
      <c r="A27">
        <v>26</v>
      </c>
      <c r="B27" t="s">
        <v>111</v>
      </c>
      <c r="C27">
        <v>300</v>
      </c>
      <c r="D27" t="s">
        <v>112</v>
      </c>
      <c r="E27" t="s">
        <v>95</v>
      </c>
      <c r="F27" t="s">
        <v>107</v>
      </c>
      <c r="G27" s="1">
        <v>44958</v>
      </c>
      <c r="H27" s="6">
        <v>500</v>
      </c>
      <c r="I27" t="s">
        <v>113</v>
      </c>
      <c r="J27" s="6">
        <f>Tabela18[[#This Row],[Quantidade]]*Tabela18[[#This Row],[ValorUnit]]</f>
        <v>150000</v>
      </c>
    </row>
    <row r="28" spans="1:10" x14ac:dyDescent="0.25">
      <c r="A28">
        <v>27</v>
      </c>
      <c r="B28" t="s">
        <v>108</v>
      </c>
      <c r="C28">
        <v>500</v>
      </c>
      <c r="D28" t="s">
        <v>109</v>
      </c>
      <c r="E28" t="s">
        <v>103</v>
      </c>
      <c r="F28" t="s">
        <v>10</v>
      </c>
      <c r="G28" s="1">
        <v>44783</v>
      </c>
      <c r="H28" s="6">
        <v>3500</v>
      </c>
      <c r="I28" t="s">
        <v>100</v>
      </c>
      <c r="J28" s="6">
        <f>Tabela18[[#This Row],[Quantidade]]*Tabela18[[#This Row],[ValorUnit]]</f>
        <v>1750000</v>
      </c>
    </row>
    <row r="29" spans="1:10" x14ac:dyDescent="0.25">
      <c r="A29">
        <v>28</v>
      </c>
      <c r="B29" t="s">
        <v>97</v>
      </c>
      <c r="C29">
        <v>300</v>
      </c>
      <c r="D29" t="s">
        <v>98</v>
      </c>
      <c r="E29" t="s">
        <v>95</v>
      </c>
      <c r="F29" t="s">
        <v>31</v>
      </c>
      <c r="G29" s="1">
        <v>45238</v>
      </c>
      <c r="H29" s="6">
        <v>1000</v>
      </c>
      <c r="I29" t="s">
        <v>100</v>
      </c>
      <c r="J29" s="6">
        <f>Tabela18[[#This Row],[Quantidade]]*Tabela18[[#This Row],[ValorUnit]]</f>
        <v>300000</v>
      </c>
    </row>
    <row r="30" spans="1:10" x14ac:dyDescent="0.25">
      <c r="A30">
        <v>29</v>
      </c>
      <c r="B30" t="s">
        <v>108</v>
      </c>
      <c r="C30">
        <v>450</v>
      </c>
      <c r="D30" t="s">
        <v>109</v>
      </c>
      <c r="E30" t="s">
        <v>110</v>
      </c>
      <c r="F30" t="s">
        <v>107</v>
      </c>
      <c r="G30" s="1">
        <v>44951</v>
      </c>
      <c r="H30" s="6">
        <v>3500</v>
      </c>
      <c r="I30" t="s">
        <v>100</v>
      </c>
      <c r="J30" s="6">
        <f>Tabela18[[#This Row],[Quantidade]]*Tabela18[[#This Row],[ValorUnit]]</f>
        <v>1575000</v>
      </c>
    </row>
    <row r="31" spans="1:10" x14ac:dyDescent="0.25">
      <c r="A31">
        <v>30</v>
      </c>
      <c r="B31" t="s">
        <v>93</v>
      </c>
      <c r="C31">
        <v>350</v>
      </c>
      <c r="D31" t="s">
        <v>94</v>
      </c>
      <c r="E31" t="s">
        <v>95</v>
      </c>
      <c r="F31" t="s">
        <v>106</v>
      </c>
      <c r="G31" s="1">
        <v>44625</v>
      </c>
      <c r="H31" s="6">
        <v>3000</v>
      </c>
      <c r="I31" t="s">
        <v>96</v>
      </c>
      <c r="J31" s="6">
        <f>Tabela18[[#This Row],[Quantidade]]*Tabela18[[#This Row],[ValorUnit]]</f>
        <v>1050000</v>
      </c>
    </row>
    <row r="32" spans="1:10" x14ac:dyDescent="0.25">
      <c r="A32">
        <v>31</v>
      </c>
      <c r="B32" t="s">
        <v>108</v>
      </c>
      <c r="C32">
        <v>150</v>
      </c>
      <c r="D32" t="s">
        <v>109</v>
      </c>
      <c r="E32" t="s">
        <v>99</v>
      </c>
      <c r="F32" t="s">
        <v>10</v>
      </c>
      <c r="G32" s="1">
        <v>44900</v>
      </c>
      <c r="H32" s="6">
        <v>3500</v>
      </c>
      <c r="I32" t="s">
        <v>100</v>
      </c>
      <c r="J32" s="6">
        <f>Tabela18[[#This Row],[Quantidade]]*Tabela18[[#This Row],[ValorUnit]]</f>
        <v>525000</v>
      </c>
    </row>
    <row r="33" spans="1:10" x14ac:dyDescent="0.25">
      <c r="A33">
        <v>32</v>
      </c>
      <c r="B33" t="s">
        <v>108</v>
      </c>
      <c r="C33">
        <v>350</v>
      </c>
      <c r="D33" t="s">
        <v>109</v>
      </c>
      <c r="E33" t="s">
        <v>103</v>
      </c>
      <c r="F33" t="s">
        <v>10</v>
      </c>
      <c r="G33" s="1">
        <v>44904</v>
      </c>
      <c r="H33" s="6">
        <v>3500</v>
      </c>
      <c r="I33" t="s">
        <v>100</v>
      </c>
      <c r="J33" s="6">
        <f>Tabela18[[#This Row],[Quantidade]]*Tabela18[[#This Row],[ValorUnit]]</f>
        <v>1225000</v>
      </c>
    </row>
    <row r="34" spans="1:10" x14ac:dyDescent="0.25">
      <c r="A34">
        <v>33</v>
      </c>
      <c r="B34" t="s">
        <v>97</v>
      </c>
      <c r="C34">
        <v>250</v>
      </c>
      <c r="D34" t="s">
        <v>98</v>
      </c>
      <c r="E34" t="s">
        <v>99</v>
      </c>
      <c r="F34" t="s">
        <v>31</v>
      </c>
      <c r="G34" s="1">
        <v>45042</v>
      </c>
      <c r="H34" s="6">
        <v>1000</v>
      </c>
      <c r="I34" t="s">
        <v>100</v>
      </c>
      <c r="J34" s="6">
        <f>Tabela18[[#This Row],[Quantidade]]*Tabela18[[#This Row],[ValorUnit]]</f>
        <v>250000</v>
      </c>
    </row>
    <row r="35" spans="1:10" x14ac:dyDescent="0.25">
      <c r="A35">
        <v>34</v>
      </c>
      <c r="B35" t="s">
        <v>97</v>
      </c>
      <c r="C35">
        <v>250</v>
      </c>
      <c r="D35" t="s">
        <v>98</v>
      </c>
      <c r="E35" t="s">
        <v>95</v>
      </c>
      <c r="F35" t="s">
        <v>107</v>
      </c>
      <c r="G35" s="1">
        <v>45268</v>
      </c>
      <c r="H35" s="6">
        <v>1000</v>
      </c>
      <c r="I35" t="s">
        <v>100</v>
      </c>
      <c r="J35" s="6">
        <f>Tabela18[[#This Row],[Quantidade]]*Tabela18[[#This Row],[ValorUnit]]</f>
        <v>250000</v>
      </c>
    </row>
    <row r="36" spans="1:10" x14ac:dyDescent="0.25">
      <c r="A36">
        <v>35</v>
      </c>
      <c r="B36" t="s">
        <v>114</v>
      </c>
      <c r="C36">
        <v>450</v>
      </c>
      <c r="D36" t="s">
        <v>115</v>
      </c>
      <c r="E36" t="s">
        <v>99</v>
      </c>
      <c r="F36" t="s">
        <v>10</v>
      </c>
      <c r="G36" s="1">
        <v>44796</v>
      </c>
      <c r="H36" s="6">
        <v>500</v>
      </c>
      <c r="I36" t="s">
        <v>116</v>
      </c>
      <c r="J36" s="6">
        <f>Tabela18[[#This Row],[Quantidade]]*Tabela18[[#This Row],[ValorUnit]]</f>
        <v>225000</v>
      </c>
    </row>
    <row r="37" spans="1:10" x14ac:dyDescent="0.25">
      <c r="A37">
        <v>36</v>
      </c>
      <c r="B37" t="s">
        <v>108</v>
      </c>
      <c r="C37">
        <v>450</v>
      </c>
      <c r="D37" t="s">
        <v>109</v>
      </c>
      <c r="E37" t="s">
        <v>103</v>
      </c>
      <c r="F37" t="s">
        <v>10</v>
      </c>
      <c r="G37" s="1">
        <v>44670</v>
      </c>
      <c r="H37" s="6">
        <v>3500</v>
      </c>
      <c r="I37" t="s">
        <v>100</v>
      </c>
      <c r="J37" s="6">
        <f>Tabela18[[#This Row],[Quantidade]]*Tabela18[[#This Row],[ValorUnit]]</f>
        <v>1575000</v>
      </c>
    </row>
    <row r="38" spans="1:10" x14ac:dyDescent="0.25">
      <c r="A38">
        <v>37</v>
      </c>
      <c r="B38" t="s">
        <v>101</v>
      </c>
      <c r="C38">
        <v>300</v>
      </c>
      <c r="D38" t="s">
        <v>102</v>
      </c>
      <c r="E38" t="s">
        <v>110</v>
      </c>
      <c r="F38" t="s">
        <v>10</v>
      </c>
      <c r="G38" s="1">
        <v>45036</v>
      </c>
      <c r="H38" s="6">
        <v>2000</v>
      </c>
      <c r="I38" t="s">
        <v>96</v>
      </c>
      <c r="J38" s="6">
        <f>Tabela18[[#This Row],[Quantidade]]*Tabela18[[#This Row],[ValorUnit]]</f>
        <v>600000</v>
      </c>
    </row>
    <row r="39" spans="1:10" x14ac:dyDescent="0.25">
      <c r="A39">
        <v>38</v>
      </c>
      <c r="B39" t="s">
        <v>114</v>
      </c>
      <c r="C39">
        <v>100</v>
      </c>
      <c r="D39" t="s">
        <v>115</v>
      </c>
      <c r="E39" t="s">
        <v>110</v>
      </c>
      <c r="F39" t="s">
        <v>106</v>
      </c>
      <c r="G39" s="1">
        <v>44641</v>
      </c>
      <c r="H39" s="6">
        <v>500</v>
      </c>
      <c r="I39" t="s">
        <v>116</v>
      </c>
      <c r="J39" s="6">
        <f>Tabela18[[#This Row],[Quantidade]]*Tabela18[[#This Row],[ValorUnit]]</f>
        <v>50000</v>
      </c>
    </row>
    <row r="40" spans="1:10" x14ac:dyDescent="0.25">
      <c r="A40">
        <v>39</v>
      </c>
      <c r="B40" t="s">
        <v>93</v>
      </c>
      <c r="C40">
        <v>300</v>
      </c>
      <c r="D40" t="s">
        <v>94</v>
      </c>
      <c r="E40" t="s">
        <v>110</v>
      </c>
      <c r="F40" t="s">
        <v>106</v>
      </c>
      <c r="G40" s="1">
        <v>44958</v>
      </c>
      <c r="H40" s="6">
        <v>3000</v>
      </c>
      <c r="I40" t="s">
        <v>96</v>
      </c>
      <c r="J40" s="6">
        <f>Tabela18[[#This Row],[Quantidade]]*Tabela18[[#This Row],[ValorUnit]]</f>
        <v>900000</v>
      </c>
    </row>
    <row r="41" spans="1:10" x14ac:dyDescent="0.25">
      <c r="A41">
        <v>40</v>
      </c>
      <c r="B41" t="s">
        <v>108</v>
      </c>
      <c r="C41">
        <v>350</v>
      </c>
      <c r="D41" t="s">
        <v>109</v>
      </c>
      <c r="E41" t="s">
        <v>95</v>
      </c>
      <c r="F41" t="s">
        <v>31</v>
      </c>
      <c r="G41" s="1">
        <v>44785</v>
      </c>
      <c r="H41" s="6">
        <v>3500</v>
      </c>
      <c r="I41" t="s">
        <v>100</v>
      </c>
      <c r="J41" s="6">
        <f>Tabela18[[#This Row],[Quantidade]]*Tabela18[[#This Row],[ValorUnit]]</f>
        <v>1225000</v>
      </c>
    </row>
    <row r="42" spans="1:10" x14ac:dyDescent="0.25">
      <c r="A42">
        <v>41</v>
      </c>
      <c r="B42" t="s">
        <v>104</v>
      </c>
      <c r="C42">
        <v>100</v>
      </c>
      <c r="D42" t="s">
        <v>105</v>
      </c>
      <c r="E42" t="s">
        <v>99</v>
      </c>
      <c r="F42" t="s">
        <v>10</v>
      </c>
      <c r="G42" s="1">
        <v>44958</v>
      </c>
      <c r="H42" s="6">
        <v>800</v>
      </c>
      <c r="I42" t="s">
        <v>96</v>
      </c>
      <c r="J42" s="6">
        <f>Tabela18[[#This Row],[Quantidade]]*Tabela18[[#This Row],[ValorUnit]]</f>
        <v>80000</v>
      </c>
    </row>
    <row r="43" spans="1:10" x14ac:dyDescent="0.25">
      <c r="A43">
        <v>42</v>
      </c>
      <c r="B43" t="s">
        <v>93</v>
      </c>
      <c r="C43">
        <v>200</v>
      </c>
      <c r="D43" t="s">
        <v>94</v>
      </c>
      <c r="E43" t="s">
        <v>95</v>
      </c>
      <c r="F43" t="s">
        <v>107</v>
      </c>
      <c r="G43" s="1">
        <v>45173</v>
      </c>
      <c r="H43" s="6">
        <v>3000</v>
      </c>
      <c r="I43" t="s">
        <v>96</v>
      </c>
      <c r="J43" s="6">
        <f>Tabela18[[#This Row],[Quantidade]]*Tabela18[[#This Row],[ValorUnit]]</f>
        <v>600000</v>
      </c>
    </row>
    <row r="44" spans="1:10" x14ac:dyDescent="0.25">
      <c r="A44">
        <v>43</v>
      </c>
      <c r="B44" t="s">
        <v>119</v>
      </c>
      <c r="C44">
        <v>200</v>
      </c>
      <c r="D44" t="s">
        <v>120</v>
      </c>
      <c r="E44" t="s">
        <v>95</v>
      </c>
      <c r="F44" t="s">
        <v>10</v>
      </c>
      <c r="G44" s="1">
        <v>44974</v>
      </c>
      <c r="H44" s="6">
        <v>300</v>
      </c>
      <c r="I44" t="s">
        <v>116</v>
      </c>
      <c r="J44" s="6">
        <f>Tabela18[[#This Row],[Quantidade]]*Tabela18[[#This Row],[ValorUnit]]</f>
        <v>60000</v>
      </c>
    </row>
    <row r="45" spans="1:10" x14ac:dyDescent="0.25">
      <c r="A45">
        <v>44</v>
      </c>
      <c r="B45" t="s">
        <v>108</v>
      </c>
      <c r="C45">
        <v>200</v>
      </c>
      <c r="D45" t="s">
        <v>109</v>
      </c>
      <c r="E45" t="s">
        <v>95</v>
      </c>
      <c r="F45" t="s">
        <v>31</v>
      </c>
      <c r="G45" s="1">
        <v>44976</v>
      </c>
      <c r="H45" s="6">
        <v>3500</v>
      </c>
      <c r="I45" t="s">
        <v>100</v>
      </c>
      <c r="J45" s="6">
        <f>Tabela18[[#This Row],[Quantidade]]*Tabela18[[#This Row],[ValorUnit]]</f>
        <v>700000</v>
      </c>
    </row>
    <row r="46" spans="1:10" x14ac:dyDescent="0.25">
      <c r="A46">
        <v>45</v>
      </c>
      <c r="B46" t="s">
        <v>108</v>
      </c>
      <c r="C46">
        <v>100</v>
      </c>
      <c r="D46" t="s">
        <v>109</v>
      </c>
      <c r="E46" t="s">
        <v>103</v>
      </c>
      <c r="F46" t="s">
        <v>107</v>
      </c>
      <c r="G46" s="1">
        <v>45139</v>
      </c>
      <c r="H46" s="6">
        <v>3500</v>
      </c>
      <c r="I46" t="s">
        <v>100</v>
      </c>
      <c r="J46" s="6">
        <f>Tabela18[[#This Row],[Quantidade]]*Tabela18[[#This Row],[ValorUnit]]</f>
        <v>350000</v>
      </c>
    </row>
    <row r="47" spans="1:10" x14ac:dyDescent="0.25">
      <c r="A47">
        <v>46</v>
      </c>
      <c r="B47" t="s">
        <v>117</v>
      </c>
      <c r="C47">
        <v>450</v>
      </c>
      <c r="D47" t="s">
        <v>118</v>
      </c>
      <c r="E47" t="s">
        <v>99</v>
      </c>
      <c r="F47" t="s">
        <v>106</v>
      </c>
      <c r="G47" s="1">
        <v>44930</v>
      </c>
      <c r="H47" s="6">
        <v>1500</v>
      </c>
      <c r="I47" t="s">
        <v>113</v>
      </c>
      <c r="J47" s="6">
        <f>Tabela18[[#This Row],[Quantidade]]*Tabela18[[#This Row],[ValorUnit]]</f>
        <v>675000</v>
      </c>
    </row>
    <row r="48" spans="1:10" x14ac:dyDescent="0.25">
      <c r="A48">
        <v>47</v>
      </c>
      <c r="B48" t="s">
        <v>108</v>
      </c>
      <c r="C48">
        <v>150</v>
      </c>
      <c r="D48" t="s">
        <v>109</v>
      </c>
      <c r="E48" t="s">
        <v>99</v>
      </c>
      <c r="F48" t="s">
        <v>10</v>
      </c>
      <c r="G48" s="1">
        <v>45157</v>
      </c>
      <c r="H48" s="6">
        <v>3500</v>
      </c>
      <c r="I48" t="s">
        <v>100</v>
      </c>
      <c r="J48" s="6">
        <f>Tabela18[[#This Row],[Quantidade]]*Tabela18[[#This Row],[ValorUnit]]</f>
        <v>525000</v>
      </c>
    </row>
    <row r="49" spans="1:10" x14ac:dyDescent="0.25">
      <c r="A49">
        <v>48</v>
      </c>
      <c r="B49" t="s">
        <v>97</v>
      </c>
      <c r="C49">
        <v>150</v>
      </c>
      <c r="D49" t="s">
        <v>98</v>
      </c>
      <c r="E49" t="s">
        <v>95</v>
      </c>
      <c r="F49" t="s">
        <v>31</v>
      </c>
      <c r="G49" s="1">
        <v>45000</v>
      </c>
      <c r="H49" s="6">
        <v>1000</v>
      </c>
      <c r="I49" t="s">
        <v>100</v>
      </c>
      <c r="J49" s="6">
        <f>Tabela18[[#This Row],[Quantidade]]*Tabela18[[#This Row],[ValorUnit]]</f>
        <v>150000</v>
      </c>
    </row>
    <row r="50" spans="1:10" x14ac:dyDescent="0.25">
      <c r="A50">
        <v>49</v>
      </c>
      <c r="B50" t="s">
        <v>114</v>
      </c>
      <c r="C50">
        <v>300</v>
      </c>
      <c r="D50" t="s">
        <v>115</v>
      </c>
      <c r="E50" t="s">
        <v>103</v>
      </c>
      <c r="F50" t="s">
        <v>106</v>
      </c>
      <c r="G50" s="1">
        <v>44633</v>
      </c>
      <c r="H50" s="6">
        <v>500</v>
      </c>
      <c r="I50" t="s">
        <v>116</v>
      </c>
      <c r="J50" s="6">
        <f>Tabela18[[#This Row],[Quantidade]]*Tabela18[[#This Row],[ValorUnit]]</f>
        <v>150000</v>
      </c>
    </row>
    <row r="51" spans="1:10" x14ac:dyDescent="0.25">
      <c r="A51">
        <v>50</v>
      </c>
      <c r="B51" t="s">
        <v>104</v>
      </c>
      <c r="C51">
        <v>450</v>
      </c>
      <c r="D51" t="s">
        <v>105</v>
      </c>
      <c r="E51" t="s">
        <v>110</v>
      </c>
      <c r="F51" t="s">
        <v>10</v>
      </c>
      <c r="G51" s="1">
        <v>44957</v>
      </c>
      <c r="H51" s="6">
        <v>800</v>
      </c>
      <c r="I51" t="s">
        <v>96</v>
      </c>
      <c r="J51" s="6">
        <f>Tabela18[[#This Row],[Quantidade]]*Tabela18[[#This Row],[ValorUnit]]</f>
        <v>360000</v>
      </c>
    </row>
    <row r="52" spans="1:10" x14ac:dyDescent="0.25">
      <c r="A52">
        <v>51</v>
      </c>
      <c r="B52" t="s">
        <v>114</v>
      </c>
      <c r="C52">
        <v>350</v>
      </c>
      <c r="D52" t="s">
        <v>115</v>
      </c>
      <c r="E52" t="s">
        <v>110</v>
      </c>
      <c r="F52" t="s">
        <v>106</v>
      </c>
      <c r="G52" s="1">
        <v>44777</v>
      </c>
      <c r="H52" s="6">
        <v>500</v>
      </c>
      <c r="I52" t="s">
        <v>116</v>
      </c>
      <c r="J52" s="6">
        <f>Tabela18[[#This Row],[Quantidade]]*Tabela18[[#This Row],[ValorUnit]]</f>
        <v>175000</v>
      </c>
    </row>
    <row r="53" spans="1:10" x14ac:dyDescent="0.25">
      <c r="A53">
        <v>52</v>
      </c>
      <c r="B53" t="s">
        <v>104</v>
      </c>
      <c r="C53">
        <v>100</v>
      </c>
      <c r="D53" t="s">
        <v>105</v>
      </c>
      <c r="E53" t="s">
        <v>95</v>
      </c>
      <c r="F53" t="s">
        <v>107</v>
      </c>
      <c r="G53" s="1">
        <v>44977</v>
      </c>
      <c r="H53" s="6">
        <v>800</v>
      </c>
      <c r="I53" t="s">
        <v>96</v>
      </c>
      <c r="J53" s="6">
        <f>Tabela18[[#This Row],[Quantidade]]*Tabela18[[#This Row],[ValorUnit]]</f>
        <v>80000</v>
      </c>
    </row>
    <row r="54" spans="1:10" x14ac:dyDescent="0.25">
      <c r="A54">
        <v>53</v>
      </c>
      <c r="B54" t="s">
        <v>114</v>
      </c>
      <c r="C54">
        <v>300</v>
      </c>
      <c r="D54" t="s">
        <v>115</v>
      </c>
      <c r="E54" t="s">
        <v>103</v>
      </c>
      <c r="F54" t="s">
        <v>31</v>
      </c>
      <c r="G54" s="1">
        <v>44911</v>
      </c>
      <c r="H54" s="6">
        <v>500</v>
      </c>
      <c r="I54" t="s">
        <v>116</v>
      </c>
      <c r="J54" s="6">
        <f>Tabela18[[#This Row],[Quantidade]]*Tabela18[[#This Row],[ValorUnit]]</f>
        <v>150000</v>
      </c>
    </row>
    <row r="55" spans="1:10" x14ac:dyDescent="0.25">
      <c r="A55">
        <v>54</v>
      </c>
      <c r="B55" t="s">
        <v>101</v>
      </c>
      <c r="C55">
        <v>400</v>
      </c>
      <c r="D55" t="s">
        <v>102</v>
      </c>
      <c r="E55" t="s">
        <v>99</v>
      </c>
      <c r="F55" t="s">
        <v>31</v>
      </c>
      <c r="G55" s="1">
        <v>45088</v>
      </c>
      <c r="H55" s="6">
        <v>2000</v>
      </c>
      <c r="I55" t="s">
        <v>96</v>
      </c>
      <c r="J55" s="6">
        <f>Tabela18[[#This Row],[Quantidade]]*Tabela18[[#This Row],[ValorUnit]]</f>
        <v>800000</v>
      </c>
    </row>
    <row r="56" spans="1:10" x14ac:dyDescent="0.25">
      <c r="A56">
        <v>55</v>
      </c>
      <c r="B56" t="s">
        <v>101</v>
      </c>
      <c r="C56">
        <v>150</v>
      </c>
      <c r="D56" t="s">
        <v>102</v>
      </c>
      <c r="E56" t="s">
        <v>99</v>
      </c>
      <c r="F56" t="s">
        <v>31</v>
      </c>
      <c r="G56" s="1">
        <v>44797</v>
      </c>
      <c r="H56" s="6">
        <v>2000</v>
      </c>
      <c r="I56" t="s">
        <v>96</v>
      </c>
      <c r="J56" s="6">
        <f>Tabela18[[#This Row],[Quantidade]]*Tabela18[[#This Row],[ValorUnit]]</f>
        <v>300000</v>
      </c>
    </row>
    <row r="57" spans="1:10" x14ac:dyDescent="0.25">
      <c r="A57">
        <v>56</v>
      </c>
      <c r="B57" t="s">
        <v>117</v>
      </c>
      <c r="C57">
        <v>200</v>
      </c>
      <c r="D57" t="s">
        <v>118</v>
      </c>
      <c r="E57" t="s">
        <v>95</v>
      </c>
      <c r="F57" t="s">
        <v>106</v>
      </c>
      <c r="G57" s="1">
        <v>44994</v>
      </c>
      <c r="H57" s="6">
        <v>1500</v>
      </c>
      <c r="I57" t="s">
        <v>113</v>
      </c>
      <c r="J57" s="6">
        <f>Tabela18[[#This Row],[Quantidade]]*Tabela18[[#This Row],[ValorUnit]]</f>
        <v>300000</v>
      </c>
    </row>
    <row r="58" spans="1:10" x14ac:dyDescent="0.25">
      <c r="A58">
        <v>57</v>
      </c>
      <c r="B58" t="s">
        <v>111</v>
      </c>
      <c r="C58">
        <v>200</v>
      </c>
      <c r="D58" t="s">
        <v>112</v>
      </c>
      <c r="E58" t="s">
        <v>110</v>
      </c>
      <c r="F58" t="s">
        <v>107</v>
      </c>
      <c r="G58" s="1">
        <v>44564</v>
      </c>
      <c r="H58" s="6">
        <v>500</v>
      </c>
      <c r="I58" t="s">
        <v>113</v>
      </c>
      <c r="J58" s="6">
        <f>Tabela18[[#This Row],[Quantidade]]*Tabela18[[#This Row],[ValorUnit]]</f>
        <v>100000</v>
      </c>
    </row>
    <row r="59" spans="1:10" x14ac:dyDescent="0.25">
      <c r="A59">
        <v>58</v>
      </c>
      <c r="B59" t="s">
        <v>101</v>
      </c>
      <c r="C59">
        <v>100</v>
      </c>
      <c r="D59" t="s">
        <v>102</v>
      </c>
      <c r="E59" t="s">
        <v>110</v>
      </c>
      <c r="F59" t="s">
        <v>31</v>
      </c>
      <c r="G59" s="1">
        <v>45144</v>
      </c>
      <c r="H59" s="6">
        <v>2000</v>
      </c>
      <c r="I59" t="s">
        <v>96</v>
      </c>
      <c r="J59" s="6">
        <f>Tabela18[[#This Row],[Quantidade]]*Tabela18[[#This Row],[ValorUnit]]</f>
        <v>200000</v>
      </c>
    </row>
    <row r="60" spans="1:10" x14ac:dyDescent="0.25">
      <c r="A60">
        <v>59</v>
      </c>
      <c r="B60" t="s">
        <v>108</v>
      </c>
      <c r="C60">
        <v>100</v>
      </c>
      <c r="D60" t="s">
        <v>109</v>
      </c>
      <c r="E60" t="s">
        <v>110</v>
      </c>
      <c r="F60" t="s">
        <v>31</v>
      </c>
      <c r="G60" s="1">
        <v>45170</v>
      </c>
      <c r="H60" s="6">
        <v>3500</v>
      </c>
      <c r="I60" t="s">
        <v>100</v>
      </c>
      <c r="J60" s="6">
        <f>Tabela18[[#This Row],[Quantidade]]*Tabela18[[#This Row],[ValorUnit]]</f>
        <v>350000</v>
      </c>
    </row>
    <row r="61" spans="1:10" x14ac:dyDescent="0.25">
      <c r="A61">
        <v>60</v>
      </c>
      <c r="B61" t="s">
        <v>104</v>
      </c>
      <c r="C61">
        <v>200</v>
      </c>
      <c r="D61" t="s">
        <v>105</v>
      </c>
      <c r="E61" t="s">
        <v>110</v>
      </c>
      <c r="F61" t="s">
        <v>106</v>
      </c>
      <c r="G61" s="1">
        <v>45022</v>
      </c>
      <c r="H61" s="6">
        <v>800</v>
      </c>
      <c r="I61" t="s">
        <v>96</v>
      </c>
      <c r="J61" s="6">
        <f>Tabela18[[#This Row],[Quantidade]]*Tabela18[[#This Row],[ValorUnit]]</f>
        <v>160000</v>
      </c>
    </row>
    <row r="62" spans="1:10" x14ac:dyDescent="0.25">
      <c r="A62">
        <v>61</v>
      </c>
      <c r="B62" t="s">
        <v>114</v>
      </c>
      <c r="C62">
        <v>300</v>
      </c>
      <c r="D62" t="s">
        <v>115</v>
      </c>
      <c r="E62" t="s">
        <v>110</v>
      </c>
      <c r="F62" t="s">
        <v>31</v>
      </c>
      <c r="G62" s="1">
        <v>44630</v>
      </c>
      <c r="H62" s="6">
        <v>500</v>
      </c>
      <c r="I62" t="s">
        <v>116</v>
      </c>
      <c r="J62" s="6">
        <f>Tabela18[[#This Row],[Quantidade]]*Tabela18[[#This Row],[ValorUnit]]</f>
        <v>150000</v>
      </c>
    </row>
    <row r="63" spans="1:10" x14ac:dyDescent="0.25">
      <c r="A63">
        <v>62</v>
      </c>
      <c r="B63" t="s">
        <v>119</v>
      </c>
      <c r="C63">
        <v>350</v>
      </c>
      <c r="D63" t="s">
        <v>120</v>
      </c>
      <c r="E63" t="s">
        <v>99</v>
      </c>
      <c r="F63" t="s">
        <v>31</v>
      </c>
      <c r="G63" s="1">
        <v>45013</v>
      </c>
      <c r="H63" s="6">
        <v>300</v>
      </c>
      <c r="I63" t="s">
        <v>116</v>
      </c>
      <c r="J63" s="6">
        <f>Tabela18[[#This Row],[Quantidade]]*Tabela18[[#This Row],[ValorUnit]]</f>
        <v>105000</v>
      </c>
    </row>
    <row r="64" spans="1:10" x14ac:dyDescent="0.25">
      <c r="A64">
        <v>63</v>
      </c>
      <c r="B64" t="s">
        <v>114</v>
      </c>
      <c r="C64">
        <v>500</v>
      </c>
      <c r="D64" t="s">
        <v>115</v>
      </c>
      <c r="E64" t="s">
        <v>99</v>
      </c>
      <c r="F64" t="s">
        <v>31</v>
      </c>
      <c r="G64" s="1">
        <v>44907</v>
      </c>
      <c r="H64" s="6">
        <v>500</v>
      </c>
      <c r="I64" t="s">
        <v>116</v>
      </c>
      <c r="J64" s="6">
        <f>Tabela18[[#This Row],[Quantidade]]*Tabela18[[#This Row],[ValorUnit]]</f>
        <v>250000</v>
      </c>
    </row>
    <row r="65" spans="1:10" x14ac:dyDescent="0.25">
      <c r="A65">
        <v>64</v>
      </c>
      <c r="B65" t="s">
        <v>101</v>
      </c>
      <c r="C65">
        <v>200</v>
      </c>
      <c r="D65" t="s">
        <v>102</v>
      </c>
      <c r="E65" t="s">
        <v>110</v>
      </c>
      <c r="F65" t="s">
        <v>31</v>
      </c>
      <c r="G65" s="1">
        <v>45003</v>
      </c>
      <c r="H65" s="6">
        <v>2000</v>
      </c>
      <c r="I65" t="s">
        <v>96</v>
      </c>
      <c r="J65" s="6">
        <f>Tabela18[[#This Row],[Quantidade]]*Tabela18[[#This Row],[ValorUnit]]</f>
        <v>400000</v>
      </c>
    </row>
    <row r="66" spans="1:10" x14ac:dyDescent="0.25">
      <c r="A66">
        <v>65</v>
      </c>
      <c r="B66" t="s">
        <v>93</v>
      </c>
      <c r="C66">
        <v>150</v>
      </c>
      <c r="D66" t="s">
        <v>94</v>
      </c>
      <c r="E66" t="s">
        <v>95</v>
      </c>
      <c r="F66" t="s">
        <v>31</v>
      </c>
      <c r="G66" s="1">
        <v>45260</v>
      </c>
      <c r="H66" s="6">
        <v>3000</v>
      </c>
      <c r="I66" t="s">
        <v>96</v>
      </c>
      <c r="J66" s="6">
        <f>Tabela18[[#This Row],[Quantidade]]*Tabela18[[#This Row],[ValorUnit]]</f>
        <v>450000</v>
      </c>
    </row>
    <row r="67" spans="1:10" x14ac:dyDescent="0.25">
      <c r="A67">
        <v>66</v>
      </c>
      <c r="B67" t="s">
        <v>104</v>
      </c>
      <c r="C67">
        <v>400</v>
      </c>
      <c r="D67" t="s">
        <v>105</v>
      </c>
      <c r="E67" t="s">
        <v>95</v>
      </c>
      <c r="F67" t="s">
        <v>10</v>
      </c>
      <c r="G67" s="1">
        <v>45253</v>
      </c>
      <c r="H67" s="6">
        <v>800</v>
      </c>
      <c r="I67" t="s">
        <v>96</v>
      </c>
      <c r="J67" s="6">
        <f>Tabela18[[#This Row],[Quantidade]]*Tabela18[[#This Row],[ValorUnit]]</f>
        <v>320000</v>
      </c>
    </row>
    <row r="68" spans="1:10" x14ac:dyDescent="0.25">
      <c r="A68">
        <v>67</v>
      </c>
      <c r="B68" t="s">
        <v>104</v>
      </c>
      <c r="C68">
        <v>150</v>
      </c>
      <c r="D68" t="s">
        <v>105</v>
      </c>
      <c r="E68" t="s">
        <v>99</v>
      </c>
      <c r="F68" t="s">
        <v>107</v>
      </c>
      <c r="G68" s="1">
        <v>44920</v>
      </c>
      <c r="H68" s="6">
        <v>800</v>
      </c>
      <c r="I68" t="s">
        <v>96</v>
      </c>
      <c r="J68" s="6">
        <f>Tabela18[[#This Row],[Quantidade]]*Tabela18[[#This Row],[ValorUnit]]</f>
        <v>120000</v>
      </c>
    </row>
    <row r="69" spans="1:10" x14ac:dyDescent="0.25">
      <c r="A69">
        <v>68</v>
      </c>
      <c r="B69" t="s">
        <v>117</v>
      </c>
      <c r="C69">
        <v>250</v>
      </c>
      <c r="D69" t="s">
        <v>118</v>
      </c>
      <c r="E69" t="s">
        <v>99</v>
      </c>
      <c r="F69" t="s">
        <v>31</v>
      </c>
      <c r="G69" s="1">
        <v>45170</v>
      </c>
      <c r="H69" s="6">
        <v>1500</v>
      </c>
      <c r="I69" t="s">
        <v>113</v>
      </c>
      <c r="J69" s="6">
        <f>Tabela18[[#This Row],[Quantidade]]*Tabela18[[#This Row],[ValorUnit]]</f>
        <v>375000</v>
      </c>
    </row>
    <row r="70" spans="1:10" x14ac:dyDescent="0.25">
      <c r="A70">
        <v>69</v>
      </c>
      <c r="B70" t="s">
        <v>104</v>
      </c>
      <c r="C70">
        <v>50</v>
      </c>
      <c r="D70" t="s">
        <v>105</v>
      </c>
      <c r="E70" t="s">
        <v>110</v>
      </c>
      <c r="F70" t="s">
        <v>10</v>
      </c>
      <c r="G70" s="1">
        <v>44840</v>
      </c>
      <c r="H70" s="6">
        <v>800</v>
      </c>
      <c r="I70" t="s">
        <v>96</v>
      </c>
      <c r="J70" s="6">
        <f>Tabela18[[#This Row],[Quantidade]]*Tabela18[[#This Row],[ValorUnit]]</f>
        <v>40000</v>
      </c>
    </row>
    <row r="71" spans="1:10" x14ac:dyDescent="0.25">
      <c r="A71">
        <v>70</v>
      </c>
      <c r="B71" t="s">
        <v>104</v>
      </c>
      <c r="C71">
        <v>400</v>
      </c>
      <c r="D71" t="s">
        <v>105</v>
      </c>
      <c r="E71" t="s">
        <v>95</v>
      </c>
      <c r="F71" t="s">
        <v>107</v>
      </c>
      <c r="G71" s="1">
        <v>44973</v>
      </c>
      <c r="H71" s="6">
        <v>800</v>
      </c>
      <c r="I71" t="s">
        <v>96</v>
      </c>
      <c r="J71" s="6">
        <f>Tabela18[[#This Row],[Quantidade]]*Tabela18[[#This Row],[ValorUnit]]</f>
        <v>320000</v>
      </c>
    </row>
    <row r="72" spans="1:10" x14ac:dyDescent="0.25">
      <c r="A72">
        <v>71</v>
      </c>
      <c r="B72" t="s">
        <v>108</v>
      </c>
      <c r="C72">
        <v>150</v>
      </c>
      <c r="D72" t="s">
        <v>109</v>
      </c>
      <c r="E72" t="s">
        <v>99</v>
      </c>
      <c r="F72" t="s">
        <v>10</v>
      </c>
      <c r="G72" s="1">
        <v>44901</v>
      </c>
      <c r="H72" s="6">
        <v>3500</v>
      </c>
      <c r="I72" t="s">
        <v>100</v>
      </c>
      <c r="J72" s="6">
        <f>Tabela18[[#This Row],[Quantidade]]*Tabela18[[#This Row],[ValorUnit]]</f>
        <v>525000</v>
      </c>
    </row>
    <row r="73" spans="1:10" x14ac:dyDescent="0.25">
      <c r="A73">
        <v>72</v>
      </c>
      <c r="B73" t="s">
        <v>119</v>
      </c>
      <c r="C73">
        <v>350</v>
      </c>
      <c r="D73" t="s">
        <v>120</v>
      </c>
      <c r="E73" t="s">
        <v>110</v>
      </c>
      <c r="F73" t="s">
        <v>106</v>
      </c>
      <c r="G73" s="1">
        <v>45071</v>
      </c>
      <c r="H73" s="6">
        <v>300</v>
      </c>
      <c r="I73" t="s">
        <v>116</v>
      </c>
      <c r="J73" s="6">
        <f>Tabela18[[#This Row],[Quantidade]]*Tabela18[[#This Row],[ValorUnit]]</f>
        <v>105000</v>
      </c>
    </row>
    <row r="74" spans="1:10" x14ac:dyDescent="0.25">
      <c r="A74">
        <v>73</v>
      </c>
      <c r="B74" t="s">
        <v>108</v>
      </c>
      <c r="C74">
        <v>500</v>
      </c>
      <c r="D74" t="s">
        <v>109</v>
      </c>
      <c r="E74" t="s">
        <v>95</v>
      </c>
      <c r="F74" t="s">
        <v>106</v>
      </c>
      <c r="G74" s="1">
        <v>44625</v>
      </c>
      <c r="H74" s="6">
        <v>3500</v>
      </c>
      <c r="I74" t="s">
        <v>100</v>
      </c>
      <c r="J74" s="6">
        <f>Tabela18[[#This Row],[Quantidade]]*Tabela18[[#This Row],[ValorUnit]]</f>
        <v>1750000</v>
      </c>
    </row>
    <row r="75" spans="1:10" x14ac:dyDescent="0.25">
      <c r="A75">
        <v>74</v>
      </c>
      <c r="B75" t="s">
        <v>101</v>
      </c>
      <c r="C75">
        <v>50</v>
      </c>
      <c r="D75" t="s">
        <v>102</v>
      </c>
      <c r="E75" t="s">
        <v>95</v>
      </c>
      <c r="F75" t="s">
        <v>31</v>
      </c>
      <c r="G75" s="1">
        <v>44977</v>
      </c>
      <c r="H75" s="6">
        <v>2000</v>
      </c>
      <c r="I75" t="s">
        <v>96</v>
      </c>
      <c r="J75" s="6">
        <f>Tabela18[[#This Row],[Quantidade]]*Tabela18[[#This Row],[ValorUnit]]</f>
        <v>100000</v>
      </c>
    </row>
    <row r="76" spans="1:10" x14ac:dyDescent="0.25">
      <c r="A76">
        <v>75</v>
      </c>
      <c r="B76" t="s">
        <v>117</v>
      </c>
      <c r="C76">
        <v>350</v>
      </c>
      <c r="D76" t="s">
        <v>118</v>
      </c>
      <c r="E76" t="s">
        <v>103</v>
      </c>
      <c r="F76" t="s">
        <v>31</v>
      </c>
      <c r="G76" s="1">
        <v>45038</v>
      </c>
      <c r="H76" s="6">
        <v>1500</v>
      </c>
      <c r="I76" t="s">
        <v>113</v>
      </c>
      <c r="J76" s="6">
        <f>Tabela18[[#This Row],[Quantidade]]*Tabela18[[#This Row],[ValorUnit]]</f>
        <v>525000</v>
      </c>
    </row>
    <row r="77" spans="1:10" x14ac:dyDescent="0.25">
      <c r="A77">
        <v>76</v>
      </c>
      <c r="B77" t="s">
        <v>119</v>
      </c>
      <c r="C77">
        <v>250</v>
      </c>
      <c r="D77" t="s">
        <v>120</v>
      </c>
      <c r="E77" t="s">
        <v>110</v>
      </c>
      <c r="F77" t="s">
        <v>10</v>
      </c>
      <c r="G77" s="1">
        <v>44741</v>
      </c>
      <c r="H77" s="6">
        <v>300</v>
      </c>
      <c r="I77" t="s">
        <v>116</v>
      </c>
      <c r="J77" s="6">
        <f>Tabela18[[#This Row],[Quantidade]]*Tabela18[[#This Row],[ValorUnit]]</f>
        <v>75000</v>
      </c>
    </row>
    <row r="78" spans="1:10" x14ac:dyDescent="0.25">
      <c r="A78">
        <v>77</v>
      </c>
      <c r="B78" t="s">
        <v>104</v>
      </c>
      <c r="C78">
        <v>50</v>
      </c>
      <c r="D78" t="s">
        <v>105</v>
      </c>
      <c r="E78" t="s">
        <v>99</v>
      </c>
      <c r="F78" t="s">
        <v>107</v>
      </c>
      <c r="G78" s="1">
        <v>44592</v>
      </c>
      <c r="H78" s="6">
        <v>800</v>
      </c>
      <c r="I78" t="s">
        <v>96</v>
      </c>
      <c r="J78" s="6">
        <f>Tabela18[[#This Row],[Quantidade]]*Tabela18[[#This Row],[ValorUnit]]</f>
        <v>40000</v>
      </c>
    </row>
    <row r="79" spans="1:10" x14ac:dyDescent="0.25">
      <c r="A79">
        <v>78</v>
      </c>
      <c r="B79" t="s">
        <v>104</v>
      </c>
      <c r="C79">
        <v>500</v>
      </c>
      <c r="D79" t="s">
        <v>105</v>
      </c>
      <c r="E79" t="s">
        <v>99</v>
      </c>
      <c r="F79" t="s">
        <v>10</v>
      </c>
      <c r="G79" s="1">
        <v>44584</v>
      </c>
      <c r="H79" s="6">
        <v>800</v>
      </c>
      <c r="I79" t="s">
        <v>96</v>
      </c>
      <c r="J79" s="6">
        <f>Tabela18[[#This Row],[Quantidade]]*Tabela18[[#This Row],[ValorUnit]]</f>
        <v>400000</v>
      </c>
    </row>
    <row r="80" spans="1:10" x14ac:dyDescent="0.25">
      <c r="A80">
        <v>79</v>
      </c>
      <c r="B80" t="s">
        <v>119</v>
      </c>
      <c r="C80">
        <v>500</v>
      </c>
      <c r="D80" t="s">
        <v>120</v>
      </c>
      <c r="E80" t="s">
        <v>99</v>
      </c>
      <c r="F80" t="s">
        <v>107</v>
      </c>
      <c r="G80" s="1">
        <v>45253</v>
      </c>
      <c r="H80" s="6">
        <v>300</v>
      </c>
      <c r="I80" t="s">
        <v>116</v>
      </c>
      <c r="J80" s="6">
        <f>Tabela18[[#This Row],[Quantidade]]*Tabela18[[#This Row],[ValorUnit]]</f>
        <v>150000</v>
      </c>
    </row>
    <row r="81" spans="1:10" x14ac:dyDescent="0.25">
      <c r="A81">
        <v>80</v>
      </c>
      <c r="B81" t="s">
        <v>108</v>
      </c>
      <c r="C81">
        <v>200</v>
      </c>
      <c r="D81" t="s">
        <v>109</v>
      </c>
      <c r="E81" t="s">
        <v>95</v>
      </c>
      <c r="F81" t="s">
        <v>107</v>
      </c>
      <c r="G81" s="1">
        <v>45119</v>
      </c>
      <c r="H81" s="6">
        <v>3500</v>
      </c>
      <c r="I81" t="s">
        <v>100</v>
      </c>
      <c r="J81" s="6">
        <f>Tabela18[[#This Row],[Quantidade]]*Tabela18[[#This Row],[ValorUnit]]</f>
        <v>700000</v>
      </c>
    </row>
    <row r="82" spans="1:10" x14ac:dyDescent="0.25">
      <c r="A82">
        <v>81</v>
      </c>
      <c r="B82" t="s">
        <v>97</v>
      </c>
      <c r="C82">
        <v>150</v>
      </c>
      <c r="D82" t="s">
        <v>98</v>
      </c>
      <c r="E82" t="s">
        <v>110</v>
      </c>
      <c r="F82" t="s">
        <v>106</v>
      </c>
      <c r="G82" s="1">
        <v>45170</v>
      </c>
      <c r="H82" s="6">
        <v>1000</v>
      </c>
      <c r="I82" t="s">
        <v>100</v>
      </c>
      <c r="J82" s="6">
        <f>Tabela18[[#This Row],[Quantidade]]*Tabela18[[#This Row],[ValorUnit]]</f>
        <v>150000</v>
      </c>
    </row>
    <row r="83" spans="1:10" x14ac:dyDescent="0.25">
      <c r="A83">
        <v>82</v>
      </c>
      <c r="B83" t="s">
        <v>104</v>
      </c>
      <c r="C83">
        <v>350</v>
      </c>
      <c r="D83" t="s">
        <v>105</v>
      </c>
      <c r="E83" t="s">
        <v>95</v>
      </c>
      <c r="F83" t="s">
        <v>107</v>
      </c>
      <c r="G83" s="1">
        <v>44811</v>
      </c>
      <c r="H83" s="6">
        <v>800</v>
      </c>
      <c r="I83" t="s">
        <v>96</v>
      </c>
      <c r="J83" s="6">
        <f>Tabela18[[#This Row],[Quantidade]]*Tabela18[[#This Row],[ValorUnit]]</f>
        <v>280000</v>
      </c>
    </row>
    <row r="84" spans="1:10" x14ac:dyDescent="0.25">
      <c r="A84">
        <v>83</v>
      </c>
      <c r="B84" t="s">
        <v>104</v>
      </c>
      <c r="C84">
        <v>350</v>
      </c>
      <c r="D84" t="s">
        <v>105</v>
      </c>
      <c r="E84" t="s">
        <v>99</v>
      </c>
      <c r="F84" t="s">
        <v>31</v>
      </c>
      <c r="G84" s="1">
        <v>44625</v>
      </c>
      <c r="H84" s="6">
        <v>800</v>
      </c>
      <c r="I84" t="s">
        <v>96</v>
      </c>
      <c r="J84" s="6">
        <f>Tabela18[[#This Row],[Quantidade]]*Tabela18[[#This Row],[ValorUnit]]</f>
        <v>280000</v>
      </c>
    </row>
    <row r="85" spans="1:10" x14ac:dyDescent="0.25">
      <c r="A85">
        <v>84</v>
      </c>
      <c r="B85" t="s">
        <v>97</v>
      </c>
      <c r="C85">
        <v>200</v>
      </c>
      <c r="D85" t="s">
        <v>98</v>
      </c>
      <c r="E85" t="s">
        <v>99</v>
      </c>
      <c r="F85" t="s">
        <v>31</v>
      </c>
      <c r="G85" s="1">
        <v>44802</v>
      </c>
      <c r="H85" s="6">
        <v>1000</v>
      </c>
      <c r="I85" t="s">
        <v>100</v>
      </c>
      <c r="J85" s="6">
        <f>Tabela18[[#This Row],[Quantidade]]*Tabela18[[#This Row],[ValorUnit]]</f>
        <v>200000</v>
      </c>
    </row>
    <row r="86" spans="1:10" x14ac:dyDescent="0.25">
      <c r="A86">
        <v>85</v>
      </c>
      <c r="B86" t="s">
        <v>104</v>
      </c>
      <c r="C86">
        <v>100</v>
      </c>
      <c r="D86" t="s">
        <v>105</v>
      </c>
      <c r="E86" t="s">
        <v>99</v>
      </c>
      <c r="F86" t="s">
        <v>106</v>
      </c>
      <c r="G86" s="1">
        <v>44761</v>
      </c>
      <c r="H86" s="6">
        <v>800</v>
      </c>
      <c r="I86" t="s">
        <v>96</v>
      </c>
      <c r="J86" s="6">
        <f>Tabela18[[#This Row],[Quantidade]]*Tabela18[[#This Row],[ValorUnit]]</f>
        <v>80000</v>
      </c>
    </row>
    <row r="87" spans="1:10" x14ac:dyDescent="0.25">
      <c r="A87">
        <v>86</v>
      </c>
      <c r="B87" t="s">
        <v>108</v>
      </c>
      <c r="C87">
        <v>450</v>
      </c>
      <c r="D87" t="s">
        <v>109</v>
      </c>
      <c r="E87" t="s">
        <v>99</v>
      </c>
      <c r="F87" t="s">
        <v>10</v>
      </c>
      <c r="G87" s="1">
        <v>44956</v>
      </c>
      <c r="H87" s="6">
        <v>3500</v>
      </c>
      <c r="I87" t="s">
        <v>100</v>
      </c>
      <c r="J87" s="6">
        <f>Tabela18[[#This Row],[Quantidade]]*Tabela18[[#This Row],[ValorUnit]]</f>
        <v>1575000</v>
      </c>
    </row>
    <row r="88" spans="1:10" x14ac:dyDescent="0.25">
      <c r="A88">
        <v>87</v>
      </c>
      <c r="B88" t="s">
        <v>108</v>
      </c>
      <c r="C88">
        <v>350</v>
      </c>
      <c r="D88" t="s">
        <v>109</v>
      </c>
      <c r="E88" t="s">
        <v>103</v>
      </c>
      <c r="F88" t="s">
        <v>107</v>
      </c>
      <c r="G88" s="1">
        <v>44658</v>
      </c>
      <c r="H88" s="6">
        <v>3500</v>
      </c>
      <c r="I88" t="s">
        <v>100</v>
      </c>
      <c r="J88" s="6">
        <f>Tabela18[[#This Row],[Quantidade]]*Tabela18[[#This Row],[ValorUnit]]</f>
        <v>1225000</v>
      </c>
    </row>
    <row r="89" spans="1:10" x14ac:dyDescent="0.25">
      <c r="A89">
        <v>88</v>
      </c>
      <c r="B89" t="s">
        <v>117</v>
      </c>
      <c r="C89">
        <v>100</v>
      </c>
      <c r="D89" t="s">
        <v>118</v>
      </c>
      <c r="E89" t="s">
        <v>99</v>
      </c>
      <c r="F89" t="s">
        <v>10</v>
      </c>
      <c r="G89" s="1">
        <v>44648</v>
      </c>
      <c r="H89" s="6">
        <v>1500</v>
      </c>
      <c r="I89" t="s">
        <v>113</v>
      </c>
      <c r="J89" s="6">
        <f>Tabela18[[#This Row],[Quantidade]]*Tabela18[[#This Row],[ValorUnit]]</f>
        <v>150000</v>
      </c>
    </row>
    <row r="90" spans="1:10" x14ac:dyDescent="0.25">
      <c r="A90">
        <v>89</v>
      </c>
      <c r="B90" t="s">
        <v>101</v>
      </c>
      <c r="C90">
        <v>250</v>
      </c>
      <c r="D90" t="s">
        <v>102</v>
      </c>
      <c r="E90" t="s">
        <v>103</v>
      </c>
      <c r="F90" t="s">
        <v>31</v>
      </c>
      <c r="G90" s="1">
        <v>45048</v>
      </c>
      <c r="H90" s="6">
        <v>2000</v>
      </c>
      <c r="I90" t="s">
        <v>96</v>
      </c>
      <c r="J90" s="6">
        <f>Tabela18[[#This Row],[Quantidade]]*Tabela18[[#This Row],[ValorUnit]]</f>
        <v>500000</v>
      </c>
    </row>
    <row r="91" spans="1:10" x14ac:dyDescent="0.25">
      <c r="A91">
        <v>90</v>
      </c>
      <c r="B91" t="s">
        <v>114</v>
      </c>
      <c r="C91">
        <v>100</v>
      </c>
      <c r="D91" t="s">
        <v>115</v>
      </c>
      <c r="E91" t="s">
        <v>110</v>
      </c>
      <c r="F91" t="s">
        <v>107</v>
      </c>
      <c r="G91" s="1">
        <v>44809</v>
      </c>
      <c r="H91" s="6">
        <v>500</v>
      </c>
      <c r="I91" t="s">
        <v>116</v>
      </c>
      <c r="J91" s="6">
        <f>Tabela18[[#This Row],[Quantidade]]*Tabela18[[#This Row],[ValorUnit]]</f>
        <v>50000</v>
      </c>
    </row>
    <row r="92" spans="1:10" x14ac:dyDescent="0.25">
      <c r="A92">
        <v>91</v>
      </c>
      <c r="B92" t="s">
        <v>101</v>
      </c>
      <c r="C92">
        <v>450</v>
      </c>
      <c r="D92" t="s">
        <v>102</v>
      </c>
      <c r="E92" t="s">
        <v>95</v>
      </c>
      <c r="F92" t="s">
        <v>10</v>
      </c>
      <c r="G92" s="1">
        <v>44919</v>
      </c>
      <c r="H92" s="6">
        <v>2000</v>
      </c>
      <c r="I92" t="s">
        <v>96</v>
      </c>
      <c r="J92" s="6">
        <f>Tabela18[[#This Row],[Quantidade]]*Tabela18[[#This Row],[ValorUnit]]</f>
        <v>900000</v>
      </c>
    </row>
    <row r="93" spans="1:10" x14ac:dyDescent="0.25">
      <c r="A93">
        <v>92</v>
      </c>
      <c r="B93" t="s">
        <v>119</v>
      </c>
      <c r="C93">
        <v>300</v>
      </c>
      <c r="D93" t="s">
        <v>120</v>
      </c>
      <c r="E93" t="s">
        <v>95</v>
      </c>
      <c r="F93" t="s">
        <v>106</v>
      </c>
      <c r="G93" s="1">
        <v>45081</v>
      </c>
      <c r="H93" s="6">
        <v>300</v>
      </c>
      <c r="I93" t="s">
        <v>116</v>
      </c>
      <c r="J93" s="6">
        <f>Tabela18[[#This Row],[Quantidade]]*Tabela18[[#This Row],[ValorUnit]]</f>
        <v>90000</v>
      </c>
    </row>
    <row r="94" spans="1:10" x14ac:dyDescent="0.25">
      <c r="A94">
        <v>93</v>
      </c>
      <c r="B94" t="s">
        <v>93</v>
      </c>
      <c r="C94">
        <v>450</v>
      </c>
      <c r="D94" t="s">
        <v>94</v>
      </c>
      <c r="E94" t="s">
        <v>110</v>
      </c>
      <c r="F94" t="s">
        <v>31</v>
      </c>
      <c r="G94" s="1">
        <v>45170</v>
      </c>
      <c r="H94" s="6">
        <v>3000</v>
      </c>
      <c r="I94" t="s">
        <v>96</v>
      </c>
      <c r="J94" s="6">
        <f>Tabela18[[#This Row],[Quantidade]]*Tabela18[[#This Row],[ValorUnit]]</f>
        <v>1350000</v>
      </c>
    </row>
    <row r="95" spans="1:10" x14ac:dyDescent="0.25">
      <c r="A95">
        <v>94</v>
      </c>
      <c r="B95" t="s">
        <v>117</v>
      </c>
      <c r="C95">
        <v>400</v>
      </c>
      <c r="D95" t="s">
        <v>118</v>
      </c>
      <c r="E95" t="s">
        <v>95</v>
      </c>
      <c r="F95" t="s">
        <v>10</v>
      </c>
      <c r="G95" s="1">
        <v>44952</v>
      </c>
      <c r="H95" s="6">
        <v>1500</v>
      </c>
      <c r="I95" t="s">
        <v>113</v>
      </c>
      <c r="J95" s="6">
        <f>Tabela18[[#This Row],[Quantidade]]*Tabela18[[#This Row],[ValorUnit]]</f>
        <v>600000</v>
      </c>
    </row>
    <row r="96" spans="1:10" x14ac:dyDescent="0.25">
      <c r="A96">
        <v>95</v>
      </c>
      <c r="B96" t="s">
        <v>111</v>
      </c>
      <c r="C96">
        <v>50</v>
      </c>
      <c r="D96" t="s">
        <v>112</v>
      </c>
      <c r="E96" t="s">
        <v>110</v>
      </c>
      <c r="F96" t="s">
        <v>107</v>
      </c>
      <c r="G96" s="1">
        <v>44911</v>
      </c>
      <c r="H96" s="6">
        <v>500</v>
      </c>
      <c r="I96" t="s">
        <v>113</v>
      </c>
      <c r="J96" s="6">
        <f>Tabela18[[#This Row],[Quantidade]]*Tabela18[[#This Row],[ValorUnit]]</f>
        <v>25000</v>
      </c>
    </row>
    <row r="97" spans="1:10" x14ac:dyDescent="0.25">
      <c r="A97">
        <v>96</v>
      </c>
      <c r="B97" t="s">
        <v>114</v>
      </c>
      <c r="C97">
        <v>150</v>
      </c>
      <c r="D97" t="s">
        <v>115</v>
      </c>
      <c r="E97" t="s">
        <v>95</v>
      </c>
      <c r="F97" t="s">
        <v>106</v>
      </c>
      <c r="G97" s="1">
        <v>45029</v>
      </c>
      <c r="H97" s="6">
        <v>500</v>
      </c>
      <c r="I97" t="s">
        <v>116</v>
      </c>
      <c r="J97" s="6">
        <f>Tabela18[[#This Row],[Quantidade]]*Tabela18[[#This Row],[ValorUnit]]</f>
        <v>75000</v>
      </c>
    </row>
    <row r="98" spans="1:10" x14ac:dyDescent="0.25">
      <c r="A98">
        <v>97</v>
      </c>
      <c r="B98" t="s">
        <v>108</v>
      </c>
      <c r="C98">
        <v>250</v>
      </c>
      <c r="D98" t="s">
        <v>109</v>
      </c>
      <c r="E98" t="s">
        <v>103</v>
      </c>
      <c r="F98" t="s">
        <v>31</v>
      </c>
      <c r="G98" s="1">
        <v>44641</v>
      </c>
      <c r="H98" s="6">
        <v>3500</v>
      </c>
      <c r="I98" t="s">
        <v>100</v>
      </c>
      <c r="J98" s="6">
        <f>Tabela18[[#This Row],[Quantidade]]*Tabela18[[#This Row],[ValorUnit]]</f>
        <v>875000</v>
      </c>
    </row>
    <row r="99" spans="1:10" x14ac:dyDescent="0.25">
      <c r="A99">
        <v>98</v>
      </c>
      <c r="B99" t="s">
        <v>111</v>
      </c>
      <c r="C99">
        <v>100</v>
      </c>
      <c r="D99" t="s">
        <v>112</v>
      </c>
      <c r="E99" t="s">
        <v>95</v>
      </c>
      <c r="F99" t="s">
        <v>10</v>
      </c>
      <c r="G99" s="1">
        <v>44625</v>
      </c>
      <c r="H99" s="6">
        <v>500</v>
      </c>
      <c r="I99" t="s">
        <v>113</v>
      </c>
      <c r="J99" s="6">
        <f>Tabela18[[#This Row],[Quantidade]]*Tabela18[[#This Row],[ValorUnit]]</f>
        <v>50000</v>
      </c>
    </row>
    <row r="100" spans="1:10" x14ac:dyDescent="0.25">
      <c r="A100">
        <v>99</v>
      </c>
      <c r="B100" t="s">
        <v>111</v>
      </c>
      <c r="C100">
        <v>400</v>
      </c>
      <c r="D100" t="s">
        <v>112</v>
      </c>
      <c r="E100" t="s">
        <v>99</v>
      </c>
      <c r="F100" t="s">
        <v>31</v>
      </c>
      <c r="G100" s="1">
        <v>44677</v>
      </c>
      <c r="H100" s="6">
        <v>500</v>
      </c>
      <c r="I100" t="s">
        <v>113</v>
      </c>
      <c r="J100" s="6">
        <f>Tabela18[[#This Row],[Quantidade]]*Tabela18[[#This Row],[ValorUnit]]</f>
        <v>200000</v>
      </c>
    </row>
    <row r="101" spans="1:10" x14ac:dyDescent="0.25">
      <c r="A101">
        <v>100</v>
      </c>
      <c r="B101" t="s">
        <v>104</v>
      </c>
      <c r="C101">
        <v>250</v>
      </c>
      <c r="D101" t="s">
        <v>105</v>
      </c>
      <c r="E101" t="s">
        <v>110</v>
      </c>
      <c r="F101" t="s">
        <v>10</v>
      </c>
      <c r="G101" s="1">
        <v>44957</v>
      </c>
      <c r="H101" s="6">
        <v>800</v>
      </c>
      <c r="I101" t="s">
        <v>96</v>
      </c>
      <c r="J101" s="6">
        <f>Tabela18[[#This Row],[Quantidade]]*Tabela18[[#This Row],[ValorUnit]]</f>
        <v>200000</v>
      </c>
    </row>
    <row r="102" spans="1:10" x14ac:dyDescent="0.25">
      <c r="A102">
        <v>101</v>
      </c>
      <c r="B102" t="s">
        <v>119</v>
      </c>
      <c r="C102">
        <v>100</v>
      </c>
      <c r="D102" t="s">
        <v>120</v>
      </c>
      <c r="E102" t="s">
        <v>99</v>
      </c>
      <c r="F102" t="s">
        <v>31</v>
      </c>
      <c r="G102" s="1">
        <v>44958</v>
      </c>
      <c r="H102" s="6">
        <v>300</v>
      </c>
      <c r="I102" t="s">
        <v>116</v>
      </c>
      <c r="J102" s="6">
        <f>Tabela18[[#This Row],[Quantidade]]*Tabela18[[#This Row],[ValorUnit]]</f>
        <v>30000</v>
      </c>
    </row>
    <row r="103" spans="1:10" x14ac:dyDescent="0.25">
      <c r="A103">
        <v>102</v>
      </c>
      <c r="B103" t="s">
        <v>111</v>
      </c>
      <c r="C103">
        <v>350</v>
      </c>
      <c r="D103" t="s">
        <v>112</v>
      </c>
      <c r="E103" t="s">
        <v>103</v>
      </c>
      <c r="F103" t="s">
        <v>106</v>
      </c>
      <c r="G103" s="1">
        <v>44577</v>
      </c>
      <c r="H103" s="6">
        <v>500</v>
      </c>
      <c r="I103" t="s">
        <v>113</v>
      </c>
      <c r="J103" s="6">
        <f>Tabela18[[#This Row],[Quantidade]]*Tabela18[[#This Row],[ValorUnit]]</f>
        <v>175000</v>
      </c>
    </row>
    <row r="104" spans="1:10" x14ac:dyDescent="0.25">
      <c r="A104">
        <v>103</v>
      </c>
      <c r="B104" t="s">
        <v>108</v>
      </c>
      <c r="C104">
        <v>500</v>
      </c>
      <c r="D104" t="s">
        <v>109</v>
      </c>
      <c r="E104" t="s">
        <v>110</v>
      </c>
      <c r="F104" t="s">
        <v>31</v>
      </c>
      <c r="G104" s="1">
        <v>44758</v>
      </c>
      <c r="H104" s="6">
        <v>3500</v>
      </c>
      <c r="I104" t="s">
        <v>100</v>
      </c>
      <c r="J104" s="6">
        <f>Tabela18[[#This Row],[Quantidade]]*Tabela18[[#This Row],[ValorUnit]]</f>
        <v>1750000</v>
      </c>
    </row>
    <row r="105" spans="1:10" x14ac:dyDescent="0.25">
      <c r="A105">
        <v>104</v>
      </c>
      <c r="B105" t="s">
        <v>93</v>
      </c>
      <c r="C105">
        <v>250</v>
      </c>
      <c r="D105" t="s">
        <v>94</v>
      </c>
      <c r="E105" t="s">
        <v>110</v>
      </c>
      <c r="F105" t="s">
        <v>10</v>
      </c>
      <c r="G105" s="1">
        <v>45111</v>
      </c>
      <c r="H105" s="6">
        <v>3000</v>
      </c>
      <c r="I105" t="s">
        <v>96</v>
      </c>
      <c r="J105" s="6">
        <f>Tabela18[[#This Row],[Quantidade]]*Tabela18[[#This Row],[ValorUnit]]</f>
        <v>750000</v>
      </c>
    </row>
    <row r="106" spans="1:10" x14ac:dyDescent="0.25">
      <c r="A106">
        <v>105</v>
      </c>
      <c r="B106" t="s">
        <v>108</v>
      </c>
      <c r="C106">
        <v>250</v>
      </c>
      <c r="D106" t="s">
        <v>109</v>
      </c>
      <c r="E106" t="s">
        <v>103</v>
      </c>
      <c r="F106" t="s">
        <v>107</v>
      </c>
      <c r="G106" s="1">
        <v>45029</v>
      </c>
      <c r="H106" s="6">
        <v>3500</v>
      </c>
      <c r="I106" t="s">
        <v>100</v>
      </c>
      <c r="J106" s="6">
        <f>Tabela18[[#This Row],[Quantidade]]*Tabela18[[#This Row],[ValorUnit]]</f>
        <v>875000</v>
      </c>
    </row>
    <row r="107" spans="1:10" x14ac:dyDescent="0.25">
      <c r="A107">
        <v>106</v>
      </c>
      <c r="B107" t="s">
        <v>114</v>
      </c>
      <c r="C107">
        <v>350</v>
      </c>
      <c r="D107" t="s">
        <v>115</v>
      </c>
      <c r="E107" t="s">
        <v>103</v>
      </c>
      <c r="F107" t="s">
        <v>106</v>
      </c>
      <c r="G107" s="1">
        <v>44772</v>
      </c>
      <c r="H107" s="6">
        <v>500</v>
      </c>
      <c r="I107" t="s">
        <v>116</v>
      </c>
      <c r="J107" s="6">
        <f>Tabela18[[#This Row],[Quantidade]]*Tabela18[[#This Row],[ValorUnit]]</f>
        <v>175000</v>
      </c>
    </row>
    <row r="108" spans="1:10" x14ac:dyDescent="0.25">
      <c r="A108">
        <v>107</v>
      </c>
      <c r="B108" t="s">
        <v>93</v>
      </c>
      <c r="C108">
        <v>250</v>
      </c>
      <c r="D108" t="s">
        <v>94</v>
      </c>
      <c r="E108" t="s">
        <v>99</v>
      </c>
      <c r="F108" t="s">
        <v>106</v>
      </c>
      <c r="G108" s="1">
        <v>44792</v>
      </c>
      <c r="H108" s="6">
        <v>3000</v>
      </c>
      <c r="I108" t="s">
        <v>96</v>
      </c>
      <c r="J108" s="6">
        <f>Tabela18[[#This Row],[Quantidade]]*Tabela18[[#This Row],[ValorUnit]]</f>
        <v>750000</v>
      </c>
    </row>
    <row r="109" spans="1:10" x14ac:dyDescent="0.25">
      <c r="A109">
        <v>108</v>
      </c>
      <c r="B109" t="s">
        <v>93</v>
      </c>
      <c r="C109">
        <v>350</v>
      </c>
      <c r="D109" t="s">
        <v>94</v>
      </c>
      <c r="E109" t="s">
        <v>103</v>
      </c>
      <c r="F109" t="s">
        <v>10</v>
      </c>
      <c r="G109" s="1">
        <v>44658</v>
      </c>
      <c r="H109" s="6">
        <v>3000</v>
      </c>
      <c r="I109" t="s">
        <v>96</v>
      </c>
      <c r="J109" s="6">
        <f>Tabela18[[#This Row],[Quantidade]]*Tabela18[[#This Row],[ValorUnit]]</f>
        <v>1050000</v>
      </c>
    </row>
    <row r="110" spans="1:10" x14ac:dyDescent="0.25">
      <c r="A110">
        <v>109</v>
      </c>
      <c r="B110" t="s">
        <v>114</v>
      </c>
      <c r="C110">
        <v>300</v>
      </c>
      <c r="D110" t="s">
        <v>115</v>
      </c>
      <c r="E110" t="s">
        <v>103</v>
      </c>
      <c r="F110" t="s">
        <v>107</v>
      </c>
      <c r="G110" s="1">
        <v>44911</v>
      </c>
      <c r="H110" s="6">
        <v>500</v>
      </c>
      <c r="I110" t="s">
        <v>116</v>
      </c>
      <c r="J110" s="6">
        <f>Tabela18[[#This Row],[Quantidade]]*Tabela18[[#This Row],[ValorUnit]]</f>
        <v>150000</v>
      </c>
    </row>
    <row r="111" spans="1:10" x14ac:dyDescent="0.25">
      <c r="A111">
        <v>110</v>
      </c>
      <c r="B111" t="s">
        <v>93</v>
      </c>
      <c r="C111">
        <v>50</v>
      </c>
      <c r="D111" t="s">
        <v>94</v>
      </c>
      <c r="E111" t="s">
        <v>103</v>
      </c>
      <c r="F111" t="s">
        <v>31</v>
      </c>
      <c r="G111" s="1">
        <v>45182</v>
      </c>
      <c r="H111" s="6">
        <v>3000</v>
      </c>
      <c r="I111" t="s">
        <v>96</v>
      </c>
      <c r="J111" s="6">
        <f>Tabela18[[#This Row],[Quantidade]]*Tabela18[[#This Row],[ValorUnit]]</f>
        <v>150000</v>
      </c>
    </row>
    <row r="112" spans="1:10" x14ac:dyDescent="0.25">
      <c r="A112">
        <v>111</v>
      </c>
      <c r="B112" t="s">
        <v>104</v>
      </c>
      <c r="C112">
        <v>450</v>
      </c>
      <c r="D112" t="s">
        <v>105</v>
      </c>
      <c r="E112" t="s">
        <v>99</v>
      </c>
      <c r="F112" t="s">
        <v>10</v>
      </c>
      <c r="G112" s="1">
        <v>44633</v>
      </c>
      <c r="H112" s="6">
        <v>800</v>
      </c>
      <c r="I112" t="s">
        <v>96</v>
      </c>
      <c r="J112" s="6">
        <f>Tabela18[[#This Row],[Quantidade]]*Tabela18[[#This Row],[ValorUnit]]</f>
        <v>360000</v>
      </c>
    </row>
    <row r="113" spans="1:10" x14ac:dyDescent="0.25">
      <c r="A113">
        <v>112</v>
      </c>
      <c r="B113" t="s">
        <v>117</v>
      </c>
      <c r="C113">
        <v>500</v>
      </c>
      <c r="D113" t="s">
        <v>118</v>
      </c>
      <c r="E113" t="s">
        <v>110</v>
      </c>
      <c r="F113" t="s">
        <v>10</v>
      </c>
      <c r="G113" s="1">
        <v>44666</v>
      </c>
      <c r="H113" s="6">
        <v>1500</v>
      </c>
      <c r="I113" t="s">
        <v>113</v>
      </c>
      <c r="J113" s="6">
        <f>Tabela18[[#This Row],[Quantidade]]*Tabela18[[#This Row],[ValorUnit]]</f>
        <v>750000</v>
      </c>
    </row>
    <row r="114" spans="1:10" x14ac:dyDescent="0.25">
      <c r="A114">
        <v>113</v>
      </c>
      <c r="B114" t="s">
        <v>119</v>
      </c>
      <c r="C114">
        <v>300</v>
      </c>
      <c r="D114" t="s">
        <v>120</v>
      </c>
      <c r="E114" t="s">
        <v>99</v>
      </c>
      <c r="F114" t="s">
        <v>107</v>
      </c>
      <c r="G114" s="1">
        <v>45073</v>
      </c>
      <c r="H114" s="6">
        <v>300</v>
      </c>
      <c r="I114" t="s">
        <v>116</v>
      </c>
      <c r="J114" s="6">
        <f>Tabela18[[#This Row],[Quantidade]]*Tabela18[[#This Row],[ValorUnit]]</f>
        <v>90000</v>
      </c>
    </row>
    <row r="115" spans="1:10" x14ac:dyDescent="0.25">
      <c r="A115">
        <v>114</v>
      </c>
      <c r="B115" t="s">
        <v>114</v>
      </c>
      <c r="C115">
        <v>200</v>
      </c>
      <c r="D115" t="s">
        <v>115</v>
      </c>
      <c r="E115" t="s">
        <v>99</v>
      </c>
      <c r="F115" t="s">
        <v>10</v>
      </c>
      <c r="G115" s="1">
        <v>44777</v>
      </c>
      <c r="H115" s="6">
        <v>500</v>
      </c>
      <c r="I115" t="s">
        <v>116</v>
      </c>
      <c r="J115" s="6">
        <f>Tabela18[[#This Row],[Quantidade]]*Tabela18[[#This Row],[ValorUnit]]</f>
        <v>100000</v>
      </c>
    </row>
    <row r="116" spans="1:10" x14ac:dyDescent="0.25">
      <c r="A116">
        <v>115</v>
      </c>
      <c r="B116" t="s">
        <v>93</v>
      </c>
      <c r="C116">
        <v>50</v>
      </c>
      <c r="D116" t="s">
        <v>94</v>
      </c>
      <c r="E116" t="s">
        <v>99</v>
      </c>
      <c r="F116" t="s">
        <v>107</v>
      </c>
      <c r="G116" s="1">
        <v>44728</v>
      </c>
      <c r="H116" s="6">
        <v>3000</v>
      </c>
      <c r="I116" t="s">
        <v>96</v>
      </c>
      <c r="J116" s="6">
        <f>Tabela18[[#This Row],[Quantidade]]*Tabela18[[#This Row],[ValorUnit]]</f>
        <v>150000</v>
      </c>
    </row>
    <row r="117" spans="1:10" x14ac:dyDescent="0.25">
      <c r="A117">
        <v>116</v>
      </c>
      <c r="B117" t="s">
        <v>104</v>
      </c>
      <c r="C117">
        <v>450</v>
      </c>
      <c r="D117" t="s">
        <v>105</v>
      </c>
      <c r="E117" t="s">
        <v>110</v>
      </c>
      <c r="F117" t="s">
        <v>10</v>
      </c>
      <c r="G117" s="1">
        <v>44772</v>
      </c>
      <c r="H117" s="6">
        <v>800</v>
      </c>
      <c r="I117" t="s">
        <v>96</v>
      </c>
      <c r="J117" s="6">
        <f>Tabela18[[#This Row],[Quantidade]]*Tabela18[[#This Row],[ValorUnit]]</f>
        <v>360000</v>
      </c>
    </row>
    <row r="118" spans="1:10" x14ac:dyDescent="0.25">
      <c r="A118">
        <v>117</v>
      </c>
      <c r="B118" t="s">
        <v>114</v>
      </c>
      <c r="C118">
        <v>450</v>
      </c>
      <c r="D118" t="s">
        <v>115</v>
      </c>
      <c r="E118" t="s">
        <v>103</v>
      </c>
      <c r="F118" t="s">
        <v>31</v>
      </c>
      <c r="G118" s="1">
        <v>44773</v>
      </c>
      <c r="H118" s="6">
        <v>500</v>
      </c>
      <c r="I118" t="s">
        <v>116</v>
      </c>
      <c r="J118" s="6">
        <f>Tabela18[[#This Row],[Quantidade]]*Tabela18[[#This Row],[ValorUnit]]</f>
        <v>225000</v>
      </c>
    </row>
    <row r="119" spans="1:10" x14ac:dyDescent="0.25">
      <c r="A119">
        <v>118</v>
      </c>
      <c r="B119" t="s">
        <v>114</v>
      </c>
      <c r="C119">
        <v>400</v>
      </c>
      <c r="D119" t="s">
        <v>115</v>
      </c>
      <c r="E119" t="s">
        <v>99</v>
      </c>
      <c r="F119" t="s">
        <v>107</v>
      </c>
      <c r="G119" s="1">
        <v>44773</v>
      </c>
      <c r="H119" s="6">
        <v>500</v>
      </c>
      <c r="I119" t="s">
        <v>116</v>
      </c>
      <c r="J119" s="6">
        <f>Tabela18[[#This Row],[Quantidade]]*Tabela18[[#This Row],[ValorUnit]]</f>
        <v>200000</v>
      </c>
    </row>
    <row r="120" spans="1:10" x14ac:dyDescent="0.25">
      <c r="A120">
        <v>119</v>
      </c>
      <c r="B120" t="s">
        <v>108</v>
      </c>
      <c r="C120">
        <v>300</v>
      </c>
      <c r="D120" t="s">
        <v>109</v>
      </c>
      <c r="E120" t="s">
        <v>103</v>
      </c>
      <c r="F120" t="s">
        <v>107</v>
      </c>
      <c r="G120" s="1">
        <v>44796</v>
      </c>
      <c r="H120" s="6">
        <v>3500</v>
      </c>
      <c r="I120" t="s">
        <v>100</v>
      </c>
      <c r="J120" s="6">
        <f>Tabela18[[#This Row],[Quantidade]]*Tabela18[[#This Row],[ValorUnit]]</f>
        <v>1050000</v>
      </c>
    </row>
    <row r="121" spans="1:10" x14ac:dyDescent="0.25">
      <c r="A121">
        <v>120</v>
      </c>
      <c r="B121" t="s">
        <v>93</v>
      </c>
      <c r="C121">
        <v>400</v>
      </c>
      <c r="D121" t="s">
        <v>94</v>
      </c>
      <c r="E121" t="s">
        <v>110</v>
      </c>
      <c r="F121" t="s">
        <v>106</v>
      </c>
      <c r="G121" s="1">
        <v>44593</v>
      </c>
      <c r="H121" s="6">
        <v>3000</v>
      </c>
      <c r="I121" t="s">
        <v>96</v>
      </c>
      <c r="J121" s="6">
        <f>Tabela18[[#This Row],[Quantidade]]*Tabela18[[#This Row],[ValorUnit]]</f>
        <v>1200000</v>
      </c>
    </row>
    <row r="122" spans="1:10" x14ac:dyDescent="0.25">
      <c r="A122">
        <v>121</v>
      </c>
      <c r="B122" t="s">
        <v>111</v>
      </c>
      <c r="C122">
        <v>100</v>
      </c>
      <c r="D122" t="s">
        <v>112</v>
      </c>
      <c r="E122" t="s">
        <v>95</v>
      </c>
      <c r="F122" t="s">
        <v>31</v>
      </c>
      <c r="G122" s="1">
        <v>45071</v>
      </c>
      <c r="H122" s="6">
        <v>500</v>
      </c>
      <c r="I122" t="s">
        <v>113</v>
      </c>
      <c r="J122" s="6">
        <f>Tabela18[[#This Row],[Quantidade]]*Tabela18[[#This Row],[ValorUnit]]</f>
        <v>50000</v>
      </c>
    </row>
    <row r="123" spans="1:10" x14ac:dyDescent="0.25">
      <c r="A123">
        <v>122</v>
      </c>
      <c r="B123" t="s">
        <v>117</v>
      </c>
      <c r="C123">
        <v>200</v>
      </c>
      <c r="D123" t="s">
        <v>118</v>
      </c>
      <c r="E123" t="s">
        <v>95</v>
      </c>
      <c r="F123" t="s">
        <v>10</v>
      </c>
      <c r="G123" s="1">
        <v>44857</v>
      </c>
      <c r="H123" s="6">
        <v>1500</v>
      </c>
      <c r="I123" t="s">
        <v>113</v>
      </c>
      <c r="J123" s="6">
        <f>Tabela18[[#This Row],[Quantidade]]*Tabela18[[#This Row],[ValorUnit]]</f>
        <v>300000</v>
      </c>
    </row>
    <row r="124" spans="1:10" x14ac:dyDescent="0.25">
      <c r="A124">
        <v>123</v>
      </c>
      <c r="B124" t="s">
        <v>104</v>
      </c>
      <c r="C124">
        <v>300</v>
      </c>
      <c r="D124" t="s">
        <v>105</v>
      </c>
      <c r="E124" t="s">
        <v>99</v>
      </c>
      <c r="F124" t="s">
        <v>10</v>
      </c>
      <c r="G124" s="1">
        <v>45071</v>
      </c>
      <c r="H124" s="6">
        <v>800</v>
      </c>
      <c r="I124" t="s">
        <v>96</v>
      </c>
      <c r="J124" s="6">
        <f>Tabela18[[#This Row],[Quantidade]]*Tabela18[[#This Row],[ValorUnit]]</f>
        <v>240000</v>
      </c>
    </row>
    <row r="125" spans="1:10" x14ac:dyDescent="0.25">
      <c r="A125">
        <v>124</v>
      </c>
      <c r="B125" t="s">
        <v>117</v>
      </c>
      <c r="C125">
        <v>500</v>
      </c>
      <c r="D125" t="s">
        <v>118</v>
      </c>
      <c r="E125" t="s">
        <v>103</v>
      </c>
      <c r="F125" t="s">
        <v>10</v>
      </c>
      <c r="G125" s="1">
        <v>45037</v>
      </c>
      <c r="H125" s="6">
        <v>1500</v>
      </c>
      <c r="I125" t="s">
        <v>113</v>
      </c>
      <c r="J125" s="6">
        <f>Tabela18[[#This Row],[Quantidade]]*Tabela18[[#This Row],[ValorUnit]]</f>
        <v>750000</v>
      </c>
    </row>
    <row r="126" spans="1:10" x14ac:dyDescent="0.25">
      <c r="A126">
        <v>125</v>
      </c>
      <c r="B126" t="s">
        <v>119</v>
      </c>
      <c r="C126">
        <v>450</v>
      </c>
      <c r="D126" t="s">
        <v>120</v>
      </c>
      <c r="E126" t="s">
        <v>95</v>
      </c>
      <c r="F126" t="s">
        <v>10</v>
      </c>
      <c r="G126" s="1">
        <v>44772</v>
      </c>
      <c r="H126" s="6">
        <v>300</v>
      </c>
      <c r="I126" t="s">
        <v>116</v>
      </c>
      <c r="J126" s="6">
        <f>Tabela18[[#This Row],[Quantidade]]*Tabela18[[#This Row],[ValorUnit]]</f>
        <v>135000</v>
      </c>
    </row>
    <row r="127" spans="1:10" x14ac:dyDescent="0.25">
      <c r="A127">
        <v>126</v>
      </c>
      <c r="B127" t="s">
        <v>108</v>
      </c>
      <c r="C127">
        <v>100</v>
      </c>
      <c r="D127" t="s">
        <v>109</v>
      </c>
      <c r="E127" t="s">
        <v>99</v>
      </c>
      <c r="F127" t="s">
        <v>31</v>
      </c>
      <c r="G127" s="1">
        <v>44752</v>
      </c>
      <c r="H127" s="6">
        <v>3500</v>
      </c>
      <c r="I127" t="s">
        <v>100</v>
      </c>
      <c r="J127" s="6">
        <f>Tabela18[[#This Row],[Quantidade]]*Tabela18[[#This Row],[ValorUnit]]</f>
        <v>350000</v>
      </c>
    </row>
    <row r="128" spans="1:10" x14ac:dyDescent="0.25">
      <c r="A128">
        <v>127</v>
      </c>
      <c r="B128" t="s">
        <v>108</v>
      </c>
      <c r="C128">
        <v>350</v>
      </c>
      <c r="D128" t="s">
        <v>109</v>
      </c>
      <c r="E128" t="s">
        <v>95</v>
      </c>
      <c r="F128" t="s">
        <v>10</v>
      </c>
      <c r="G128" s="1">
        <v>44751</v>
      </c>
      <c r="H128" s="6">
        <v>3500</v>
      </c>
      <c r="I128" t="s">
        <v>100</v>
      </c>
      <c r="J128" s="6">
        <f>Tabela18[[#This Row],[Quantidade]]*Tabela18[[#This Row],[ValorUnit]]</f>
        <v>1225000</v>
      </c>
    </row>
    <row r="129" spans="1:10" x14ac:dyDescent="0.25">
      <c r="A129">
        <v>128</v>
      </c>
      <c r="B129" t="s">
        <v>104</v>
      </c>
      <c r="C129">
        <v>200</v>
      </c>
      <c r="D129" t="s">
        <v>105</v>
      </c>
      <c r="E129" t="s">
        <v>103</v>
      </c>
      <c r="F129" t="s">
        <v>10</v>
      </c>
      <c r="G129" s="1">
        <v>44707</v>
      </c>
      <c r="H129" s="6">
        <v>800</v>
      </c>
      <c r="I129" t="s">
        <v>96</v>
      </c>
      <c r="J129" s="6">
        <f>Tabela18[[#This Row],[Quantidade]]*Tabela18[[#This Row],[ValorUnit]]</f>
        <v>160000</v>
      </c>
    </row>
    <row r="130" spans="1:10" x14ac:dyDescent="0.25">
      <c r="A130">
        <v>129</v>
      </c>
      <c r="B130" t="s">
        <v>119</v>
      </c>
      <c r="C130">
        <v>250</v>
      </c>
      <c r="D130" t="s">
        <v>120</v>
      </c>
      <c r="E130" t="s">
        <v>110</v>
      </c>
      <c r="F130" t="s">
        <v>106</v>
      </c>
      <c r="G130" s="1">
        <v>45161</v>
      </c>
      <c r="H130" s="6">
        <v>300</v>
      </c>
      <c r="I130" t="s">
        <v>116</v>
      </c>
      <c r="J130" s="6">
        <f>Tabela18[[#This Row],[Quantidade]]*Tabela18[[#This Row],[ValorUnit]]</f>
        <v>75000</v>
      </c>
    </row>
    <row r="131" spans="1:10" x14ac:dyDescent="0.25">
      <c r="A131">
        <v>130</v>
      </c>
      <c r="B131" t="s">
        <v>117</v>
      </c>
      <c r="C131">
        <v>450</v>
      </c>
      <c r="D131" t="s">
        <v>118</v>
      </c>
      <c r="E131" t="s">
        <v>99</v>
      </c>
      <c r="F131" t="s">
        <v>31</v>
      </c>
      <c r="G131" s="1">
        <v>44900</v>
      </c>
      <c r="H131" s="6">
        <v>1500</v>
      </c>
      <c r="I131" t="s">
        <v>113</v>
      </c>
      <c r="J131" s="6">
        <f>Tabela18[[#This Row],[Quantidade]]*Tabela18[[#This Row],[ValorUnit]]</f>
        <v>675000</v>
      </c>
    </row>
    <row r="132" spans="1:10" x14ac:dyDescent="0.25">
      <c r="A132">
        <v>131</v>
      </c>
      <c r="B132" t="s">
        <v>111</v>
      </c>
      <c r="C132">
        <v>100</v>
      </c>
      <c r="D132" t="s">
        <v>112</v>
      </c>
      <c r="E132" t="s">
        <v>99</v>
      </c>
      <c r="F132" t="s">
        <v>106</v>
      </c>
      <c r="G132" s="1">
        <v>44707</v>
      </c>
      <c r="H132" s="6">
        <v>500</v>
      </c>
      <c r="I132" t="s">
        <v>113</v>
      </c>
      <c r="J132" s="6">
        <f>Tabela18[[#This Row],[Quantidade]]*Tabela18[[#This Row],[ValorUnit]]</f>
        <v>50000</v>
      </c>
    </row>
    <row r="133" spans="1:10" x14ac:dyDescent="0.25">
      <c r="A133">
        <v>132</v>
      </c>
      <c r="B133" t="s">
        <v>117</v>
      </c>
      <c r="C133">
        <v>500</v>
      </c>
      <c r="D133" t="s">
        <v>118</v>
      </c>
      <c r="E133" t="s">
        <v>95</v>
      </c>
      <c r="F133" t="s">
        <v>106</v>
      </c>
      <c r="G133" s="1">
        <v>45255</v>
      </c>
      <c r="H133" s="6">
        <v>1500</v>
      </c>
      <c r="I133" t="s">
        <v>113</v>
      </c>
      <c r="J133" s="6">
        <f>Tabela18[[#This Row],[Quantidade]]*Tabela18[[#This Row],[ValorUnit]]</f>
        <v>750000</v>
      </c>
    </row>
    <row r="134" spans="1:10" x14ac:dyDescent="0.25">
      <c r="A134">
        <v>133</v>
      </c>
      <c r="B134" t="s">
        <v>93</v>
      </c>
      <c r="C134">
        <v>250</v>
      </c>
      <c r="D134" t="s">
        <v>94</v>
      </c>
      <c r="E134" t="s">
        <v>95</v>
      </c>
      <c r="F134" t="s">
        <v>31</v>
      </c>
      <c r="G134" s="1">
        <v>44667</v>
      </c>
      <c r="H134" s="6">
        <v>3000</v>
      </c>
      <c r="I134" t="s">
        <v>96</v>
      </c>
      <c r="J134" s="6">
        <f>Tabela18[[#This Row],[Quantidade]]*Tabela18[[#This Row],[ValorUnit]]</f>
        <v>750000</v>
      </c>
    </row>
    <row r="135" spans="1:10" x14ac:dyDescent="0.25">
      <c r="A135">
        <v>134</v>
      </c>
      <c r="B135" t="s">
        <v>108</v>
      </c>
      <c r="C135">
        <v>150</v>
      </c>
      <c r="D135" t="s">
        <v>109</v>
      </c>
      <c r="E135" t="s">
        <v>110</v>
      </c>
      <c r="F135" t="s">
        <v>106</v>
      </c>
      <c r="G135" s="1">
        <v>44630</v>
      </c>
      <c r="H135" s="6">
        <v>3500</v>
      </c>
      <c r="I135" t="s">
        <v>100</v>
      </c>
      <c r="J135" s="6">
        <f>Tabela18[[#This Row],[Quantidade]]*Tabela18[[#This Row],[ValorUnit]]</f>
        <v>525000</v>
      </c>
    </row>
    <row r="136" spans="1:10" x14ac:dyDescent="0.25">
      <c r="A136">
        <v>135</v>
      </c>
      <c r="B136" t="s">
        <v>104</v>
      </c>
      <c r="C136">
        <v>100</v>
      </c>
      <c r="D136" t="s">
        <v>105</v>
      </c>
      <c r="E136" t="s">
        <v>103</v>
      </c>
      <c r="F136" t="s">
        <v>107</v>
      </c>
      <c r="G136" s="1">
        <v>44797</v>
      </c>
      <c r="H136" s="6">
        <v>800</v>
      </c>
      <c r="I136" t="s">
        <v>96</v>
      </c>
      <c r="J136" s="6">
        <f>Tabela18[[#This Row],[Quantidade]]*Tabela18[[#This Row],[ValorUnit]]</f>
        <v>80000</v>
      </c>
    </row>
    <row r="137" spans="1:10" x14ac:dyDescent="0.25">
      <c r="A137">
        <v>136</v>
      </c>
      <c r="B137" t="s">
        <v>97</v>
      </c>
      <c r="C137">
        <v>200</v>
      </c>
      <c r="D137" t="s">
        <v>98</v>
      </c>
      <c r="E137" t="s">
        <v>95</v>
      </c>
      <c r="F137" t="s">
        <v>106</v>
      </c>
      <c r="G137" s="1">
        <v>44633</v>
      </c>
      <c r="H137" s="6">
        <v>1000</v>
      </c>
      <c r="I137" t="s">
        <v>100</v>
      </c>
      <c r="J137" s="6">
        <f>Tabela18[[#This Row],[Quantidade]]*Tabela18[[#This Row],[ValorUnit]]</f>
        <v>200000</v>
      </c>
    </row>
    <row r="138" spans="1:10" x14ac:dyDescent="0.25">
      <c r="A138">
        <v>137</v>
      </c>
      <c r="B138" t="s">
        <v>111</v>
      </c>
      <c r="C138">
        <v>150</v>
      </c>
      <c r="D138" t="s">
        <v>112</v>
      </c>
      <c r="E138" t="s">
        <v>110</v>
      </c>
      <c r="F138" t="s">
        <v>31</v>
      </c>
      <c r="G138" s="1">
        <v>45262</v>
      </c>
      <c r="H138" s="6">
        <v>500</v>
      </c>
      <c r="I138" t="s">
        <v>113</v>
      </c>
      <c r="J138" s="6">
        <f>Tabela18[[#This Row],[Quantidade]]*Tabela18[[#This Row],[ValorUnit]]</f>
        <v>75000</v>
      </c>
    </row>
    <row r="139" spans="1:10" x14ac:dyDescent="0.25">
      <c r="A139">
        <v>138</v>
      </c>
      <c r="B139" t="s">
        <v>101</v>
      </c>
      <c r="C139">
        <v>500</v>
      </c>
      <c r="D139" t="s">
        <v>102</v>
      </c>
      <c r="E139" t="s">
        <v>95</v>
      </c>
      <c r="F139" t="s">
        <v>106</v>
      </c>
      <c r="G139" s="1">
        <v>44915</v>
      </c>
      <c r="H139" s="6">
        <v>2000</v>
      </c>
      <c r="I139" t="s">
        <v>96</v>
      </c>
      <c r="J139" s="6">
        <f>Tabela18[[#This Row],[Quantidade]]*Tabela18[[#This Row],[ValorUnit]]</f>
        <v>1000000</v>
      </c>
    </row>
    <row r="140" spans="1:10" x14ac:dyDescent="0.25">
      <c r="A140">
        <v>139</v>
      </c>
      <c r="B140" t="s">
        <v>111</v>
      </c>
      <c r="C140">
        <v>100</v>
      </c>
      <c r="D140" t="s">
        <v>112</v>
      </c>
      <c r="E140" t="s">
        <v>95</v>
      </c>
      <c r="F140" t="s">
        <v>31</v>
      </c>
      <c r="G140" s="1">
        <v>45255</v>
      </c>
      <c r="H140" s="6">
        <v>500</v>
      </c>
      <c r="I140" t="s">
        <v>113</v>
      </c>
      <c r="J140" s="6">
        <f>Tabela18[[#This Row],[Quantidade]]*Tabela18[[#This Row],[ValorUnit]]</f>
        <v>50000</v>
      </c>
    </row>
    <row r="141" spans="1:10" x14ac:dyDescent="0.25">
      <c r="A141">
        <v>140</v>
      </c>
      <c r="B141" t="s">
        <v>119</v>
      </c>
      <c r="C141">
        <v>350</v>
      </c>
      <c r="D141" t="s">
        <v>120</v>
      </c>
      <c r="E141" t="s">
        <v>110</v>
      </c>
      <c r="F141" t="s">
        <v>106</v>
      </c>
      <c r="G141" s="1">
        <v>45269</v>
      </c>
      <c r="H141" s="6">
        <v>300</v>
      </c>
      <c r="I141" t="s">
        <v>116</v>
      </c>
      <c r="J141" s="6">
        <f>Tabela18[[#This Row],[Quantidade]]*Tabela18[[#This Row],[ValorUnit]]</f>
        <v>105000</v>
      </c>
    </row>
    <row r="142" spans="1:10" x14ac:dyDescent="0.25">
      <c r="A142">
        <v>141</v>
      </c>
      <c r="B142" t="s">
        <v>111</v>
      </c>
      <c r="C142">
        <v>350</v>
      </c>
      <c r="D142" t="s">
        <v>112</v>
      </c>
      <c r="E142" t="s">
        <v>95</v>
      </c>
      <c r="F142" t="s">
        <v>31</v>
      </c>
      <c r="G142" s="1">
        <v>44976</v>
      </c>
      <c r="H142" s="6">
        <v>500</v>
      </c>
      <c r="I142" t="s">
        <v>113</v>
      </c>
      <c r="J142" s="6">
        <f>Tabela18[[#This Row],[Quantidade]]*Tabela18[[#This Row],[ValorUnit]]</f>
        <v>175000</v>
      </c>
    </row>
    <row r="143" spans="1:10" x14ac:dyDescent="0.25">
      <c r="A143">
        <v>142</v>
      </c>
      <c r="B143" t="s">
        <v>119</v>
      </c>
      <c r="C143">
        <v>100</v>
      </c>
      <c r="D143" t="s">
        <v>120</v>
      </c>
      <c r="E143" t="s">
        <v>95</v>
      </c>
      <c r="F143" t="s">
        <v>10</v>
      </c>
      <c r="G143" s="1">
        <v>44566</v>
      </c>
      <c r="H143" s="6">
        <v>300</v>
      </c>
      <c r="I143" t="s">
        <v>116</v>
      </c>
      <c r="J143" s="6">
        <f>Tabela18[[#This Row],[Quantidade]]*Tabela18[[#This Row],[ValorUnit]]</f>
        <v>30000</v>
      </c>
    </row>
    <row r="144" spans="1:10" x14ac:dyDescent="0.25">
      <c r="A144">
        <v>143</v>
      </c>
      <c r="B144" t="s">
        <v>101</v>
      </c>
      <c r="C144">
        <v>100</v>
      </c>
      <c r="D144" t="s">
        <v>102</v>
      </c>
      <c r="E144" t="s">
        <v>95</v>
      </c>
      <c r="F144" t="s">
        <v>10</v>
      </c>
      <c r="G144" s="1">
        <v>45239</v>
      </c>
      <c r="H144" s="6">
        <v>2000</v>
      </c>
      <c r="I144" t="s">
        <v>96</v>
      </c>
      <c r="J144" s="6">
        <f>Tabela18[[#This Row],[Quantidade]]*Tabela18[[#This Row],[ValorUnit]]</f>
        <v>200000</v>
      </c>
    </row>
    <row r="145" spans="1:10" x14ac:dyDescent="0.25">
      <c r="A145">
        <v>144</v>
      </c>
      <c r="B145" t="s">
        <v>97</v>
      </c>
      <c r="C145">
        <v>350</v>
      </c>
      <c r="D145" t="s">
        <v>98</v>
      </c>
      <c r="E145" t="s">
        <v>99</v>
      </c>
      <c r="F145" t="s">
        <v>10</v>
      </c>
      <c r="G145" s="1">
        <v>45184</v>
      </c>
      <c r="H145" s="6">
        <v>1000</v>
      </c>
      <c r="I145" t="s">
        <v>100</v>
      </c>
      <c r="J145" s="6">
        <f>Tabela18[[#This Row],[Quantidade]]*Tabela18[[#This Row],[ValorUnit]]</f>
        <v>350000</v>
      </c>
    </row>
    <row r="146" spans="1:10" x14ac:dyDescent="0.25">
      <c r="A146">
        <v>145</v>
      </c>
      <c r="B146" t="s">
        <v>119</v>
      </c>
      <c r="C146">
        <v>300</v>
      </c>
      <c r="D146" t="s">
        <v>120</v>
      </c>
      <c r="E146" t="s">
        <v>110</v>
      </c>
      <c r="F146" t="s">
        <v>106</v>
      </c>
      <c r="G146" s="1">
        <v>45038</v>
      </c>
      <c r="H146" s="6">
        <v>300</v>
      </c>
      <c r="I146" t="s">
        <v>116</v>
      </c>
      <c r="J146" s="6">
        <f>Tabela18[[#This Row],[Quantidade]]*Tabela18[[#This Row],[ValorUnit]]</f>
        <v>90000</v>
      </c>
    </row>
    <row r="147" spans="1:10" x14ac:dyDescent="0.25">
      <c r="A147">
        <v>146</v>
      </c>
      <c r="B147" t="s">
        <v>114</v>
      </c>
      <c r="C147">
        <v>250</v>
      </c>
      <c r="D147" t="s">
        <v>115</v>
      </c>
      <c r="E147" t="s">
        <v>103</v>
      </c>
      <c r="F147" t="s">
        <v>107</v>
      </c>
      <c r="G147" s="1">
        <v>45073</v>
      </c>
      <c r="H147" s="6">
        <v>500</v>
      </c>
      <c r="I147" t="s">
        <v>116</v>
      </c>
      <c r="J147" s="6">
        <f>Tabela18[[#This Row],[Quantidade]]*Tabela18[[#This Row],[ValorUnit]]</f>
        <v>125000</v>
      </c>
    </row>
    <row r="148" spans="1:10" x14ac:dyDescent="0.25">
      <c r="A148">
        <v>147</v>
      </c>
      <c r="B148" t="s">
        <v>119</v>
      </c>
      <c r="C148">
        <v>50</v>
      </c>
      <c r="D148" t="s">
        <v>120</v>
      </c>
      <c r="E148" t="s">
        <v>95</v>
      </c>
      <c r="F148" t="s">
        <v>31</v>
      </c>
      <c r="G148" s="1">
        <v>44693</v>
      </c>
      <c r="H148" s="6">
        <v>300</v>
      </c>
      <c r="I148" t="s">
        <v>116</v>
      </c>
      <c r="J148" s="6">
        <f>Tabela18[[#This Row],[Quantidade]]*Tabela18[[#This Row],[ValorUnit]]</f>
        <v>15000</v>
      </c>
    </row>
    <row r="149" spans="1:10" x14ac:dyDescent="0.25">
      <c r="A149">
        <v>148</v>
      </c>
      <c r="B149" t="s">
        <v>93</v>
      </c>
      <c r="C149">
        <v>500</v>
      </c>
      <c r="D149" t="s">
        <v>94</v>
      </c>
      <c r="E149" t="s">
        <v>103</v>
      </c>
      <c r="F149" t="s">
        <v>31</v>
      </c>
      <c r="G149" s="1">
        <v>44784</v>
      </c>
      <c r="H149" s="6">
        <v>3000</v>
      </c>
      <c r="I149" t="s">
        <v>96</v>
      </c>
      <c r="J149" s="6">
        <f>Tabela18[[#This Row],[Quantidade]]*Tabela18[[#This Row],[ValorUnit]]</f>
        <v>1500000</v>
      </c>
    </row>
    <row r="150" spans="1:10" x14ac:dyDescent="0.25">
      <c r="A150">
        <v>149</v>
      </c>
      <c r="B150" t="s">
        <v>104</v>
      </c>
      <c r="C150">
        <v>150</v>
      </c>
      <c r="D150" t="s">
        <v>105</v>
      </c>
      <c r="E150" t="s">
        <v>103</v>
      </c>
      <c r="F150" t="s">
        <v>31</v>
      </c>
      <c r="G150" s="1">
        <v>44594</v>
      </c>
      <c r="H150" s="6">
        <v>800</v>
      </c>
      <c r="I150" t="s">
        <v>96</v>
      </c>
      <c r="J150" s="6">
        <f>Tabela18[[#This Row],[Quantidade]]*Tabela18[[#This Row],[ValorUnit]]</f>
        <v>120000</v>
      </c>
    </row>
    <row r="151" spans="1:10" x14ac:dyDescent="0.25">
      <c r="A151">
        <v>150</v>
      </c>
      <c r="B151" t="s">
        <v>93</v>
      </c>
      <c r="C151">
        <v>150</v>
      </c>
      <c r="D151" t="s">
        <v>94</v>
      </c>
      <c r="E151" t="s">
        <v>110</v>
      </c>
      <c r="F151" t="s">
        <v>10</v>
      </c>
      <c r="G151" s="1">
        <v>44715</v>
      </c>
      <c r="H151" s="6">
        <v>3000</v>
      </c>
      <c r="I151" t="s">
        <v>96</v>
      </c>
      <c r="J151" s="6">
        <f>Tabela18[[#This Row],[Quantidade]]*Tabela18[[#This Row],[ValorUnit]]</f>
        <v>450000</v>
      </c>
    </row>
    <row r="152" spans="1:10" x14ac:dyDescent="0.25">
      <c r="A152">
        <v>151</v>
      </c>
      <c r="B152" t="s">
        <v>119</v>
      </c>
      <c r="C152">
        <v>100</v>
      </c>
      <c r="D152" t="s">
        <v>120</v>
      </c>
      <c r="E152" t="s">
        <v>99</v>
      </c>
      <c r="F152" t="s">
        <v>107</v>
      </c>
      <c r="G152" s="1">
        <v>44796</v>
      </c>
      <c r="H152" s="6">
        <v>300</v>
      </c>
      <c r="I152" t="s">
        <v>116</v>
      </c>
      <c r="J152" s="6">
        <f>Tabela18[[#This Row],[Quantidade]]*Tabela18[[#This Row],[ValorUnit]]</f>
        <v>30000</v>
      </c>
    </row>
    <row r="153" spans="1:10" x14ac:dyDescent="0.25">
      <c r="A153">
        <v>152</v>
      </c>
      <c r="B153" t="s">
        <v>97</v>
      </c>
      <c r="C153">
        <v>250</v>
      </c>
      <c r="D153" t="s">
        <v>98</v>
      </c>
      <c r="E153" t="s">
        <v>95</v>
      </c>
      <c r="F153" t="s">
        <v>106</v>
      </c>
      <c r="G153" s="1">
        <v>45161</v>
      </c>
      <c r="H153" s="6">
        <v>1000</v>
      </c>
      <c r="I153" t="s">
        <v>100</v>
      </c>
      <c r="J153" s="6">
        <f>Tabela18[[#This Row],[Quantidade]]*Tabela18[[#This Row],[ValorUnit]]</f>
        <v>250000</v>
      </c>
    </row>
    <row r="154" spans="1:10" x14ac:dyDescent="0.25">
      <c r="A154">
        <v>153</v>
      </c>
      <c r="B154" t="s">
        <v>111</v>
      </c>
      <c r="C154">
        <v>50</v>
      </c>
      <c r="D154" t="s">
        <v>112</v>
      </c>
      <c r="E154" t="s">
        <v>110</v>
      </c>
      <c r="F154" t="s">
        <v>10</v>
      </c>
      <c r="G154" s="1">
        <v>44957</v>
      </c>
      <c r="H154" s="6">
        <v>500</v>
      </c>
      <c r="I154" t="s">
        <v>113</v>
      </c>
      <c r="J154" s="6">
        <f>Tabela18[[#This Row],[Quantidade]]*Tabela18[[#This Row],[ValorUnit]]</f>
        <v>25000</v>
      </c>
    </row>
    <row r="155" spans="1:10" x14ac:dyDescent="0.25">
      <c r="A155">
        <v>154</v>
      </c>
      <c r="B155" t="s">
        <v>111</v>
      </c>
      <c r="C155">
        <v>400</v>
      </c>
      <c r="D155" t="s">
        <v>112</v>
      </c>
      <c r="E155" t="s">
        <v>103</v>
      </c>
      <c r="F155" t="s">
        <v>106</v>
      </c>
      <c r="G155" s="1">
        <v>44797</v>
      </c>
      <c r="H155" s="6">
        <v>500</v>
      </c>
      <c r="I155" t="s">
        <v>113</v>
      </c>
      <c r="J155" s="6">
        <f>Tabela18[[#This Row],[Quantidade]]*Tabela18[[#This Row],[ValorUnit]]</f>
        <v>200000</v>
      </c>
    </row>
    <row r="156" spans="1:10" x14ac:dyDescent="0.25">
      <c r="A156">
        <v>155</v>
      </c>
      <c r="B156" t="s">
        <v>97</v>
      </c>
      <c r="C156">
        <v>350</v>
      </c>
      <c r="D156" t="s">
        <v>98</v>
      </c>
      <c r="E156" t="s">
        <v>103</v>
      </c>
      <c r="F156" t="s">
        <v>10</v>
      </c>
      <c r="G156" s="1">
        <v>45109</v>
      </c>
      <c r="H156" s="6">
        <v>1000</v>
      </c>
      <c r="I156" t="s">
        <v>100</v>
      </c>
      <c r="J156" s="6">
        <f>Tabela18[[#This Row],[Quantidade]]*Tabela18[[#This Row],[ValorUnit]]</f>
        <v>350000</v>
      </c>
    </row>
    <row r="157" spans="1:10" x14ac:dyDescent="0.25">
      <c r="A157">
        <v>156</v>
      </c>
      <c r="B157" t="s">
        <v>108</v>
      </c>
      <c r="C157">
        <v>150</v>
      </c>
      <c r="D157" t="s">
        <v>109</v>
      </c>
      <c r="E157" t="s">
        <v>110</v>
      </c>
      <c r="F157" t="s">
        <v>107</v>
      </c>
      <c r="G157" s="1">
        <v>44957</v>
      </c>
      <c r="H157" s="6">
        <v>3500</v>
      </c>
      <c r="I157" t="s">
        <v>100</v>
      </c>
      <c r="J157" s="6">
        <f>Tabela18[[#This Row],[Quantidade]]*Tabela18[[#This Row],[ValorUnit]]</f>
        <v>525000</v>
      </c>
    </row>
    <row r="158" spans="1:10" x14ac:dyDescent="0.25">
      <c r="A158">
        <v>157</v>
      </c>
      <c r="B158" t="s">
        <v>97</v>
      </c>
      <c r="C158">
        <v>200</v>
      </c>
      <c r="D158" t="s">
        <v>98</v>
      </c>
      <c r="E158" t="s">
        <v>99</v>
      </c>
      <c r="F158" t="s">
        <v>31</v>
      </c>
      <c r="G158" s="1">
        <v>45152</v>
      </c>
      <c r="H158" s="6">
        <v>1000</v>
      </c>
      <c r="I158" t="s">
        <v>100</v>
      </c>
      <c r="J158" s="6">
        <f>Tabela18[[#This Row],[Quantidade]]*Tabela18[[#This Row],[ValorUnit]]</f>
        <v>200000</v>
      </c>
    </row>
    <row r="159" spans="1:10" x14ac:dyDescent="0.25">
      <c r="A159">
        <v>158</v>
      </c>
      <c r="B159" t="s">
        <v>104</v>
      </c>
      <c r="C159">
        <v>500</v>
      </c>
      <c r="D159" t="s">
        <v>105</v>
      </c>
      <c r="E159" t="s">
        <v>99</v>
      </c>
      <c r="F159" t="s">
        <v>106</v>
      </c>
      <c r="G159" s="1">
        <v>45257</v>
      </c>
      <c r="H159" s="6">
        <v>800</v>
      </c>
      <c r="I159" t="s">
        <v>96</v>
      </c>
      <c r="J159" s="6">
        <f>Tabela18[[#This Row],[Quantidade]]*Tabela18[[#This Row],[ValorUnit]]</f>
        <v>400000</v>
      </c>
    </row>
    <row r="160" spans="1:10" x14ac:dyDescent="0.25">
      <c r="A160">
        <v>159</v>
      </c>
      <c r="B160" t="s">
        <v>93</v>
      </c>
      <c r="C160">
        <v>100</v>
      </c>
      <c r="D160" t="s">
        <v>94</v>
      </c>
      <c r="E160" t="s">
        <v>99</v>
      </c>
      <c r="F160" t="s">
        <v>31</v>
      </c>
      <c r="G160" s="1">
        <v>44796</v>
      </c>
      <c r="H160" s="6">
        <v>3000</v>
      </c>
      <c r="I160" t="s">
        <v>96</v>
      </c>
      <c r="J160" s="6">
        <f>Tabela18[[#This Row],[Quantidade]]*Tabela18[[#This Row],[ValorUnit]]</f>
        <v>300000</v>
      </c>
    </row>
    <row r="161" spans="1:10" x14ac:dyDescent="0.25">
      <c r="A161">
        <v>160</v>
      </c>
      <c r="B161" t="s">
        <v>114</v>
      </c>
      <c r="C161">
        <v>100</v>
      </c>
      <c r="D161" t="s">
        <v>115</v>
      </c>
      <c r="E161" t="s">
        <v>95</v>
      </c>
      <c r="F161" t="s">
        <v>106</v>
      </c>
      <c r="G161" s="1">
        <v>45260</v>
      </c>
      <c r="H161" s="6">
        <v>500</v>
      </c>
      <c r="I161" t="s">
        <v>116</v>
      </c>
      <c r="J161" s="6">
        <f>Tabela18[[#This Row],[Quantidade]]*Tabela18[[#This Row],[ValorUnit]]</f>
        <v>50000</v>
      </c>
    </row>
    <row r="162" spans="1:10" x14ac:dyDescent="0.25">
      <c r="A162">
        <v>161</v>
      </c>
      <c r="B162" t="s">
        <v>119</v>
      </c>
      <c r="C162">
        <v>500</v>
      </c>
      <c r="D162" t="s">
        <v>120</v>
      </c>
      <c r="E162" t="s">
        <v>110</v>
      </c>
      <c r="F162" t="s">
        <v>31</v>
      </c>
      <c r="G162" s="1">
        <v>44649</v>
      </c>
      <c r="H162" s="6">
        <v>300</v>
      </c>
      <c r="I162" t="s">
        <v>116</v>
      </c>
      <c r="J162" s="6">
        <f>Tabela18[[#This Row],[Quantidade]]*Tabela18[[#This Row],[ValorUnit]]</f>
        <v>150000</v>
      </c>
    </row>
    <row r="163" spans="1:10" x14ac:dyDescent="0.25">
      <c r="A163">
        <v>162</v>
      </c>
      <c r="B163" t="s">
        <v>114</v>
      </c>
      <c r="C163">
        <v>100</v>
      </c>
      <c r="D163" t="s">
        <v>115</v>
      </c>
      <c r="E163" t="s">
        <v>95</v>
      </c>
      <c r="F163" t="s">
        <v>107</v>
      </c>
      <c r="G163" s="1">
        <v>45154</v>
      </c>
      <c r="H163" s="6">
        <v>500</v>
      </c>
      <c r="I163" t="s">
        <v>116</v>
      </c>
      <c r="J163" s="6">
        <f>Tabela18[[#This Row],[Quantidade]]*Tabela18[[#This Row],[ValorUnit]]</f>
        <v>50000</v>
      </c>
    </row>
    <row r="164" spans="1:10" x14ac:dyDescent="0.25">
      <c r="A164">
        <v>163</v>
      </c>
      <c r="B164" t="s">
        <v>117</v>
      </c>
      <c r="C164">
        <v>150</v>
      </c>
      <c r="D164" t="s">
        <v>118</v>
      </c>
      <c r="E164" t="s">
        <v>95</v>
      </c>
      <c r="F164" t="s">
        <v>31</v>
      </c>
      <c r="G164" s="1">
        <v>44779</v>
      </c>
      <c r="H164" s="6">
        <v>1500</v>
      </c>
      <c r="I164" t="s">
        <v>113</v>
      </c>
      <c r="J164" s="6">
        <f>Tabela18[[#This Row],[Quantidade]]*Tabela18[[#This Row],[ValorUnit]]</f>
        <v>225000</v>
      </c>
    </row>
    <row r="165" spans="1:10" x14ac:dyDescent="0.25">
      <c r="A165">
        <v>164</v>
      </c>
      <c r="B165" t="s">
        <v>97</v>
      </c>
      <c r="C165">
        <v>300</v>
      </c>
      <c r="D165" t="s">
        <v>98</v>
      </c>
      <c r="E165" t="s">
        <v>99</v>
      </c>
      <c r="F165" t="s">
        <v>106</v>
      </c>
      <c r="G165" s="1">
        <v>44957</v>
      </c>
      <c r="H165" s="6">
        <v>1000</v>
      </c>
      <c r="I165" t="s">
        <v>100</v>
      </c>
      <c r="J165" s="6">
        <f>Tabela18[[#This Row],[Quantidade]]*Tabela18[[#This Row],[ValorUnit]]</f>
        <v>300000</v>
      </c>
    </row>
    <row r="166" spans="1:10" x14ac:dyDescent="0.25">
      <c r="A166">
        <v>165</v>
      </c>
      <c r="B166" t="s">
        <v>104</v>
      </c>
      <c r="C166">
        <v>100</v>
      </c>
      <c r="D166" t="s">
        <v>105</v>
      </c>
      <c r="E166" t="s">
        <v>99</v>
      </c>
      <c r="F166" t="s">
        <v>107</v>
      </c>
      <c r="G166" s="1">
        <v>44870</v>
      </c>
      <c r="H166" s="6">
        <v>800</v>
      </c>
      <c r="I166" t="s">
        <v>96</v>
      </c>
      <c r="J166" s="6">
        <f>Tabela18[[#This Row],[Quantidade]]*Tabela18[[#This Row],[ValorUnit]]</f>
        <v>80000</v>
      </c>
    </row>
    <row r="167" spans="1:10" x14ac:dyDescent="0.25">
      <c r="A167">
        <v>166</v>
      </c>
      <c r="B167" t="s">
        <v>108</v>
      </c>
      <c r="C167">
        <v>500</v>
      </c>
      <c r="D167" t="s">
        <v>109</v>
      </c>
      <c r="E167" t="s">
        <v>99</v>
      </c>
      <c r="F167" t="s">
        <v>31</v>
      </c>
      <c r="G167" s="1">
        <v>45249</v>
      </c>
      <c r="H167" s="6">
        <v>3500</v>
      </c>
      <c r="I167" t="s">
        <v>100</v>
      </c>
      <c r="J167" s="6">
        <f>Tabela18[[#This Row],[Quantidade]]*Tabela18[[#This Row],[ValorUnit]]</f>
        <v>1750000</v>
      </c>
    </row>
    <row r="168" spans="1:10" x14ac:dyDescent="0.25">
      <c r="A168">
        <v>167</v>
      </c>
      <c r="B168" t="s">
        <v>104</v>
      </c>
      <c r="C168">
        <v>250</v>
      </c>
      <c r="D168" t="s">
        <v>105</v>
      </c>
      <c r="E168" t="s">
        <v>103</v>
      </c>
      <c r="F168" t="s">
        <v>106</v>
      </c>
      <c r="G168" s="1">
        <v>44957</v>
      </c>
      <c r="H168" s="6">
        <v>800</v>
      </c>
      <c r="I168" t="s">
        <v>96</v>
      </c>
      <c r="J168" s="6">
        <f>Tabela18[[#This Row],[Quantidade]]*Tabela18[[#This Row],[ValorUnit]]</f>
        <v>200000</v>
      </c>
    </row>
    <row r="169" spans="1:10" x14ac:dyDescent="0.25">
      <c r="A169">
        <v>168</v>
      </c>
      <c r="B169" t="s">
        <v>104</v>
      </c>
      <c r="C169">
        <v>350</v>
      </c>
      <c r="D169" t="s">
        <v>105</v>
      </c>
      <c r="E169" t="s">
        <v>110</v>
      </c>
      <c r="F169" t="s">
        <v>31</v>
      </c>
      <c r="G169" s="1">
        <v>45071</v>
      </c>
      <c r="H169" s="6">
        <v>800</v>
      </c>
      <c r="I169" t="s">
        <v>96</v>
      </c>
      <c r="J169" s="6">
        <f>Tabela18[[#This Row],[Quantidade]]*Tabela18[[#This Row],[ValorUnit]]</f>
        <v>280000</v>
      </c>
    </row>
    <row r="170" spans="1:10" x14ac:dyDescent="0.25">
      <c r="A170">
        <v>169</v>
      </c>
      <c r="B170" t="s">
        <v>114</v>
      </c>
      <c r="C170">
        <v>400</v>
      </c>
      <c r="D170" t="s">
        <v>115</v>
      </c>
      <c r="E170" t="s">
        <v>95</v>
      </c>
      <c r="F170" t="s">
        <v>31</v>
      </c>
      <c r="G170" s="1">
        <v>44706</v>
      </c>
      <c r="H170" s="6">
        <v>500</v>
      </c>
      <c r="I170" t="s">
        <v>116</v>
      </c>
      <c r="J170" s="6">
        <f>Tabela18[[#This Row],[Quantidade]]*Tabela18[[#This Row],[ValorUnit]]</f>
        <v>200000</v>
      </c>
    </row>
    <row r="171" spans="1:10" x14ac:dyDescent="0.25">
      <c r="A171">
        <v>170</v>
      </c>
      <c r="B171" t="s">
        <v>119</v>
      </c>
      <c r="C171">
        <v>500</v>
      </c>
      <c r="D171" t="s">
        <v>120</v>
      </c>
      <c r="E171" t="s">
        <v>95</v>
      </c>
      <c r="F171" t="s">
        <v>107</v>
      </c>
      <c r="G171" s="1">
        <v>44690</v>
      </c>
      <c r="H171" s="6">
        <v>300</v>
      </c>
      <c r="I171" t="s">
        <v>116</v>
      </c>
      <c r="J171" s="6">
        <f>Tabela18[[#This Row],[Quantidade]]*Tabela18[[#This Row],[ValorUnit]]</f>
        <v>150000</v>
      </c>
    </row>
    <row r="172" spans="1:10" x14ac:dyDescent="0.25">
      <c r="A172">
        <v>171</v>
      </c>
      <c r="B172" t="s">
        <v>104</v>
      </c>
      <c r="C172">
        <v>350</v>
      </c>
      <c r="D172" t="s">
        <v>105</v>
      </c>
      <c r="E172" t="s">
        <v>110</v>
      </c>
      <c r="F172" t="s">
        <v>31</v>
      </c>
      <c r="G172" s="1">
        <v>44641</v>
      </c>
      <c r="H172" s="6">
        <v>800</v>
      </c>
      <c r="I172" t="s">
        <v>96</v>
      </c>
      <c r="J172" s="6">
        <f>Tabela18[[#This Row],[Quantidade]]*Tabela18[[#This Row],[ValorUnit]]</f>
        <v>280000</v>
      </c>
    </row>
    <row r="173" spans="1:10" x14ac:dyDescent="0.25">
      <c r="A173">
        <v>172</v>
      </c>
      <c r="B173" t="s">
        <v>108</v>
      </c>
      <c r="C173">
        <v>150</v>
      </c>
      <c r="D173" t="s">
        <v>109</v>
      </c>
      <c r="E173" t="s">
        <v>103</v>
      </c>
      <c r="F173" t="s">
        <v>107</v>
      </c>
      <c r="G173" s="1">
        <v>45111</v>
      </c>
      <c r="H173" s="6">
        <v>3500</v>
      </c>
      <c r="I173" t="s">
        <v>100</v>
      </c>
      <c r="J173" s="6">
        <f>Tabela18[[#This Row],[Quantidade]]*Tabela18[[#This Row],[ValorUnit]]</f>
        <v>525000</v>
      </c>
    </row>
    <row r="174" spans="1:10" x14ac:dyDescent="0.25">
      <c r="A174">
        <v>173</v>
      </c>
      <c r="B174" t="s">
        <v>93</v>
      </c>
      <c r="C174">
        <v>200</v>
      </c>
      <c r="D174" t="s">
        <v>94</v>
      </c>
      <c r="E174" t="s">
        <v>103</v>
      </c>
      <c r="F174" t="s">
        <v>106</v>
      </c>
      <c r="G174" s="1">
        <v>45088</v>
      </c>
      <c r="H174" s="6">
        <v>3000</v>
      </c>
      <c r="I174" t="s">
        <v>96</v>
      </c>
      <c r="J174" s="6">
        <f>Tabela18[[#This Row],[Quantidade]]*Tabela18[[#This Row],[ValorUnit]]</f>
        <v>600000</v>
      </c>
    </row>
    <row r="175" spans="1:10" x14ac:dyDescent="0.25">
      <c r="A175">
        <v>174</v>
      </c>
      <c r="B175" t="s">
        <v>108</v>
      </c>
      <c r="C175">
        <v>300</v>
      </c>
      <c r="D175" t="s">
        <v>109</v>
      </c>
      <c r="E175" t="s">
        <v>110</v>
      </c>
      <c r="F175" t="s">
        <v>10</v>
      </c>
      <c r="G175" s="1">
        <v>44797</v>
      </c>
      <c r="H175" s="6">
        <v>3500</v>
      </c>
      <c r="I175" t="s">
        <v>100</v>
      </c>
      <c r="J175" s="6">
        <f>Tabela18[[#This Row],[Quantidade]]*Tabela18[[#This Row],[ValorUnit]]</f>
        <v>1050000</v>
      </c>
    </row>
    <row r="176" spans="1:10" x14ac:dyDescent="0.25">
      <c r="A176">
        <v>175</v>
      </c>
      <c r="B176" t="s">
        <v>111</v>
      </c>
      <c r="C176">
        <v>200</v>
      </c>
      <c r="D176" t="s">
        <v>112</v>
      </c>
      <c r="E176" t="s">
        <v>99</v>
      </c>
      <c r="F176" t="s">
        <v>10</v>
      </c>
      <c r="G176" s="1">
        <v>45042</v>
      </c>
      <c r="H176" s="6">
        <v>500</v>
      </c>
      <c r="I176" t="s">
        <v>113</v>
      </c>
      <c r="J176" s="6">
        <f>Tabela18[[#This Row],[Quantidade]]*Tabela18[[#This Row],[ValorUnit]]</f>
        <v>100000</v>
      </c>
    </row>
    <row r="177" spans="1:10" x14ac:dyDescent="0.25">
      <c r="A177">
        <v>176</v>
      </c>
      <c r="B177" t="s">
        <v>101</v>
      </c>
      <c r="C177">
        <v>250</v>
      </c>
      <c r="D177" t="s">
        <v>102</v>
      </c>
      <c r="E177" t="s">
        <v>110</v>
      </c>
      <c r="F177" t="s">
        <v>10</v>
      </c>
      <c r="G177" s="1">
        <v>44988</v>
      </c>
      <c r="H177" s="6">
        <v>2000</v>
      </c>
      <c r="I177" t="s">
        <v>96</v>
      </c>
      <c r="J177" s="6">
        <f>Tabela18[[#This Row],[Quantidade]]*Tabela18[[#This Row],[ValorUnit]]</f>
        <v>500000</v>
      </c>
    </row>
    <row r="178" spans="1:10" x14ac:dyDescent="0.25">
      <c r="A178">
        <v>177</v>
      </c>
      <c r="B178" t="s">
        <v>108</v>
      </c>
      <c r="C178">
        <v>150</v>
      </c>
      <c r="D178" t="s">
        <v>109</v>
      </c>
      <c r="E178" t="s">
        <v>99</v>
      </c>
      <c r="F178" t="s">
        <v>106</v>
      </c>
      <c r="G178" s="1">
        <v>45080</v>
      </c>
      <c r="H178" s="6">
        <v>3500</v>
      </c>
      <c r="I178" t="s">
        <v>100</v>
      </c>
      <c r="J178" s="6">
        <f>Tabela18[[#This Row],[Quantidade]]*Tabela18[[#This Row],[ValorUnit]]</f>
        <v>525000</v>
      </c>
    </row>
    <row r="179" spans="1:10" x14ac:dyDescent="0.25">
      <c r="A179">
        <v>178</v>
      </c>
      <c r="B179" t="s">
        <v>114</v>
      </c>
      <c r="C179">
        <v>250</v>
      </c>
      <c r="D179" t="s">
        <v>115</v>
      </c>
      <c r="E179" t="s">
        <v>110</v>
      </c>
      <c r="F179" t="s">
        <v>106</v>
      </c>
      <c r="G179" s="1">
        <v>44976</v>
      </c>
      <c r="H179" s="6">
        <v>500</v>
      </c>
      <c r="I179" t="s">
        <v>116</v>
      </c>
      <c r="J179" s="6">
        <f>Tabela18[[#This Row],[Quantidade]]*Tabela18[[#This Row],[ValorUnit]]</f>
        <v>125000</v>
      </c>
    </row>
    <row r="180" spans="1:10" x14ac:dyDescent="0.25">
      <c r="A180">
        <v>179</v>
      </c>
      <c r="B180" t="s">
        <v>119</v>
      </c>
      <c r="C180">
        <v>200</v>
      </c>
      <c r="D180" t="s">
        <v>120</v>
      </c>
      <c r="E180" t="s">
        <v>95</v>
      </c>
      <c r="F180" t="s">
        <v>106</v>
      </c>
      <c r="G180" s="1">
        <v>44857</v>
      </c>
      <c r="H180" s="6">
        <v>300</v>
      </c>
      <c r="I180" t="s">
        <v>116</v>
      </c>
      <c r="J180" s="6">
        <f>Tabela18[[#This Row],[Quantidade]]*Tabela18[[#This Row],[ValorUnit]]</f>
        <v>60000</v>
      </c>
    </row>
    <row r="181" spans="1:10" x14ac:dyDescent="0.25">
      <c r="A181">
        <v>180</v>
      </c>
      <c r="B181" t="s">
        <v>104</v>
      </c>
      <c r="C181">
        <v>50</v>
      </c>
      <c r="D181" t="s">
        <v>105</v>
      </c>
      <c r="E181" t="s">
        <v>110</v>
      </c>
      <c r="F181" t="s">
        <v>107</v>
      </c>
      <c r="G181" s="1">
        <v>44964</v>
      </c>
      <c r="H181" s="6">
        <v>800</v>
      </c>
      <c r="I181" t="s">
        <v>96</v>
      </c>
      <c r="J181" s="6">
        <f>Tabela18[[#This Row],[Quantidade]]*Tabela18[[#This Row],[ValorUnit]]</f>
        <v>40000</v>
      </c>
    </row>
    <row r="182" spans="1:10" x14ac:dyDescent="0.25">
      <c r="A182">
        <v>181</v>
      </c>
      <c r="B182" t="s">
        <v>114</v>
      </c>
      <c r="C182">
        <v>400</v>
      </c>
      <c r="D182" t="s">
        <v>115</v>
      </c>
      <c r="E182" t="s">
        <v>99</v>
      </c>
      <c r="F182" t="s">
        <v>10</v>
      </c>
      <c r="G182" s="1">
        <v>45260</v>
      </c>
      <c r="H182" s="6">
        <v>500</v>
      </c>
      <c r="I182" t="s">
        <v>116</v>
      </c>
      <c r="J182" s="6">
        <f>Tabela18[[#This Row],[Quantidade]]*Tabela18[[#This Row],[ValorUnit]]</f>
        <v>200000</v>
      </c>
    </row>
    <row r="183" spans="1:10" x14ac:dyDescent="0.25">
      <c r="A183">
        <v>182</v>
      </c>
      <c r="B183" t="s">
        <v>101</v>
      </c>
      <c r="C183">
        <v>500</v>
      </c>
      <c r="D183" t="s">
        <v>102</v>
      </c>
      <c r="E183" t="s">
        <v>110</v>
      </c>
      <c r="F183" t="s">
        <v>107</v>
      </c>
      <c r="G183" s="1">
        <v>45190</v>
      </c>
      <c r="H183" s="6">
        <v>2000</v>
      </c>
      <c r="I183" t="s">
        <v>96</v>
      </c>
      <c r="J183" s="6">
        <f>Tabela18[[#This Row],[Quantidade]]*Tabela18[[#This Row],[ValorUnit]]</f>
        <v>1000000</v>
      </c>
    </row>
    <row r="184" spans="1:10" x14ac:dyDescent="0.25">
      <c r="A184">
        <v>183</v>
      </c>
      <c r="B184" t="s">
        <v>117</v>
      </c>
      <c r="C184">
        <v>50</v>
      </c>
      <c r="D184" t="s">
        <v>118</v>
      </c>
      <c r="E184" t="s">
        <v>103</v>
      </c>
      <c r="F184" t="s">
        <v>10</v>
      </c>
      <c r="G184" s="1">
        <v>44648</v>
      </c>
      <c r="H184" s="6">
        <v>1500</v>
      </c>
      <c r="I184" t="s">
        <v>113</v>
      </c>
      <c r="J184" s="6">
        <f>Tabela18[[#This Row],[Quantidade]]*Tabela18[[#This Row],[ValorUnit]]</f>
        <v>75000</v>
      </c>
    </row>
    <row r="185" spans="1:10" x14ac:dyDescent="0.25">
      <c r="A185">
        <v>184</v>
      </c>
      <c r="B185" t="s">
        <v>114</v>
      </c>
      <c r="C185">
        <v>350</v>
      </c>
      <c r="D185" t="s">
        <v>115</v>
      </c>
      <c r="E185" t="s">
        <v>103</v>
      </c>
      <c r="F185" t="s">
        <v>107</v>
      </c>
      <c r="G185" s="1">
        <v>44994</v>
      </c>
      <c r="H185" s="6">
        <v>500</v>
      </c>
      <c r="I185" t="s">
        <v>116</v>
      </c>
      <c r="J185" s="6">
        <f>Tabela18[[#This Row],[Quantidade]]*Tabela18[[#This Row],[ValorUnit]]</f>
        <v>175000</v>
      </c>
    </row>
    <row r="186" spans="1:10" x14ac:dyDescent="0.25">
      <c r="A186">
        <v>185</v>
      </c>
      <c r="B186" t="s">
        <v>114</v>
      </c>
      <c r="C186">
        <v>400</v>
      </c>
      <c r="D186" t="s">
        <v>115</v>
      </c>
      <c r="E186" t="s">
        <v>99</v>
      </c>
      <c r="F186" t="s">
        <v>107</v>
      </c>
      <c r="G186" s="1">
        <v>44849</v>
      </c>
      <c r="H186" s="6">
        <v>500</v>
      </c>
      <c r="I186" t="s">
        <v>116</v>
      </c>
      <c r="J186" s="6">
        <f>Tabela18[[#This Row],[Quantidade]]*Tabela18[[#This Row],[ValorUnit]]</f>
        <v>200000</v>
      </c>
    </row>
    <row r="187" spans="1:10" x14ac:dyDescent="0.25">
      <c r="A187">
        <v>186</v>
      </c>
      <c r="B187" t="s">
        <v>101</v>
      </c>
      <c r="C187">
        <v>500</v>
      </c>
      <c r="D187" t="s">
        <v>102</v>
      </c>
      <c r="E187" t="s">
        <v>99</v>
      </c>
      <c r="F187" t="s">
        <v>10</v>
      </c>
      <c r="G187" s="1">
        <v>44862</v>
      </c>
      <c r="H187" s="6">
        <v>2000</v>
      </c>
      <c r="I187" t="s">
        <v>96</v>
      </c>
      <c r="J187" s="6">
        <f>Tabela18[[#This Row],[Quantidade]]*Tabela18[[#This Row],[ValorUnit]]</f>
        <v>1000000</v>
      </c>
    </row>
    <row r="188" spans="1:10" x14ac:dyDescent="0.25">
      <c r="A188">
        <v>187</v>
      </c>
      <c r="B188" t="s">
        <v>114</v>
      </c>
      <c r="C188">
        <v>250</v>
      </c>
      <c r="D188" t="s">
        <v>115</v>
      </c>
      <c r="E188" t="s">
        <v>99</v>
      </c>
      <c r="F188" t="s">
        <v>31</v>
      </c>
      <c r="G188" s="1">
        <v>45000</v>
      </c>
      <c r="H188" s="6">
        <v>500</v>
      </c>
      <c r="I188" t="s">
        <v>116</v>
      </c>
      <c r="J188" s="6">
        <f>Tabela18[[#This Row],[Quantidade]]*Tabela18[[#This Row],[ValorUnit]]</f>
        <v>125000</v>
      </c>
    </row>
    <row r="189" spans="1:10" x14ac:dyDescent="0.25">
      <c r="A189">
        <v>188</v>
      </c>
      <c r="B189" t="s">
        <v>114</v>
      </c>
      <c r="C189">
        <v>350</v>
      </c>
      <c r="D189" t="s">
        <v>115</v>
      </c>
      <c r="E189" t="s">
        <v>99</v>
      </c>
      <c r="F189" t="s">
        <v>107</v>
      </c>
      <c r="G189" s="1">
        <v>45269</v>
      </c>
      <c r="H189" s="6">
        <v>500</v>
      </c>
      <c r="I189" t="s">
        <v>116</v>
      </c>
      <c r="J189" s="6">
        <f>Tabela18[[#This Row],[Quantidade]]*Tabela18[[#This Row],[ValorUnit]]</f>
        <v>175000</v>
      </c>
    </row>
    <row r="190" spans="1:10" x14ac:dyDescent="0.25">
      <c r="A190">
        <v>189</v>
      </c>
      <c r="B190" t="s">
        <v>117</v>
      </c>
      <c r="C190">
        <v>250</v>
      </c>
      <c r="D190" t="s">
        <v>118</v>
      </c>
      <c r="E190" t="s">
        <v>110</v>
      </c>
      <c r="F190" t="s">
        <v>31</v>
      </c>
      <c r="G190" s="1">
        <v>44612</v>
      </c>
      <c r="H190" s="6">
        <v>1500</v>
      </c>
      <c r="I190" t="s">
        <v>113</v>
      </c>
      <c r="J190" s="6">
        <f>Tabela18[[#This Row],[Quantidade]]*Tabela18[[#This Row],[ValorUnit]]</f>
        <v>375000</v>
      </c>
    </row>
    <row r="191" spans="1:10" x14ac:dyDescent="0.25">
      <c r="A191">
        <v>190</v>
      </c>
      <c r="B191" t="s">
        <v>108</v>
      </c>
      <c r="C191">
        <v>200</v>
      </c>
      <c r="D191" t="s">
        <v>109</v>
      </c>
      <c r="E191" t="s">
        <v>110</v>
      </c>
      <c r="F191" t="s">
        <v>10</v>
      </c>
      <c r="G191" s="1">
        <v>44797</v>
      </c>
      <c r="H191" s="6">
        <v>3500</v>
      </c>
      <c r="I191" t="s">
        <v>100</v>
      </c>
      <c r="J191" s="6">
        <f>Tabela18[[#This Row],[Quantidade]]*Tabela18[[#This Row],[ValorUnit]]</f>
        <v>700000</v>
      </c>
    </row>
    <row r="192" spans="1:10" x14ac:dyDescent="0.25">
      <c r="A192">
        <v>191</v>
      </c>
      <c r="B192" t="s">
        <v>97</v>
      </c>
      <c r="C192">
        <v>250</v>
      </c>
      <c r="D192" t="s">
        <v>98</v>
      </c>
      <c r="E192" t="s">
        <v>99</v>
      </c>
      <c r="F192" t="s">
        <v>106</v>
      </c>
      <c r="G192" s="1">
        <v>44957</v>
      </c>
      <c r="H192" s="6">
        <v>1000</v>
      </c>
      <c r="I192" t="s">
        <v>100</v>
      </c>
      <c r="J192" s="6">
        <f>Tabela18[[#This Row],[Quantidade]]*Tabela18[[#This Row],[ValorUnit]]</f>
        <v>250000</v>
      </c>
    </row>
    <row r="193" spans="1:10" x14ac:dyDescent="0.25">
      <c r="A193">
        <v>192</v>
      </c>
      <c r="B193" t="s">
        <v>93</v>
      </c>
      <c r="C193">
        <v>350</v>
      </c>
      <c r="D193" t="s">
        <v>94</v>
      </c>
      <c r="E193" t="s">
        <v>99</v>
      </c>
      <c r="F193" t="s">
        <v>31</v>
      </c>
      <c r="G193" s="1">
        <v>45076</v>
      </c>
      <c r="H193" s="6">
        <v>3000</v>
      </c>
      <c r="I193" t="s">
        <v>96</v>
      </c>
      <c r="J193" s="6">
        <f>Tabela18[[#This Row],[Quantidade]]*Tabela18[[#This Row],[ValorUnit]]</f>
        <v>1050000</v>
      </c>
    </row>
    <row r="194" spans="1:10" x14ac:dyDescent="0.25">
      <c r="A194">
        <v>193</v>
      </c>
      <c r="B194" t="s">
        <v>111</v>
      </c>
      <c r="C194">
        <v>250</v>
      </c>
      <c r="D194" t="s">
        <v>112</v>
      </c>
      <c r="E194" t="s">
        <v>95</v>
      </c>
      <c r="F194" t="s">
        <v>31</v>
      </c>
      <c r="G194" s="1">
        <v>44977</v>
      </c>
      <c r="H194" s="6">
        <v>500</v>
      </c>
      <c r="I194" t="s">
        <v>113</v>
      </c>
      <c r="J194" s="6">
        <f>Tabela18[[#This Row],[Quantidade]]*Tabela18[[#This Row],[ValorUnit]]</f>
        <v>125000</v>
      </c>
    </row>
    <row r="195" spans="1:10" x14ac:dyDescent="0.25">
      <c r="A195">
        <v>194</v>
      </c>
      <c r="B195" t="s">
        <v>117</v>
      </c>
      <c r="C195">
        <v>350</v>
      </c>
      <c r="D195" t="s">
        <v>118</v>
      </c>
      <c r="E195" t="s">
        <v>95</v>
      </c>
      <c r="F195" t="s">
        <v>31</v>
      </c>
      <c r="G195" s="1">
        <v>45070</v>
      </c>
      <c r="H195" s="6">
        <v>1500</v>
      </c>
      <c r="I195" t="s">
        <v>113</v>
      </c>
      <c r="J195" s="6">
        <f>Tabela18[[#This Row],[Quantidade]]*Tabela18[[#This Row],[ValorUnit]]</f>
        <v>525000</v>
      </c>
    </row>
    <row r="196" spans="1:10" x14ac:dyDescent="0.25">
      <c r="A196">
        <v>195</v>
      </c>
      <c r="B196" t="s">
        <v>114</v>
      </c>
      <c r="C196">
        <v>250</v>
      </c>
      <c r="D196" t="s">
        <v>115</v>
      </c>
      <c r="E196" t="s">
        <v>95</v>
      </c>
      <c r="F196" t="s">
        <v>107</v>
      </c>
      <c r="G196" s="1">
        <v>44705</v>
      </c>
      <c r="H196" s="6">
        <v>500</v>
      </c>
      <c r="I196" t="s">
        <v>116</v>
      </c>
      <c r="J196" s="6">
        <f>Tabela18[[#This Row],[Quantidade]]*Tabela18[[#This Row],[ValorUnit]]</f>
        <v>125000</v>
      </c>
    </row>
    <row r="197" spans="1:10" x14ac:dyDescent="0.25">
      <c r="A197">
        <v>196</v>
      </c>
      <c r="B197" t="s">
        <v>111</v>
      </c>
      <c r="C197">
        <v>250</v>
      </c>
      <c r="D197" t="s">
        <v>112</v>
      </c>
      <c r="E197" t="s">
        <v>110</v>
      </c>
      <c r="F197" t="s">
        <v>10</v>
      </c>
      <c r="G197" s="1">
        <v>45268</v>
      </c>
      <c r="H197" s="6">
        <v>500</v>
      </c>
      <c r="I197" t="s">
        <v>113</v>
      </c>
      <c r="J197" s="6">
        <f>Tabela18[[#This Row],[Quantidade]]*Tabela18[[#This Row],[ValorUnit]]</f>
        <v>125000</v>
      </c>
    </row>
    <row r="198" spans="1:10" x14ac:dyDescent="0.25">
      <c r="A198">
        <v>197</v>
      </c>
      <c r="B198" t="s">
        <v>114</v>
      </c>
      <c r="C198">
        <v>100</v>
      </c>
      <c r="D198" t="s">
        <v>115</v>
      </c>
      <c r="E198" t="s">
        <v>110</v>
      </c>
      <c r="F198" t="s">
        <v>10</v>
      </c>
      <c r="G198" s="1">
        <v>44868</v>
      </c>
      <c r="H198" s="6">
        <v>500</v>
      </c>
      <c r="I198" t="s">
        <v>116</v>
      </c>
      <c r="J198" s="6">
        <f>Tabela18[[#This Row],[Quantidade]]*Tabela18[[#This Row],[ValorUnit]]</f>
        <v>50000</v>
      </c>
    </row>
    <row r="199" spans="1:10" x14ac:dyDescent="0.25">
      <c r="A199">
        <v>198</v>
      </c>
      <c r="B199" t="s">
        <v>114</v>
      </c>
      <c r="C199">
        <v>250</v>
      </c>
      <c r="D199" t="s">
        <v>115</v>
      </c>
      <c r="E199" t="s">
        <v>99</v>
      </c>
      <c r="F199" t="s">
        <v>31</v>
      </c>
      <c r="G199" s="1">
        <v>45232</v>
      </c>
      <c r="H199" s="6">
        <v>500</v>
      </c>
      <c r="I199" t="s">
        <v>116</v>
      </c>
      <c r="J199" s="6">
        <f>Tabela18[[#This Row],[Quantidade]]*Tabela18[[#This Row],[ValorUnit]]</f>
        <v>125000</v>
      </c>
    </row>
    <row r="200" spans="1:10" x14ac:dyDescent="0.25">
      <c r="A200">
        <v>199</v>
      </c>
      <c r="B200" t="s">
        <v>101</v>
      </c>
      <c r="C200">
        <v>300</v>
      </c>
      <c r="D200" t="s">
        <v>102</v>
      </c>
      <c r="E200" t="s">
        <v>95</v>
      </c>
      <c r="F200" t="s">
        <v>107</v>
      </c>
      <c r="G200" s="1">
        <v>44958</v>
      </c>
      <c r="H200" s="6">
        <v>2000</v>
      </c>
      <c r="I200" t="s">
        <v>96</v>
      </c>
      <c r="J200" s="6">
        <f>Tabela18[[#This Row],[Quantidade]]*Tabela18[[#This Row],[ValorUnit]]</f>
        <v>600000</v>
      </c>
    </row>
    <row r="201" spans="1:10" x14ac:dyDescent="0.25">
      <c r="A201">
        <v>200</v>
      </c>
      <c r="B201" t="s">
        <v>93</v>
      </c>
      <c r="C201">
        <v>300</v>
      </c>
      <c r="D201" t="s">
        <v>94</v>
      </c>
      <c r="E201" t="s">
        <v>110</v>
      </c>
      <c r="F201" t="s">
        <v>106</v>
      </c>
      <c r="G201" s="1">
        <v>45257</v>
      </c>
      <c r="H201" s="6">
        <v>3000</v>
      </c>
      <c r="I201" t="s">
        <v>96</v>
      </c>
      <c r="J201" s="6">
        <f>Tabela18[[#This Row],[Quantidade]]*Tabela18[[#This Row],[ValorUnit]]</f>
        <v>900000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B24FC-04F4-4DC0-8B32-67DAE6276D6D}">
  <dimension ref="A1:D62"/>
  <sheetViews>
    <sheetView topLeftCell="A25" zoomScale="58" workbookViewId="0">
      <selection activeCell="A25" sqref="A25"/>
    </sheetView>
  </sheetViews>
  <sheetFormatPr defaultRowHeight="15" x14ac:dyDescent="0.25"/>
  <cols>
    <col min="1" max="1" width="27.42578125" bestFit="1" customWidth="1"/>
    <col min="2" max="2" width="25.5703125" bestFit="1" customWidth="1"/>
    <col min="3" max="3" width="8" bestFit="1" customWidth="1"/>
    <col min="4" max="4" width="25.5703125" bestFit="1" customWidth="1"/>
    <col min="5" max="5" width="14.140625" bestFit="1" customWidth="1"/>
    <col min="6" max="6" width="16.140625" bestFit="1" customWidth="1"/>
    <col min="7" max="7" width="15.85546875" bestFit="1" customWidth="1"/>
    <col min="8" max="8" width="13.42578125" bestFit="1" customWidth="1"/>
    <col min="9" max="10" width="15.85546875" bestFit="1" customWidth="1"/>
    <col min="11" max="11" width="14" bestFit="1" customWidth="1"/>
    <col min="12" max="12" width="15.85546875" bestFit="1" customWidth="1"/>
    <col min="13" max="13" width="13.140625" bestFit="1" customWidth="1"/>
    <col min="14" max="14" width="16.85546875" bestFit="1" customWidth="1"/>
    <col min="15" max="15" width="15.85546875" bestFit="1" customWidth="1"/>
    <col min="16" max="17" width="15.42578125" bestFit="1" customWidth="1"/>
    <col min="18" max="18" width="15.85546875" bestFit="1" customWidth="1"/>
    <col min="19" max="19" width="14.140625" bestFit="1" customWidth="1"/>
    <col min="20" max="20" width="15.42578125" bestFit="1" customWidth="1"/>
    <col min="21" max="21" width="13.42578125" bestFit="1" customWidth="1"/>
    <col min="22" max="22" width="16.85546875" bestFit="1" customWidth="1"/>
    <col min="23" max="23" width="15.42578125" bestFit="1" customWidth="1"/>
    <col min="24" max="24" width="13.7109375" bestFit="1" customWidth="1"/>
    <col min="25" max="26" width="14.85546875" bestFit="1" customWidth="1"/>
    <col min="27" max="27" width="14.140625" bestFit="1" customWidth="1"/>
    <col min="28" max="28" width="16.85546875" bestFit="1" customWidth="1"/>
    <col min="29" max="30" width="15.42578125" bestFit="1" customWidth="1"/>
    <col min="31" max="31" width="13.42578125" bestFit="1" customWidth="1"/>
    <col min="32" max="32" width="15.42578125" bestFit="1" customWidth="1"/>
    <col min="33" max="33" width="15.85546875" bestFit="1" customWidth="1"/>
    <col min="34" max="34" width="14.140625" bestFit="1" customWidth="1"/>
    <col min="35" max="35" width="16.140625" bestFit="1" customWidth="1"/>
    <col min="36" max="36" width="15.85546875" bestFit="1" customWidth="1"/>
    <col min="37" max="37" width="15.42578125" bestFit="1" customWidth="1"/>
    <col min="38" max="38" width="12.42578125" bestFit="1" customWidth="1"/>
    <col min="39" max="39" width="16.85546875" bestFit="1" customWidth="1"/>
    <col min="40" max="40" width="14.85546875" bestFit="1" customWidth="1"/>
    <col min="41" max="41" width="13.7109375" bestFit="1" customWidth="1"/>
    <col min="42" max="42" width="16.85546875" bestFit="1" customWidth="1"/>
    <col min="43" max="43" width="15.42578125" bestFit="1" customWidth="1"/>
    <col min="44" max="44" width="16.140625" bestFit="1" customWidth="1"/>
    <col min="45" max="47" width="13.28515625" bestFit="1" customWidth="1"/>
    <col min="48" max="48" width="14.28515625" bestFit="1" customWidth="1"/>
    <col min="49" max="49" width="13.28515625" bestFit="1" customWidth="1"/>
    <col min="50" max="50" width="14.28515625" bestFit="1" customWidth="1"/>
    <col min="51" max="51" width="13.28515625" bestFit="1" customWidth="1"/>
    <col min="52" max="52" width="14.28515625" bestFit="1" customWidth="1"/>
    <col min="53" max="53" width="13.28515625" bestFit="1" customWidth="1"/>
    <col min="54" max="56" width="14.28515625" bestFit="1" customWidth="1"/>
    <col min="57" max="57" width="16.140625" bestFit="1" customWidth="1"/>
    <col min="58" max="60" width="14.28515625" bestFit="1" customWidth="1"/>
    <col min="61" max="61" width="13.28515625" bestFit="1" customWidth="1"/>
    <col min="62" max="62" width="14.28515625" bestFit="1" customWidth="1"/>
    <col min="63" max="63" width="12.140625" bestFit="1" customWidth="1"/>
    <col min="64" max="65" width="13.28515625" bestFit="1" customWidth="1"/>
    <col min="66" max="66" width="14.28515625" bestFit="1" customWidth="1"/>
    <col min="67" max="67" width="13.28515625" bestFit="1" customWidth="1"/>
    <col min="68" max="72" width="14.28515625" bestFit="1" customWidth="1"/>
    <col min="73" max="73" width="16" bestFit="1" customWidth="1"/>
    <col min="74" max="74" width="16.85546875" bestFit="1" customWidth="1"/>
  </cols>
  <sheetData>
    <row r="1" spans="1:4" ht="15.75" x14ac:dyDescent="0.25">
      <c r="C1" t="s">
        <v>158</v>
      </c>
      <c r="D1" s="11" t="s">
        <v>150</v>
      </c>
    </row>
    <row r="2" spans="1:4" x14ac:dyDescent="0.25">
      <c r="C2">
        <f>GETPIVOTDATA("Quantidade",$A$3)</f>
        <v>2664</v>
      </c>
      <c r="D2" s="2">
        <f>GETPIVOTDATA("Total",$A$14)</f>
        <v>13894300</v>
      </c>
    </row>
    <row r="3" spans="1:4" x14ac:dyDescent="0.25">
      <c r="A3" s="4" t="s">
        <v>34</v>
      </c>
      <c r="B3" t="s">
        <v>36</v>
      </c>
    </row>
    <row r="4" spans="1:4" x14ac:dyDescent="0.25">
      <c r="A4" s="5" t="s">
        <v>122</v>
      </c>
      <c r="B4">
        <v>542</v>
      </c>
    </row>
    <row r="5" spans="1:4" x14ac:dyDescent="0.25">
      <c r="A5" s="5" t="s">
        <v>127</v>
      </c>
      <c r="B5">
        <v>540</v>
      </c>
      <c r="D5">
        <f>GETPIVOTDATA("Quantidade",$A$3)</f>
        <v>2664</v>
      </c>
    </row>
    <row r="6" spans="1:4" x14ac:dyDescent="0.25">
      <c r="A6" s="5" t="s">
        <v>124</v>
      </c>
      <c r="B6">
        <v>425</v>
      </c>
    </row>
    <row r="7" spans="1:4" x14ac:dyDescent="0.25">
      <c r="A7" s="5" t="s">
        <v>123</v>
      </c>
      <c r="B7">
        <v>408</v>
      </c>
    </row>
    <row r="8" spans="1:4" x14ac:dyDescent="0.25">
      <c r="A8" s="5" t="s">
        <v>126</v>
      </c>
      <c r="B8">
        <v>404</v>
      </c>
    </row>
    <row r="9" spans="1:4" x14ac:dyDescent="0.25">
      <c r="A9" s="5" t="s">
        <v>125</v>
      </c>
      <c r="B9">
        <v>345</v>
      </c>
    </row>
    <row r="10" spans="1:4" x14ac:dyDescent="0.25">
      <c r="A10" s="5" t="s">
        <v>35</v>
      </c>
      <c r="B10">
        <v>2664</v>
      </c>
    </row>
    <row r="14" spans="1:4" x14ac:dyDescent="0.25">
      <c r="A14" s="4" t="s">
        <v>34</v>
      </c>
      <c r="B14" t="s">
        <v>136</v>
      </c>
    </row>
    <row r="15" spans="1:4" x14ac:dyDescent="0.25">
      <c r="A15" s="5" t="s">
        <v>125</v>
      </c>
      <c r="B15" s="3">
        <v>5175000</v>
      </c>
    </row>
    <row r="16" spans="1:4" x14ac:dyDescent="0.25">
      <c r="A16" s="5" t="s">
        <v>122</v>
      </c>
      <c r="B16" s="3">
        <v>2710000</v>
      </c>
    </row>
    <row r="17" spans="1:2" x14ac:dyDescent="0.25">
      <c r="A17" s="5" t="s">
        <v>127</v>
      </c>
      <c r="B17" s="3">
        <v>2430000</v>
      </c>
    </row>
    <row r="18" spans="1:2" x14ac:dyDescent="0.25">
      <c r="A18" s="5" t="s">
        <v>126</v>
      </c>
      <c r="B18" s="3">
        <v>1292800</v>
      </c>
    </row>
    <row r="19" spans="1:2" x14ac:dyDescent="0.25">
      <c r="A19" s="5" t="s">
        <v>123</v>
      </c>
      <c r="B19" s="3">
        <v>1224000</v>
      </c>
    </row>
    <row r="20" spans="1:2" x14ac:dyDescent="0.25">
      <c r="A20" s="5" t="s">
        <v>124</v>
      </c>
      <c r="B20" s="3">
        <v>1062500</v>
      </c>
    </row>
    <row r="21" spans="1:2" x14ac:dyDescent="0.25">
      <c r="A21" s="5" t="s">
        <v>35</v>
      </c>
      <c r="B21" s="3">
        <v>13894300</v>
      </c>
    </row>
    <row r="24" spans="1:2" x14ac:dyDescent="0.25">
      <c r="A24" s="4" t="s">
        <v>34</v>
      </c>
      <c r="B24" t="s">
        <v>136</v>
      </c>
    </row>
    <row r="25" spans="1:2" x14ac:dyDescent="0.25">
      <c r="A25" s="5" t="s">
        <v>28</v>
      </c>
      <c r="B25" s="3">
        <v>2526900</v>
      </c>
    </row>
    <row r="26" spans="1:2" x14ac:dyDescent="0.25">
      <c r="A26" s="5" t="s">
        <v>27</v>
      </c>
      <c r="B26" s="3">
        <v>3324000</v>
      </c>
    </row>
    <row r="27" spans="1:2" x14ac:dyDescent="0.25">
      <c r="A27" s="5" t="s">
        <v>30</v>
      </c>
      <c r="B27" s="3">
        <v>3501300</v>
      </c>
    </row>
    <row r="28" spans="1:2" x14ac:dyDescent="0.25">
      <c r="A28" s="5" t="s">
        <v>29</v>
      </c>
      <c r="B28" s="3">
        <v>4542100</v>
      </c>
    </row>
    <row r="29" spans="1:2" x14ac:dyDescent="0.25">
      <c r="A29" s="5" t="s">
        <v>35</v>
      </c>
      <c r="B29" s="3">
        <v>13894300</v>
      </c>
    </row>
    <row r="33" spans="1:4" x14ac:dyDescent="0.25">
      <c r="A33" s="4" t="s">
        <v>136</v>
      </c>
      <c r="B33" s="4" t="s">
        <v>149</v>
      </c>
    </row>
    <row r="34" spans="1:4" x14ac:dyDescent="0.25">
      <c r="A34" s="4" t="s">
        <v>34</v>
      </c>
      <c r="B34" t="s">
        <v>137</v>
      </c>
      <c r="C34" t="s">
        <v>142</v>
      </c>
      <c r="D34" t="s">
        <v>35</v>
      </c>
    </row>
    <row r="35" spans="1:4" x14ac:dyDescent="0.25">
      <c r="A35" s="5" t="s">
        <v>138</v>
      </c>
      <c r="B35" s="3">
        <v>1898400</v>
      </c>
      <c r="C35" s="3">
        <v>2281900</v>
      </c>
      <c r="D35" s="3">
        <v>4180300</v>
      </c>
    </row>
    <row r="36" spans="1:4" x14ac:dyDescent="0.25">
      <c r="A36" s="5" t="s">
        <v>139</v>
      </c>
      <c r="B36" s="3">
        <v>3474600</v>
      </c>
      <c r="C36" s="3"/>
      <c r="D36" s="3">
        <v>3474600</v>
      </c>
    </row>
    <row r="37" spans="1:4" x14ac:dyDescent="0.25">
      <c r="A37" s="5" t="s">
        <v>140</v>
      </c>
      <c r="B37" s="3">
        <v>2169200</v>
      </c>
      <c r="C37" s="3">
        <v>2042500</v>
      </c>
      <c r="D37" s="3">
        <v>4211700</v>
      </c>
    </row>
    <row r="38" spans="1:4" x14ac:dyDescent="0.25">
      <c r="A38" s="5" t="s">
        <v>141</v>
      </c>
      <c r="B38" s="3">
        <v>1591300</v>
      </c>
      <c r="C38" s="3">
        <v>436400</v>
      </c>
      <c r="D38" s="3">
        <v>2027700</v>
      </c>
    </row>
    <row r="39" spans="1:4" x14ac:dyDescent="0.25">
      <c r="A39" s="5" t="s">
        <v>35</v>
      </c>
      <c r="B39" s="3">
        <v>9133500</v>
      </c>
      <c r="C39" s="3">
        <v>4760800</v>
      </c>
      <c r="D39" s="3">
        <v>13894300</v>
      </c>
    </row>
    <row r="43" spans="1:4" x14ac:dyDescent="0.25">
      <c r="A43" s="4" t="s">
        <v>36</v>
      </c>
      <c r="B43" s="4" t="s">
        <v>149</v>
      </c>
    </row>
    <row r="44" spans="1:4" x14ac:dyDescent="0.25">
      <c r="A44" s="4" t="s">
        <v>34</v>
      </c>
      <c r="B44" t="s">
        <v>137</v>
      </c>
      <c r="C44" t="s">
        <v>142</v>
      </c>
      <c r="D44" t="s">
        <v>35</v>
      </c>
    </row>
    <row r="45" spans="1:4" x14ac:dyDescent="0.25">
      <c r="A45" s="5" t="s">
        <v>122</v>
      </c>
      <c r="B45">
        <v>382</v>
      </c>
      <c r="C45">
        <v>160</v>
      </c>
      <c r="D45">
        <v>542</v>
      </c>
    </row>
    <row r="46" spans="1:4" x14ac:dyDescent="0.25">
      <c r="A46" s="5" t="s">
        <v>127</v>
      </c>
      <c r="B46">
        <v>333</v>
      </c>
      <c r="C46">
        <v>207</v>
      </c>
      <c r="D46">
        <v>540</v>
      </c>
    </row>
    <row r="47" spans="1:4" x14ac:dyDescent="0.25">
      <c r="A47" s="5" t="s">
        <v>124</v>
      </c>
      <c r="B47">
        <v>268</v>
      </c>
      <c r="C47">
        <v>157</v>
      </c>
      <c r="D47">
        <v>425</v>
      </c>
    </row>
    <row r="48" spans="1:4" x14ac:dyDescent="0.25">
      <c r="A48" s="5" t="s">
        <v>123</v>
      </c>
      <c r="B48">
        <v>265</v>
      </c>
      <c r="C48">
        <v>143</v>
      </c>
      <c r="D48">
        <v>408</v>
      </c>
    </row>
    <row r="49" spans="1:4" x14ac:dyDescent="0.25">
      <c r="A49" s="5" t="s">
        <v>126</v>
      </c>
      <c r="B49">
        <v>300</v>
      </c>
      <c r="C49">
        <v>104</v>
      </c>
      <c r="D49">
        <v>404</v>
      </c>
    </row>
    <row r="50" spans="1:4" x14ac:dyDescent="0.25">
      <c r="A50" s="5" t="s">
        <v>125</v>
      </c>
      <c r="B50">
        <v>220</v>
      </c>
      <c r="C50">
        <v>125</v>
      </c>
      <c r="D50">
        <v>345</v>
      </c>
    </row>
    <row r="51" spans="1:4" x14ac:dyDescent="0.25">
      <c r="A51" s="5" t="s">
        <v>35</v>
      </c>
      <c r="B51">
        <v>1768</v>
      </c>
      <c r="C51">
        <v>896</v>
      </c>
      <c r="D51">
        <v>2664</v>
      </c>
    </row>
    <row r="57" spans="1:4" x14ac:dyDescent="0.25">
      <c r="A57" s="4" t="s">
        <v>34</v>
      </c>
      <c r="B57" t="s">
        <v>36</v>
      </c>
    </row>
    <row r="58" spans="1:4" x14ac:dyDescent="0.25">
      <c r="A58" s="5" t="s">
        <v>28</v>
      </c>
      <c r="B58">
        <v>580</v>
      </c>
    </row>
    <row r="59" spans="1:4" x14ac:dyDescent="0.25">
      <c r="A59" s="5" t="s">
        <v>30</v>
      </c>
      <c r="B59">
        <v>597</v>
      </c>
    </row>
    <row r="60" spans="1:4" x14ac:dyDescent="0.25">
      <c r="A60" s="5" t="s">
        <v>27</v>
      </c>
      <c r="B60">
        <v>669</v>
      </c>
    </row>
    <row r="61" spans="1:4" x14ac:dyDescent="0.25">
      <c r="A61" s="5" t="s">
        <v>29</v>
      </c>
      <c r="B61">
        <v>818</v>
      </c>
    </row>
    <row r="62" spans="1:4" x14ac:dyDescent="0.25">
      <c r="A62" s="5" t="s">
        <v>35</v>
      </c>
      <c r="B62">
        <v>2664</v>
      </c>
    </row>
  </sheetData>
  <pageMargins left="0.511811024" right="0.511811024" top="0.78740157499999996" bottom="0.78740157499999996" header="0.31496062000000002" footer="0.31496062000000002"/>
  <drawing r:id="rId7"/>
  <extLst>
    <ext xmlns:x14="http://schemas.microsoft.com/office/spreadsheetml/2009/9/main" uri="{A8765BA9-456A-4dab-B4F3-ACF838C121DE}">
      <x14:slicerList>
        <x14:slicer r:id="rId8"/>
      </x14:slicerList>
    </ext>
    <ext xmlns:x15="http://schemas.microsoft.com/office/spreadsheetml/2010/11/main" uri="{7E03D99C-DC04-49d9-9315-930204A7B6E9}">
      <x15:timelineRefs>
        <x15:timelineRef r:id="rId9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CustoDeCapitalPA</vt:lpstr>
      <vt:lpstr>CapitalPA-Dinamica</vt:lpstr>
      <vt:lpstr>CustodoEspaço</vt:lpstr>
      <vt:lpstr>CapitalMP-Dinamica</vt:lpstr>
      <vt:lpstr>Espaço-Dinamica</vt:lpstr>
      <vt:lpstr>CustoManutençãodeEquipamento</vt:lpstr>
      <vt:lpstr>Equipamento-Dinamica</vt:lpstr>
      <vt:lpstr>CustoCapitalMP</vt:lpstr>
      <vt:lpstr>Estoque-Dinamica</vt:lpstr>
      <vt:lpstr>comparativo</vt:lpstr>
      <vt:lpstr>Capa</vt:lpstr>
      <vt:lpstr>Pag 1</vt:lpstr>
      <vt:lpstr>Pag 2</vt:lpstr>
      <vt:lpstr>Pag 3</vt:lpstr>
      <vt:lpstr>Pag 4</vt:lpstr>
      <vt:lpstr>Pag 5</vt:lpstr>
      <vt:lpstr>Pag 6</vt:lpstr>
      <vt:lpstr>contra-capa</vt:lpstr>
      <vt:lpstr>CustoEstoque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Carvalho Guimaraes</dc:creator>
  <cp:lastModifiedBy>Lidia Carvalho Guimaraes</cp:lastModifiedBy>
  <dcterms:created xsi:type="dcterms:W3CDTF">2023-12-19T23:21:18Z</dcterms:created>
  <dcterms:modified xsi:type="dcterms:W3CDTF">2024-01-17T00:07:55Z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0459e9a3-45da-4f64-9665-76faf911eba7</vt:lpwstr>
  </property>
</Properties>
</file>