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26" codeName="{00000000-0000-0000-0000-000000000000}"/>
  <workbookPr codeName="ThisWorkbook" defaultThemeVersion="166925"/>
  <mc:AlternateContent xmlns:mc="http://schemas.openxmlformats.org/markup-compatibility/2006">
    <mc:Choice Requires="x15">
      <x15ac:absPath xmlns:x15ac="http://schemas.microsoft.com/office/spreadsheetml/2010/11/ac" url="W:\Team Folders\EWH - Operations\04. Environmental &amp; Permit\Monitoring &amp; Reporting\03. Annual Reports\02. Annual Report 2022\"/>
    </mc:Choice>
  </mc:AlternateContent>
  <xr:revisionPtr revIDLastSave="0" documentId="13_ncr:1_{8BCF0ED1-D57D-4594-A297-B964F439238B}" xr6:coauthVersionLast="47" xr6:coauthVersionMax="47" xr10:uidLastSave="{00000000-0000-0000-0000-000000000000}"/>
  <bookViews>
    <workbookView xWindow="-105" yWindow="-105" windowWidth="19425" windowHeight="10425" tabRatio="881"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Q1" sheetId="23" r:id="rId14"/>
    <sheet name="Air (periodic) Q2" sheetId="33" r:id="rId15"/>
    <sheet name="Air (periodic) Q3" sheetId="34" r:id="rId16"/>
    <sheet name="Air (periodic) Q4" sheetId="35" r:id="rId17"/>
    <sheet name="Air (CEMS)" sheetId="24" r:id="rId18"/>
    <sheet name="NOx" sheetId="26" r:id="rId19"/>
    <sheet name="HCl" sheetId="13" r:id="rId20"/>
    <sheet name="SO2" sheetId="25" r:id="rId21"/>
    <sheet name="TOC" sheetId="27" r:id="rId22"/>
    <sheet name="Particulates" sheetId="28" r:id="rId23"/>
    <sheet name="CO hourly" sheetId="29" r:id="rId24"/>
    <sheet name="CO 95% 10 min" sheetId="30" state="hidden" r:id="rId25"/>
    <sheet name="NH3" sheetId="31" r:id="rId26"/>
  </sheets>
  <definedNames>
    <definedName name="_xlnm.Print_Area" localSheetId="17">'Air (CEMS)'!$A$1:$M$31</definedName>
    <definedName name="_xlnm.Print_Area" localSheetId="13">'Air (periodic) Q1'!$A$1:$J$42</definedName>
    <definedName name="_xlnm.Print_Area" localSheetId="14">'Air (periodic) Q2'!$A$1:$J$42</definedName>
    <definedName name="_xlnm.Print_Area" localSheetId="15">'Air (periodic) Q3'!$A$1:$J$42</definedName>
    <definedName name="_xlnm.Print_Area" localSheetId="16">'Air (periodic) Q4'!$A$1:$J$42</definedName>
    <definedName name="_xlnm.Print_Area" localSheetId="24">'CO 95% 10 min'!$A$1:$H$52</definedName>
    <definedName name="_xlnm.Print_Area" localSheetId="23">'CO hourly'!$A$1:$G$52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9">HCl!$A$1:$G$52</definedName>
    <definedName name="_xlnm.Print_Area" localSheetId="8">Improvements!$A$1:$I$48</definedName>
    <definedName name="_xlnm.Print_Area" localSheetId="25">'NH3'!$A$1:$G$52</definedName>
    <definedName name="_xlnm.Print_Area" localSheetId="18">NOx!$A$1:$G$52</definedName>
    <definedName name="_xlnm.Print_Area" localSheetId="3">'Operational Data'!$A$1:$H$65</definedName>
    <definedName name="_xlnm.Print_Area" localSheetId="4">'Operational Summary'!$A$1:$I$52</definedName>
    <definedName name="_xlnm.Print_Area" localSheetId="22">Particulates!$A$1:$G$52</definedName>
    <definedName name="_xlnm.Print_Area" localSheetId="5">'Perf. Form 1'!$A$1:$J$55</definedName>
    <definedName name="_xlnm.Print_Area" localSheetId="7">'Permit Compliance'!$A$1:$J$37</definedName>
    <definedName name="_xlnm.Print_Area" localSheetId="9">'Public Liasion'!$A$1:$I$29</definedName>
    <definedName name="_xlnm.Print_Area" localSheetId="11">'Residue Quality '!$A$1:$G$41</definedName>
    <definedName name="_xlnm.Print_Area" localSheetId="20">'SO2'!$A$1:$G$52</definedName>
    <definedName name="_xlnm.Print_Area" localSheetId="21">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6" l="1"/>
  <c r="E53" i="6"/>
  <c r="D53" i="6"/>
  <c r="C53" i="6"/>
  <c r="B19" i="32" l="1"/>
  <c r="C15" i="9"/>
  <c r="D37" i="6" l="1"/>
  <c r="E22" i="7" l="1"/>
  <c r="E21" i="7"/>
  <c r="B12" i="32" l="1"/>
  <c r="B14" i="32" s="1"/>
  <c r="B8" i="31"/>
  <c r="F8" i="31" l="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F8" i="29"/>
  <c r="G8" i="29"/>
  <c r="F9" i="29"/>
  <c r="G9" i="29"/>
  <c r="F10" i="29"/>
  <c r="G10" i="29"/>
  <c r="F11" i="29"/>
  <c r="G11" i="29"/>
  <c r="F12" i="29"/>
  <c r="G12" i="29"/>
  <c r="F13" i="29"/>
  <c r="G13" i="29"/>
  <c r="F14" i="29"/>
  <c r="G14" i="29"/>
  <c r="F15" i="29"/>
  <c r="G15" i="29"/>
  <c r="F16" i="29"/>
  <c r="G16" i="29"/>
  <c r="F17" i="29"/>
  <c r="G17" i="29"/>
  <c r="F18" i="29"/>
  <c r="G18" i="29"/>
  <c r="C8" i="29"/>
  <c r="D8" i="29"/>
  <c r="C9" i="29"/>
  <c r="D9" i="29"/>
  <c r="C10" i="29"/>
  <c r="D10" i="29"/>
  <c r="C11" i="29"/>
  <c r="D11" i="29"/>
  <c r="C12" i="29"/>
  <c r="D12" i="29"/>
  <c r="C13" i="29"/>
  <c r="D13" i="29"/>
  <c r="C14" i="29"/>
  <c r="D14" i="29"/>
  <c r="C15" i="29"/>
  <c r="D15" i="29"/>
  <c r="C16" i="29"/>
  <c r="D16" i="29"/>
  <c r="C17" i="29"/>
  <c r="D17" i="29"/>
  <c r="C18" i="29"/>
  <c r="D18" i="29"/>
  <c r="G7" i="29"/>
  <c r="F7" i="29"/>
  <c r="D7" i="29"/>
  <c r="C7" i="29"/>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E1" i="35"/>
  <c r="A1" i="35"/>
  <c r="E1" i="34"/>
  <c r="A1" i="34"/>
  <c r="E1" i="33"/>
  <c r="A1" i="33"/>
  <c r="F15" i="9"/>
  <c r="C10" i="9"/>
  <c r="F10" i="9"/>
  <c r="C11" i="9"/>
  <c r="F11" i="9"/>
  <c r="C12" i="9"/>
  <c r="F12" i="9"/>
  <c r="F13" i="9"/>
  <c r="F14" i="9"/>
  <c r="H29" i="8"/>
  <c r="C29" i="8"/>
  <c r="H54" i="7"/>
  <c r="C54" i="7"/>
  <c r="F48" i="6"/>
  <c r="E48" i="6"/>
  <c r="D48" i="6"/>
  <c r="C48" i="6"/>
  <c r="F46" i="6"/>
  <c r="E46" i="6"/>
  <c r="D46" i="6"/>
  <c r="F47" i="6"/>
  <c r="E47" i="6"/>
  <c r="D47" i="6"/>
  <c r="C47" i="6"/>
  <c r="F45" i="6"/>
  <c r="E45" i="6"/>
  <c r="D45" i="6"/>
  <c r="C45" i="6"/>
  <c r="F42" i="6"/>
  <c r="E42" i="6"/>
  <c r="D42" i="6"/>
  <c r="C42" i="6"/>
  <c r="F35" i="6"/>
  <c r="F36" i="6"/>
  <c r="F34" i="6"/>
  <c r="E35" i="6"/>
  <c r="E39" i="6"/>
  <c r="E37" i="6"/>
  <c r="E34" i="6"/>
  <c r="E38" i="6"/>
  <c r="D39" i="6"/>
  <c r="D38" i="6"/>
  <c r="D36" i="6"/>
  <c r="C39" i="6"/>
  <c r="C38" i="6"/>
  <c r="C37" i="6"/>
  <c r="C34" i="6"/>
  <c r="C1" i="32"/>
  <c r="A1" i="32"/>
  <c r="I14" i="7" l="1"/>
  <c r="C18" i="6" l="1"/>
  <c r="C21" i="6" s="1"/>
  <c r="H61" i="6" l="1"/>
  <c r="G13" i="6" l="1"/>
  <c r="H13" i="6" s="1"/>
  <c r="G45" i="6"/>
  <c r="J3" i="31" l="1"/>
  <c r="J3" i="30"/>
  <c r="J3" i="29"/>
  <c r="J3" i="28"/>
  <c r="J3" i="27"/>
  <c r="J3" i="26"/>
  <c r="J3" i="25"/>
  <c r="J3" i="13"/>
  <c r="G19" i="6" l="1"/>
  <c r="G57" i="6" l="1"/>
  <c r="G59" i="6" l="1"/>
  <c r="G65" i="6"/>
  <c r="G64" i="6"/>
  <c r="G63" i="6"/>
  <c r="C47" i="7" s="1"/>
  <c r="G61" i="6"/>
  <c r="G53" i="6"/>
  <c r="G54" i="6"/>
  <c r="G55" i="6"/>
  <c r="G56" i="6"/>
  <c r="G60" i="6"/>
  <c r="H53" i="6" l="1"/>
  <c r="G58" i="6"/>
  <c r="H58" i="6" s="1"/>
  <c r="I46" i="7"/>
  <c r="H59" i="6"/>
  <c r="S14" i="9"/>
  <c r="H64" i="6"/>
  <c r="C48" i="7"/>
  <c r="C46" i="7"/>
  <c r="D18" i="6"/>
  <c r="D21" i="6" s="1"/>
  <c r="E18" i="6"/>
  <c r="E21" i="6" s="1"/>
  <c r="F18" i="6"/>
  <c r="F21" i="6" s="1"/>
  <c r="C14" i="9" l="1"/>
  <c r="C13" i="9"/>
  <c r="G21" i="6"/>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D26" i="24" s="1"/>
  <c r="N19" i="31"/>
  <c r="E26" i="24" s="1"/>
  <c r="M19" i="31"/>
  <c r="D27" i="24" s="1"/>
  <c r="L19" i="31"/>
  <c r="E27" i="24" s="1"/>
  <c r="E8" i="31"/>
  <c r="E9" i="31" s="1"/>
  <c r="E10" i="31" s="1"/>
  <c r="E11" i="31" s="1"/>
  <c r="E12" i="31" s="1"/>
  <c r="E13" i="31" s="1"/>
  <c r="E14" i="31" s="1"/>
  <c r="E15" i="31" s="1"/>
  <c r="E16" i="31" s="1"/>
  <c r="E17" i="31" s="1"/>
  <c r="E18" i="31" s="1"/>
  <c r="B9" i="3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D24" i="24" s="1"/>
  <c r="N19" i="29"/>
  <c r="E24" i="24" s="1"/>
  <c r="M19" i="29"/>
  <c r="D25" i="24" s="1"/>
  <c r="L19" i="29"/>
  <c r="E25" i="24" s="1"/>
  <c r="A6" i="29"/>
  <c r="J66" i="29"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D22" i="24" s="1"/>
  <c r="N19" i="25"/>
  <c r="E22" i="24" s="1"/>
  <c r="M19" i="25"/>
  <c r="D23" i="24" s="1"/>
  <c r="L19" i="25"/>
  <c r="E23" i="24" s="1"/>
  <c r="A6" i="25"/>
  <c r="J66" i="25" s="1"/>
  <c r="O79" i="13"/>
  <c r="N79" i="13"/>
  <c r="M79" i="13"/>
  <c r="L79" i="13"/>
  <c r="O64" i="13"/>
  <c r="N64" i="13"/>
  <c r="M64" i="13"/>
  <c r="L64" i="13"/>
  <c r="O49" i="13"/>
  <c r="N49" i="13"/>
  <c r="M49" i="13"/>
  <c r="L49" i="13"/>
  <c r="O34" i="13"/>
  <c r="N34" i="13"/>
  <c r="M34" i="13"/>
  <c r="L34" i="13"/>
  <c r="O19" i="13"/>
  <c r="D20" i="24" s="1"/>
  <c r="N19" i="13"/>
  <c r="E20" i="24" s="1"/>
  <c r="M19" i="13"/>
  <c r="D21" i="24" s="1"/>
  <c r="L19" i="13"/>
  <c r="E21" i="24" s="1"/>
  <c r="A6" i="13"/>
  <c r="J66" i="13" s="1"/>
  <c r="I21" i="7" l="1"/>
  <c r="I22" i="7"/>
  <c r="H45" i="6"/>
  <c r="B7" i="32"/>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E15" i="7"/>
  <c r="B4" i="7"/>
  <c r="G3" i="7"/>
  <c r="A3" i="7"/>
  <c r="A1" i="7"/>
  <c r="A8" i="7" s="1"/>
  <c r="H65" i="6"/>
  <c r="H63" i="6"/>
  <c r="B53" i="6"/>
  <c r="G50" i="6"/>
  <c r="G49" i="6"/>
  <c r="G48" i="6"/>
  <c r="G47" i="6"/>
  <c r="H47" i="6" s="1"/>
  <c r="G46" i="6"/>
  <c r="H46" i="6" s="1"/>
  <c r="G44" i="6"/>
  <c r="H44" i="6" s="1"/>
  <c r="G43" i="6"/>
  <c r="G42" i="6"/>
  <c r="G39" i="6"/>
  <c r="G20" i="7" s="1"/>
  <c r="G38" i="6"/>
  <c r="G19" i="7" s="1"/>
  <c r="G23" i="7" s="1"/>
  <c r="G37" i="6"/>
  <c r="G36" i="6"/>
  <c r="G35" i="6"/>
  <c r="G34" i="6"/>
  <c r="G30" i="6"/>
  <c r="G29" i="6"/>
  <c r="H29" i="6" s="1"/>
  <c r="G27" i="6"/>
  <c r="G26" i="6"/>
  <c r="H26" i="6" s="1"/>
  <c r="G25" i="6"/>
  <c r="B8" i="32" s="1"/>
  <c r="G24" i="6"/>
  <c r="H24" i="6" s="1"/>
  <c r="G20" i="6"/>
  <c r="G15" i="6"/>
  <c r="H15" i="6" s="1"/>
  <c r="G14" i="6"/>
  <c r="G12" i="6"/>
  <c r="H12" i="6" s="1"/>
  <c r="G11" i="6"/>
  <c r="G10" i="6"/>
  <c r="G9" i="6"/>
  <c r="G8" i="6"/>
  <c r="H42" i="6" l="1"/>
  <c r="E33" i="7"/>
  <c r="E34" i="7"/>
  <c r="H48" i="6"/>
  <c r="D13" i="8"/>
  <c r="H33" i="7"/>
  <c r="H43" i="6"/>
  <c r="H39" i="6"/>
  <c r="I20" i="7"/>
  <c r="H34" i="6"/>
  <c r="G11" i="7"/>
  <c r="I11" i="7" s="1"/>
  <c r="H36" i="6"/>
  <c r="E18" i="7"/>
  <c r="I18" i="7" s="1"/>
  <c r="H37" i="6"/>
  <c r="G13" i="7"/>
  <c r="I13" i="7" s="1"/>
  <c r="H35" i="6"/>
  <c r="G12" i="7"/>
  <c r="H38" i="6"/>
  <c r="D11" i="8"/>
  <c r="H27" i="6"/>
  <c r="D14" i="8"/>
  <c r="H30" i="6"/>
  <c r="D12" i="8"/>
  <c r="H25" i="6"/>
  <c r="E35" i="7"/>
  <c r="H35" i="7" s="1"/>
  <c r="E37" i="7"/>
  <c r="H37" i="7" s="1"/>
  <c r="E36" i="7"/>
  <c r="H36" i="7" s="1"/>
  <c r="G18" i="6"/>
  <c r="H21" i="6" s="1"/>
  <c r="G28" i="6"/>
  <c r="H34" i="7"/>
  <c r="D10" i="8"/>
  <c r="G10" i="8"/>
  <c r="A31" i="7"/>
  <c r="A43" i="7" s="1"/>
  <c r="H20" i="6" l="1"/>
  <c r="I12" i="7"/>
  <c r="G15" i="7"/>
  <c r="I19" i="7"/>
  <c r="E23" i="7"/>
  <c r="H8" i="6"/>
  <c r="H19" i="6"/>
  <c r="H10" i="6"/>
  <c r="G11" i="8"/>
  <c r="G12" i="8"/>
  <c r="H14" i="6"/>
  <c r="G14" i="8"/>
  <c r="H11" i="6"/>
  <c r="H9" i="6"/>
  <c r="G24" i="7" l="1"/>
  <c r="I15" i="7"/>
  <c r="E24" i="7"/>
  <c r="I23" i="7"/>
  <c r="I24" i="7" l="1"/>
</calcChain>
</file>

<file path=xl/sharedStrings.xml><?xml version="1.0" encoding="utf-8"?>
<sst xmlns="http://schemas.openxmlformats.org/spreadsheetml/2006/main" count="1963" uniqueCount="476">
  <si>
    <t>Version 22.3  30/11/22</t>
  </si>
  <si>
    <t>Add photo</t>
  </si>
  <si>
    <t>Notes:</t>
  </si>
  <si>
    <t>This template may require adjustments by individual operators to meet specific reporting requirements as defined in the site Permit(s)</t>
  </si>
  <si>
    <t>Annual Performance Report 2022</t>
  </si>
  <si>
    <t>Permit EPR/NP3837NV</t>
  </si>
  <si>
    <t>Energy Works Hull</t>
  </si>
  <si>
    <t>Bioenergy Infrastructure Group</t>
  </si>
  <si>
    <t>Year:</t>
  </si>
  <si>
    <t>Address:</t>
  </si>
  <si>
    <t>125 Cleveland Street, Hull, HU8 7AU</t>
  </si>
  <si>
    <t xml:space="preserve">Tel: </t>
  </si>
  <si>
    <t xml:space="preserve">Email: </t>
  </si>
  <si>
    <t>anna.whitelegg@bioenergyinfrastructure.com</t>
  </si>
  <si>
    <t>Prepared by:</t>
  </si>
  <si>
    <t>Anna Whitelegg</t>
  </si>
  <si>
    <t>Position:</t>
  </si>
  <si>
    <t>Environmental and Regulatory Compliance Manager</t>
  </si>
  <si>
    <t>Approved by:</t>
  </si>
  <si>
    <t>Dan Francis</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</si>
  <si>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</si>
  <si>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</si>
  <si>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</si>
  <si>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</si>
  <si>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</si>
  <si>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</si>
  <si>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</si>
  <si>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</si>
  <si>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</si>
  <si>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</si>
  <si>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</si>
  <si>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</si>
  <si>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</si>
  <si>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</si>
  <si>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</si>
  <si>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</si>
  <si>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</si>
  <si>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</si>
  <si>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</si>
  <si>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</si>
  <si>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</si>
  <si>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</si>
  <si>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</si>
  <si>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</si>
  <si>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</si>
  <si>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</si>
  <si>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</si>
  <si>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</si>
  <si>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</si>
  <si>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</si>
  <si>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</si>
  <si>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</si>
  <si>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</si>
  <si>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</si>
  <si>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</si>
  <si>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</si>
  <si>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</si>
  <si>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</si>
  <si>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plant is designed to generate electricity from waste using gasification on a single stream. The feedstock will be refuse derived fuel (RDF). The expected throughput of the waste plant is around 315,000 tonnes per annum, this variation will be dependent upon the calorific value of the feedstock. The typical calorific value of the waste feedstock is expected to be 15.5MJ. The fuel bunker has a capacity of up to 4000 tonnes of RDF at any one time. The energy within the RDF will be recovered to generate 28MWe via the steam turbine which will be exported to the National Grid.</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</si>
  <si>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</si>
  <si>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</si>
  <si>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plant has a fuel reception building into which lorries tip RDF, this is then fed into shredders before being processed through Mechanical Pre-Treatment (MPT) and then onto the fuel bunker. From the bunker two cranes are used to feed a single stream into the gasifier. Heat from the gasifier is passed through a boiler which is used to generate steam which powers turbine to generate electricity to the national grid. Flue gas is passed through a filter Baghouse before being released to atmosphere via the stack. An offtake from the stack reintroduces flue gas back into the gasifier to assist with the reduction in slag formation. IBA is conveyed to the IBA bunker from the bottom of the gasifier. APCR and Non-APCr (fly ash) is conveyed to silos which are periodically removed off site via bulk road hauliers.</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</si>
  <si>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</si>
  <si>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</si>
  <si>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</si>
  <si>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</si>
  <si>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</si>
  <si>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</si>
  <si>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</si>
  <si>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</si>
  <si>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</si>
  <si>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</si>
  <si>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</si>
  <si>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</si>
  <si>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</si>
  <si>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</si>
  <si>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</si>
  <si>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</si>
  <si>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</si>
  <si>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</si>
  <si>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</si>
  <si>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</si>
  <si>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</si>
  <si>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</si>
  <si>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</si>
  <si>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</si>
  <si>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</si>
  <si>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</si>
  <si>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</si>
  <si>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</si>
  <si>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</si>
  <si>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</si>
  <si>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</si>
  <si>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</si>
  <si>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</si>
  <si>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</si>
  <si>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</si>
  <si>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</si>
  <si>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</si>
  <si>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</si>
  <si>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</si>
  <si>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</si>
  <si>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</si>
  <si>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</si>
  <si>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</si>
  <si>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</si>
  <si>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</si>
  <si>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</si>
  <si>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(Haz) - produced</t>
  </si>
  <si>
    <t>IBA (Non-Haz) - produced</t>
  </si>
  <si>
    <t>Fly Ash - produced</t>
  </si>
  <si>
    <t>Ferrous Metals - produced</t>
  </si>
  <si>
    <t>Non Ferrous Metals - produced</t>
  </si>
  <si>
    <t>Raw Material Usage</t>
  </si>
  <si>
    <t>kg or Ltr /te</t>
  </si>
  <si>
    <t>Mains Water</t>
  </si>
  <si>
    <t>ltrs</t>
  </si>
  <si>
    <t>Other Water</t>
  </si>
  <si>
    <t>Ammonia</t>
  </si>
  <si>
    <t>kgs</t>
  </si>
  <si>
    <t>Urea</t>
  </si>
  <si>
    <t>Activated Carbon</t>
  </si>
  <si>
    <t>Lime / hydrated lime</t>
  </si>
  <si>
    <t>Fuel oil</t>
  </si>
  <si>
    <t>Gas</t>
  </si>
  <si>
    <t>cf</t>
  </si>
  <si>
    <t>Other</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</si>
  <si>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</si>
  <si>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</si>
  <si>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</si>
  <si>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</si>
  <si>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</si>
  <si>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</si>
  <si>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</si>
  <si>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</si>
  <si>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</si>
  <si>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</si>
  <si>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</si>
  <si>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</si>
  <si>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</si>
  <si>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</si>
  <si>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</si>
  <si>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</si>
  <si>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</si>
  <si>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The plants operation during 2022 saw a steady increase in generation when compared to 2021. Overall the campaign duration averaged 12 days, with the main reasons for coming offline being Gasifier Bed Blockages and Refractory failures. 
Each campaign was started with an agreed Campaign Plan, detailing how the plant would be operated during the period. This allowed the team to monitor key data points that could be analysed and improvements made prior to the next planned campaign. 
Loss reporting was introduced on a 30-minute basis and the information collected is being used to drive the Campaign Planning sessions. 
Commissioning of the OFGR system was carried out in 2 phases during Q1 2022 and has been further optimised following the transition to Market Grade waste in October.</t>
  </si>
  <si>
    <t xml:space="preserve">Include summary of key operational and/or mainteanance activity undertaken in the year, such as any major component upgrades and/or replacements </t>
  </si>
  <si>
    <t>Summary of Residue Handling for the reporting year</t>
  </si>
  <si>
    <t>The plant continued residue sampling in line with the first year of operations reducing the Permit Compliance sampling and testing to quarterly at the end of Q3 2022. 
The APCr residues have been disposed of via hazardous landfill at either Augean Kings Cliff or Port Clarence due to the nature of the material. The site is looking at a alternate disposal sites for 2023 to try and improve efficiency of disposal. 
The IBA has been disposed of to be used as aggregate as it is a non-hazardous material.</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</si>
  <si>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</si>
  <si>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</si>
  <si>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</si>
  <si>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</si>
  <si>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</si>
  <si>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</si>
  <si>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</si>
  <si>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</si>
  <si>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</si>
  <si>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</si>
  <si>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</si>
  <si>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</si>
  <si>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</si>
  <si>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</si>
  <si>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</si>
  <si>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</si>
  <si>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Middlesborough</t>
  </si>
  <si>
    <t>IBA / Tramp</t>
  </si>
  <si>
    <t>East Riding</t>
  </si>
  <si>
    <t>Fly Ash</t>
  </si>
  <si>
    <t>Middlesborough/Peterborough</t>
  </si>
  <si>
    <t>Total Hazardous Waste</t>
  </si>
  <si>
    <t>2) Non-Hazardous Wastes</t>
  </si>
  <si>
    <t>IBA</t>
  </si>
  <si>
    <t>Ferrous Metal</t>
  </si>
  <si>
    <t>Non Ferrous Metal</t>
  </si>
  <si>
    <t>Inerts/Fines</t>
  </si>
  <si>
    <t>North Humberside</t>
  </si>
  <si>
    <t>General Waste</t>
  </si>
  <si>
    <t>Yorkshire</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</si>
  <si>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</si>
  <si>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</si>
  <si>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</si>
  <si>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</si>
  <si>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</si>
  <si>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</si>
  <si>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</si>
  <si>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</si>
  <si>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</si>
  <si>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</si>
  <si>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</si>
  <si>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</si>
  <si>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</si>
  <si>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</si>
  <si>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</si>
  <si>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</si>
  <si>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</si>
  <si>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</si>
  <si>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</si>
  <si>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</si>
  <si>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</si>
  <si>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</si>
  <si>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</si>
  <si>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</si>
  <si>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</si>
  <si>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</si>
  <si>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</si>
  <si>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</si>
  <si>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</si>
  <si>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</si>
  <si>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</si>
  <si>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</si>
  <si>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</si>
  <si>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</si>
  <si>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</si>
  <si>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</si>
  <si>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</si>
  <si>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</si>
  <si>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litres</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</si>
  <si>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</si>
  <si>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</si>
  <si>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</si>
  <si>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</si>
  <si>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</si>
  <si>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</si>
  <si>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</si>
  <si>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</si>
  <si>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</si>
  <si>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</si>
  <si>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</si>
  <si>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</si>
  <si>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</si>
  <si>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</si>
  <si>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</si>
  <si>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</si>
  <si>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</si>
  <si>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N/A</t>
  </si>
  <si>
    <t>Summary of any notifications or non-compliances under the permit</t>
  </si>
  <si>
    <t>Summary of notification or non-compliance [including Line/Reference]</t>
  </si>
  <si>
    <t xml:space="preserve">Reason </t>
  </si>
  <si>
    <t>Measures taken to prevent reoccurrence</t>
  </si>
  <si>
    <t>CO hourly exceedance</t>
  </si>
  <si>
    <t>Spike caused following a slag drop from the gasified walls</t>
  </si>
  <si>
    <t>Looking at alternative form of cleaning</t>
  </si>
  <si>
    <t>CO hourly exceedance and TOC 1/2 hour exceedance</t>
  </si>
  <si>
    <t>Poor fuel quality</t>
  </si>
  <si>
    <t>Plant modifications and new operating procedures</t>
  </si>
  <si>
    <t>Dioxin exceedance during Q2 2022 extractive stack testing</t>
  </si>
  <si>
    <t>Commissioning of PAC injection system</t>
  </si>
  <si>
    <t>Automation of PAC system</t>
  </si>
  <si>
    <t>Issues with OFGR</t>
  </si>
  <si>
    <t>Adjustments made to restore normal operation</t>
  </si>
  <si>
    <t>TOC half hour exceedance</t>
  </si>
  <si>
    <t>Campaign of online cleaning implemented</t>
  </si>
  <si>
    <t>Summary of any complaints received and actions to taken to resolve them.</t>
  </si>
  <si>
    <t>Summary of complaint [including Line/Reference]</t>
  </si>
  <si>
    <t>Reason *</t>
  </si>
  <si>
    <t>Noise complaint received from the EA</t>
  </si>
  <si>
    <t>Issues with plant restarting 19-21st June 2022</t>
  </si>
  <si>
    <t>Noise complaint received from local resident</t>
  </si>
  <si>
    <t>Noise complaint from local resident</t>
  </si>
  <si>
    <t>Plant re-start encountered issues with bypass valve</t>
  </si>
  <si>
    <t>Noise complaint received from the EA on 03/08/2022</t>
  </si>
  <si>
    <t>Plant trip overnight on 1st/2nd August 2022</t>
  </si>
  <si>
    <t>* including whether substantiated by the operator or the EA</t>
  </si>
  <si>
    <t>Summary of Plant Improvements</t>
  </si>
  <si>
    <t>Summary of any efficiency improvements that have been completed within the year.</t>
  </si>
  <si>
    <t>As per 2021, The plant has been going through incremental changes to try and slowly increase the reliabilty and stability of the site. 
The main efficency improvement for the period has been the operation of the OFGR (Over Fire Gas Recirculation) system. This system is used to recirculate exhaust gases from the stack, back round to the Gasifier with an aim to lowering the oxygen levels within the Gasifier. The OFGR system reduces the amount of slag forming in the Gasifier by lowering the overall combustion zone temperature. The introduction of the OFGR system has resulted in better control of the plant and reduced abatement chemical usage.</t>
  </si>
  <si>
    <t>Summary of any permit improvement conditions that have been completed within the year and the resulting environmental benefits.</t>
  </si>
  <si>
    <t>IC01 EMS Accreditation - submitted 09/07/2021
IC02 PM10 and PM2.5 testing - submitted 30/11/2021
IC03 Commissioning Report - submitted 30/09/2021
IC04 T2S Report - submitted 14/09/2021
IC05 SNCR Report - submitted 30/09/2021
IC06 Arsenic and Chromium Assessment - submitted 23/09/2022
IC07 CEMS Report - Initial submission 31/08/2021, Full submission outstanding
IC08 Noise Impact Assessment - inial report submitted</t>
  </si>
  <si>
    <t>Summary of any changes to the plant or operating techniques which required a variation to the permit and a summary of the resulting environmental impact.</t>
  </si>
  <si>
    <t>A Permit variation was submitted for a reduction in the vapour space temperature which is still under consideration.</t>
  </si>
  <si>
    <t>Summary of any other improvements made to the plant or planned to be made and a summary of the resulting environmental benefits.</t>
  </si>
  <si>
    <t>Details of Public &amp; Stakeholder Liasion</t>
  </si>
  <si>
    <t>Summary of events held during the reporting year.</t>
  </si>
  <si>
    <t>Description</t>
  </si>
  <si>
    <t>Community Liaison Meeting</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</si>
  <si>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</si>
  <si>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</si>
  <si>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</si>
  <si>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</si>
  <si>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</si>
  <si>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Tonnes</t>
  </si>
  <si>
    <t>Annual mass of carbon dioxide released per tonne of waste burned</t>
  </si>
  <si>
    <t>Annual mass of carbon dioxide released per MWh of energy exported</t>
  </si>
  <si>
    <t>Tonnes / MWh</t>
  </si>
  <si>
    <t>Description of how annual carbon dioxide mass emission has been calculated</t>
  </si>
  <si>
    <t>Data from CEMS Data Mass Release Report 2022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</si>
  <si>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</si>
  <si>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</si>
  <si>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</si>
  <si>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</si>
  <si>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</si>
  <si>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</si>
  <si>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</si>
  <si>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</si>
  <si>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</si>
  <si>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</si>
  <si>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No available sampling so used national average</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</si>
  <si>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</si>
  <si>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</si>
  <si>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</si>
  <si>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No direct measurement so assumed the same as biogenic fraction above</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</si>
  <si>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</si>
  <si>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</si>
  <si>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</si>
  <si>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</si>
  <si>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Monthly sampling in line with the Permit continued up to August 2022 as part of the first year of operations then the frequency reduced to quarterly.</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</si>
  <si>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</si>
  <si>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</si>
  <si>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</si>
  <si>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</si>
  <si>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</si>
  <si>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</si>
  <si>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</si>
  <si>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</si>
  <si>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</si>
  <si>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</si>
  <si>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</si>
  <si>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0.23 average</t>
  </si>
  <si>
    <t>No. of Assessments Undertaken</t>
  </si>
  <si>
    <t>---</t>
  </si>
  <si>
    <t>22 samples under ESA Protocol</t>
  </si>
  <si>
    <t>9 
(8 monthly samples and 1 quarterly sample)</t>
  </si>
  <si>
    <t>No. of Hazardous Results</t>
  </si>
  <si>
    <t>1 
(02/02/2022)</t>
  </si>
  <si>
    <t>Comments :</t>
  </si>
  <si>
    <t>Process water treated by effluent plant which ensures water leaving site is of a good quality. 
Meter is serviced annually.</t>
  </si>
  <si>
    <t>Water discharge not covered by the Energy Works Hull Environmental Permit. 
Process water is treated by the on site effluent treatment plant before being discharged to local sewer.</t>
  </si>
  <si>
    <t>Emissions to Water / Sewer</t>
  </si>
  <si>
    <t>Monitoring Frequency</t>
  </si>
  <si>
    <t>Target</t>
  </si>
  <si>
    <t>Max.</t>
  </si>
  <si>
    <t>Average</t>
  </si>
  <si>
    <t>Summary of monitoring undertaken, standards used and compliance</t>
  </si>
  <si>
    <t>No testing undertaken in Q1 2022</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</si>
  <si>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</si>
  <si>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</si>
  <si>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</si>
  <si>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</si>
  <si>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</si>
  <si>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Nitrous Oxide</t>
  </si>
  <si>
    <t>1 hr</t>
  </si>
  <si>
    <t>None set</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</si>
  <si>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</si>
  <si>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</si>
  <si>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</si>
  <si>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</si>
  <si>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</si>
  <si>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</si>
  <si>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</si>
  <si>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</si>
  <si>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</si>
  <si>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</si>
  <si>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</si>
  <si>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</si>
  <si>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</si>
  <si>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</si>
  <si>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</si>
  <si>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</si>
  <si>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</si>
  <si>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</si>
  <si>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</si>
  <si>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</si>
  <si>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</si>
  <si>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</si>
  <si>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</si>
  <si>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</si>
  <si>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</si>
  <si>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</si>
  <si>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</si>
  <si>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</si>
  <si>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</si>
  <si>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</si>
  <si>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</si>
  <si>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</si>
  <si>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</si>
  <si>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Q2 2022 testing undertaken between 04/05/2022-09/05/2022
Dioxin retest undertaken between 14/07/2022-27/07/2022</t>
  </si>
  <si>
    <t>Retest 0.033</t>
  </si>
  <si>
    <t>Q3 2022 testing undertaken between 14/07/2022-27/07/2022</t>
  </si>
  <si>
    <t>Q4 2022 testing undertaken between 01/11/2022-04/11/2022</t>
  </si>
  <si>
    <t>&lt;0.0022</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</si>
  <si>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</si>
  <si>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</si>
  <si>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</si>
  <si>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</si>
  <si>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</si>
  <si>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</si>
  <si>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</si>
  <si>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</si>
  <si>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</si>
  <si>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</si>
  <si>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</si>
  <si>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</si>
  <si>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</si>
  <si>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</si>
  <si>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</si>
  <si>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</si>
  <si>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</si>
  <si>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</si>
  <si>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</si>
  <si>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hourly mean</t>
  </si>
  <si>
    <r>
      <t>100 mg/m</t>
    </r>
    <r>
      <rPr>
        <vertAlign val="superscript"/>
        <sz val="10"/>
        <color theme="1"/>
        <rFont val="Arial"/>
        <family val="2"/>
      </rPr>
      <t>3</t>
    </r>
  </si>
  <si>
    <t xml:space="preserve"> Ammonia</t>
  </si>
  <si>
    <t>No limit set</t>
  </si>
  <si>
    <t>* = delete or amend as appropriate</t>
  </si>
  <si>
    <t>Monitoring of Oxides of Nitrogen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</si>
  <si>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</si>
  <si>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</si>
  <si>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</si>
  <si>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</si>
  <si>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</si>
  <si>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</si>
  <si>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</si>
  <si>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NOx ELV</t>
  </si>
  <si>
    <t>Monthly 1/2 hourly mean</t>
  </si>
  <si>
    <t>Highest 1/2 hourly maximum</t>
  </si>
  <si>
    <t>Daily NOx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</si>
  <si>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</si>
  <si>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</si>
  <si>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</si>
  <si>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</si>
  <si>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</si>
  <si>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</si>
  <si>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</si>
  <si>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</si>
  <si>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</si>
  <si>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</si>
  <si>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</si>
  <si>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</si>
  <si>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</si>
  <si>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</si>
  <si>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</si>
  <si>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</si>
  <si>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</si>
  <si>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</si>
  <si>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</si>
  <si>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</si>
  <si>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</si>
  <si>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Site in outage throughout December 2022</t>
  </si>
  <si>
    <t>Monitoring of Hydrogen Chloride emissions</t>
  </si>
  <si>
    <t>1/2 hourly HCl ELV</t>
  </si>
  <si>
    <t>Daily HCl ELV</t>
  </si>
  <si>
    <t>Site in outage throughout December 2022
Elevated reading in September 2022 due to abnormal operations and not reportable</t>
  </si>
  <si>
    <t>Monitoring of Sulphur dioxide emissions</t>
  </si>
  <si>
    <t>1/2 hourly SO2 ELV</t>
  </si>
  <si>
    <t>Daily SO2 ELV</t>
  </si>
  <si>
    <t>Monitoring of Total organic carbon emissions</t>
  </si>
  <si>
    <t>1/2 hourly TOC ELV</t>
  </si>
  <si>
    <t>Daily TOC ELV</t>
  </si>
  <si>
    <t>Site in outage throughout December 2022
Schedule 5 Notifications issued for elevated readings in March 2022 and August 2022</t>
  </si>
  <si>
    <t>Monitoring of Particulate matter emissions</t>
  </si>
  <si>
    <t>1/2 hourly PM ELV</t>
  </si>
  <si>
    <t>Daily PM ELV</t>
  </si>
  <si>
    <t>Monitoring of Carbon Monoxide (half hourly)</t>
  </si>
  <si>
    <t>Hourly Reference Periods</t>
  </si>
  <si>
    <t>Hourly CO ELV</t>
  </si>
  <si>
    <t>Monthly hourly mean</t>
  </si>
  <si>
    <t>Highest hourly maximum</t>
  </si>
  <si>
    <t>Daily CO ELV</t>
  </si>
  <si>
    <t>Monthly hourly maximum</t>
  </si>
  <si>
    <t>Site in outage throughout December 2022
Schedule 5 notifications issued for elevated readings in January 2022, March 2022 and July 2022</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</si>
  <si>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</si>
  <si>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</si>
  <si>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</si>
  <si>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</si>
  <si>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</si>
  <si>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</si>
  <si>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</si>
  <si>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</si>
  <si>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</si>
  <si>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</si>
  <si>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</si>
  <si>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</si>
  <si>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Ammonia emissions </t>
  </si>
  <si>
    <t>1/2 hourly NH3 ELV</t>
  </si>
  <si>
    <t>Daily NH3 ELV</t>
  </si>
  <si>
    <t xml:space="preserve">An indicated ELV value of zero in the table above means that no ammonia limit is set in the permit.
Site in outage throughout December 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</si>
</sst>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40">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sz val="10"/>
      <color indexed="8"/>
      <name val="Arial"/>
      <family val="2"/>
    </font>
    <font>
      <sz val="10"/>
      <name val="Arial"/>
      <family val="2"/>
    </font>
    <font>
      <u/>
      <sz val="11"/>
      <color theme="10"/>
      <name val="Calibri"/>
      <family val="2"/>
      <scheme val="minor"/>
    </font>
    <font>
      <sz val="11"/>
      <color indexed="8"/>
      <name val="Arial"/>
      <family val="2"/>
    </font>
    <font>
      <sz val="11"/>
      <name val="Arial"/>
      <family val="2"/>
    </font>
    <font>
      <sz val="11"/>
      <name val="Calibri"/>
      <family val="2"/>
      <scheme val="minor"/>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indexed="64"/>
      </patternFill>
    </fill>
    <fill>
      <patternFill patternType="solid">
        <fgColor rgb="FFF2F2F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6" fillId="0" borderId="0" applyNumberFormat="0" applyFill="0" applyBorder="0" applyAlignment="0" applyProtection="0"/>
  </cellStyleXfs>
  <cellXfs count="445">
    <xf numFmtId="0" fontId="0" fillId="0" borderId="0" xfId="0"/>
    <xf numFmtId="0" fontId="4" fillId="0" borderId="0" xfId="0" applyFont="1"/>
    <xf numFmtId="0" fontId="5" fillId="0" borderId="0" xfId="0" applyFont="1"/>
    <xf numFmtId="0" fontId="6" fillId="0" borderId="0" xfId="0" applyFont="1"/>
    <xf numFmtId="0" fontId="8" fillId="0" borderId="0" xfId="0" applyFont="1"/>
    <xf numFmtId="0" fontId="9" fillId="0" borderId="0" xfId="0" applyFont="1"/>
    <xf numFmtId="0" fontId="7" fillId="0" borderId="0" xfId="0" applyFont="1"/>
    <xf numFmtId="0" fontId="11" fillId="0" borderId="0" xfId="0" applyFont="1"/>
    <xf numFmtId="0" fontId="10" fillId="0" borderId="0" xfId="0" applyFont="1"/>
    <xf numFmtId="0" fontId="11" fillId="0" borderId="0" xfId="0" applyFont="1" applyAlignment="1">
      <alignment horizontal="center"/>
    </xf>
    <xf numFmtId="0" fontId="12" fillId="0" borderId="0" xfId="0" applyFont="1"/>
    <xf numFmtId="164" fontId="10" fillId="0" borderId="0" xfId="1" applyNumberFormat="1" applyFont="1" applyAlignment="1">
      <alignment horizontal="center"/>
    </xf>
    <xf numFmtId="0" fontId="10" fillId="0" borderId="0" xfId="0" applyFont="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1" fillId="0" borderId="0" xfId="0" applyFont="1" applyAlignment="1">
      <alignment vertical="center"/>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6" fillId="0" borderId="0" xfId="0" applyFont="1" applyAlignment="1">
      <alignment vertical="center"/>
    </xf>
    <xf numFmtId="0" fontId="5" fillId="0" borderId="0" xfId="0" applyFont="1" applyAlignment="1">
      <alignment horizontal="left" vertical="center" wrapText="1"/>
    </xf>
    <xf numFmtId="0" fontId="16" fillId="0" borderId="0" xfId="0" applyFont="1"/>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1" xfId="0" applyFont="1" applyBorder="1" applyAlignment="1">
      <alignment horizontal="center" vertical="center" wrapText="1"/>
    </xf>
    <xf numFmtId="0" fontId="7" fillId="0" borderId="0" xfId="0" applyFont="1" applyAlignment="1">
      <alignment vertical="center"/>
    </xf>
    <xf numFmtId="0" fontId="21" fillId="0" borderId="0" xfId="0" applyFont="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0" fontId="2" fillId="0" borderId="0" xfId="0" applyFont="1"/>
    <xf numFmtId="0" fontId="2" fillId="0" borderId="0" xfId="0" applyFont="1" applyAlignment="1">
      <alignment vertical="top" wrapText="1"/>
    </xf>
    <xf numFmtId="0" fontId="2" fillId="0" borderId="0" xfId="0" applyFont="1" applyAlignment="1">
      <alignment vertical="top"/>
    </xf>
    <xf numFmtId="166" fontId="10" fillId="0" borderId="0" xfId="1" applyNumberFormat="1" applyFont="1" applyAlignment="1">
      <alignment horizontal="center"/>
    </xf>
    <xf numFmtId="0" fontId="37" fillId="0" borderId="0" xfId="0" applyFont="1"/>
    <xf numFmtId="0" fontId="34" fillId="0" borderId="0" xfId="0" applyFont="1" applyAlignment="1">
      <alignment vertical="top"/>
    </xf>
    <xf numFmtId="0" fontId="1" fillId="0" borderId="3" xfId="0" applyFont="1" applyBorder="1" applyAlignment="1">
      <alignment horizontal="center" vertical="center" wrapText="1"/>
    </xf>
    <xf numFmtId="0" fontId="1" fillId="0" borderId="0" xfId="0" applyFont="1"/>
    <xf numFmtId="2" fontId="37" fillId="9" borderId="6" xfId="0" applyNumberFormat="1" applyFont="1" applyFill="1" applyBorder="1" applyAlignment="1">
      <alignment horizontal="center"/>
    </xf>
    <xf numFmtId="4" fontId="37" fillId="9" borderId="6" xfId="0" applyNumberFormat="1" applyFont="1" applyFill="1" applyBorder="1" applyAlignment="1">
      <alignment horizontal="center"/>
    </xf>
    <xf numFmtId="164" fontId="35" fillId="2" borderId="0" xfId="1" applyNumberFormat="1" applyFont="1" applyFill="1" applyAlignment="1">
      <alignment horizontal="center"/>
    </xf>
    <xf numFmtId="0" fontId="2" fillId="2" borderId="0" xfId="0" applyFont="1" applyFill="1" applyAlignment="1">
      <alignment horizontal="center"/>
    </xf>
    <xf numFmtId="0" fontId="8" fillId="2" borderId="0" xfId="0" applyFont="1" applyFill="1" applyAlignment="1">
      <alignment horizontal="center"/>
    </xf>
    <xf numFmtId="0" fontId="36" fillId="2" borderId="0" xfId="3"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12" fillId="0" borderId="0" xfId="0" applyFont="1" applyAlignment="1">
      <alignment horizontal="left" wrapText="1"/>
    </xf>
    <xf numFmtId="0" fontId="12" fillId="0" borderId="0" xfId="0" applyFont="1" applyAlignment="1">
      <alignment horizontal="left" vertical="top" wrapText="1"/>
    </xf>
    <xf numFmtId="0" fontId="35" fillId="5" borderId="7" xfId="0" applyFont="1" applyFill="1" applyBorder="1" applyAlignment="1">
      <alignment horizontal="left" vertical="top" wrapText="1"/>
    </xf>
    <xf numFmtId="0" fontId="35" fillId="5" borderId="11" xfId="0" applyFont="1" applyFill="1" applyBorder="1" applyAlignment="1">
      <alignment horizontal="left" vertical="top" wrapText="1"/>
    </xf>
    <xf numFmtId="0" fontId="35" fillId="5" borderId="8" xfId="0" applyFont="1" applyFill="1" applyBorder="1" applyAlignment="1">
      <alignment horizontal="left" vertical="top" wrapText="1"/>
    </xf>
    <xf numFmtId="0" fontId="35" fillId="5" borderId="13" xfId="0" applyFont="1" applyFill="1" applyBorder="1" applyAlignment="1">
      <alignment horizontal="left" vertical="top" wrapText="1"/>
    </xf>
    <xf numFmtId="0" fontId="35" fillId="5" borderId="0" xfId="0" applyFont="1" applyFill="1" applyAlignment="1">
      <alignment horizontal="left" vertical="top" wrapText="1"/>
    </xf>
    <xf numFmtId="0" fontId="35" fillId="5" borderId="14" xfId="0" applyFont="1" applyFill="1" applyBorder="1" applyAlignment="1">
      <alignment horizontal="left" vertical="top" wrapText="1"/>
    </xf>
    <xf numFmtId="0" fontId="35" fillId="5" borderId="9" xfId="0" applyFont="1" applyFill="1" applyBorder="1" applyAlignment="1">
      <alignment horizontal="left" vertical="top" wrapText="1"/>
    </xf>
    <xf numFmtId="0" fontId="35" fillId="5" borderId="12" xfId="0" applyFont="1" applyFill="1" applyBorder="1" applyAlignment="1">
      <alignment horizontal="left" vertical="top" wrapText="1"/>
    </xf>
    <xf numFmtId="0" fontId="35" fillId="5" borderId="10" xfId="0" applyFont="1" applyFill="1" applyBorder="1" applyAlignment="1">
      <alignment horizontal="left" vertical="top" wrapText="1"/>
    </xf>
    <xf numFmtId="0" fontId="14" fillId="4" borderId="0" xfId="0" applyFont="1" applyFill="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0" xfId="0" applyFont="1" applyAlignment="1">
      <alignment horizontal="center" vertical="center"/>
    </xf>
    <xf numFmtId="10" fontId="34" fillId="8" borderId="15" xfId="0" applyNumberFormat="1" applyFont="1" applyFill="1" applyBorder="1" applyAlignment="1">
      <alignment horizontal="center" vertical="center"/>
    </xf>
    <xf numFmtId="10" fontId="34" fillId="8" borderId="17" xfId="0" applyNumberFormat="1" applyFont="1" applyFill="1" applyBorder="1" applyAlignment="1">
      <alignment horizontal="center" vertical="center"/>
    </xf>
    <xf numFmtId="10" fontId="34" fillId="8" borderId="16" xfId="0" applyNumberFormat="1" applyFont="1" applyFill="1" applyBorder="1" applyAlignment="1">
      <alignment horizontal="center" vertical="center"/>
    </xf>
    <xf numFmtId="0" fontId="34" fillId="5" borderId="0" xfId="0" applyFont="1" applyFill="1" applyAlignment="1">
      <alignment horizontal="lef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10" fillId="0" borderId="1" xfId="0" applyFont="1" applyBorder="1" applyAlignment="1">
      <alignment horizontal="center" vertical="center" wrapText="1"/>
    </xf>
    <xf numFmtId="0" fontId="10" fillId="0" borderId="2" xfId="0" applyFont="1" applyBorder="1" applyAlignment="1">
      <alignment horizontal="center" vertical="center" wrapText="1"/>
    </xf>
    <xf numFmtId="0" fontId="23" fillId="0" borderId="0" xfId="0" applyFont="1" applyAlignment="1">
      <alignment horizontal="left" vertical="top" wrapText="1"/>
    </xf>
    <xf numFmtId="0" fontId="6" fillId="2" borderId="2" xfId="0" applyFont="1" applyFill="1" applyBorder="1" applyAlignment="1">
      <alignment horizontal="left" vertical="top"/>
    </xf>
    <xf numFmtId="0" fontId="6" fillId="0" borderId="0" xfId="0" applyFont="1" applyAlignment="1">
      <alignment horizontal="left" wrapText="1"/>
    </xf>
    <xf numFmtId="0" fontId="6" fillId="2" borderId="0" xfId="0" applyFont="1" applyFill="1" applyAlignment="1">
      <alignment horizontal="left" vertical="top"/>
    </xf>
    <xf numFmtId="0" fontId="6" fillId="2" borderId="0" xfId="0" applyFont="1" applyFill="1" applyAlignment="1">
      <alignment horizontal="left" vertical="top" wrapText="1"/>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4" fillId="0" borderId="15" xfId="0" applyFont="1" applyBorder="1"/>
    <xf numFmtId="0" fontId="2" fillId="0" borderId="17" xfId="0" applyFont="1" applyBorder="1"/>
    <xf numFmtId="0" fontId="2" fillId="0" borderId="16" xfId="0" applyFont="1" applyBorder="1"/>
    <xf numFmtId="0" fontId="7" fillId="0" borderId="6" xfId="0" applyFont="1" applyBorder="1" applyAlignment="1">
      <alignment horizontal="center"/>
    </xf>
    <xf numFmtId="0" fontId="7" fillId="0" borderId="6" xfId="0" applyFont="1" applyBorder="1" applyAlignment="1">
      <alignment horizontal="left"/>
    </xf>
    <xf numFmtId="0" fontId="7" fillId="0" borderId="6" xfId="0" applyFont="1" applyBorder="1"/>
    <xf numFmtId="0" fontId="6" fillId="2" borderId="6" xfId="0" applyFont="1" applyFill="1" applyBorder="1" applyAlignment="1">
      <alignment horizontal="center"/>
    </xf>
    <xf numFmtId="0" fontId="6" fillId="3" borderId="6" xfId="0" applyFont="1" applyFill="1" applyBorder="1" applyAlignment="1">
      <alignment horizontal="left"/>
    </xf>
    <xf numFmtId="0" fontId="6" fillId="3" borderId="15" xfId="0" applyFont="1" applyFill="1" applyBorder="1" applyAlignment="1">
      <alignment horizontal="left" wrapText="1"/>
    </xf>
    <xf numFmtId="0" fontId="0" fillId="0" borderId="17" xfId="0" applyBorder="1" applyAlignment="1">
      <alignment horizontal="left" wrapText="1"/>
    </xf>
    <xf numFmtId="0" fontId="0" fillId="0" borderId="16" xfId="0" applyBorder="1" applyAlignment="1">
      <alignment horizontal="left" wrapText="1"/>
    </xf>
    <xf numFmtId="0" fontId="6" fillId="3" borderId="15" xfId="0" applyFont="1" applyFill="1" applyBorder="1" applyAlignment="1">
      <alignment horizontal="left"/>
    </xf>
    <xf numFmtId="0" fontId="6" fillId="3" borderId="17" xfId="0" applyFont="1" applyFill="1" applyBorder="1" applyAlignment="1">
      <alignment horizontal="left"/>
    </xf>
    <xf numFmtId="0" fontId="6" fillId="3" borderId="16" xfId="0" applyFont="1" applyFill="1" applyBorder="1" applyAlignment="1">
      <alignment horizontal="left"/>
    </xf>
    <xf numFmtId="0" fontId="6" fillId="2" borderId="6" xfId="0" applyFont="1" applyFill="1" applyBorder="1" applyAlignment="1">
      <alignment horizontal="left"/>
    </xf>
    <xf numFmtId="0" fontId="7" fillId="0" borderId="15" xfId="0" applyFont="1" applyBorder="1"/>
    <xf numFmtId="0" fontId="10" fillId="0" borderId="6" xfId="0" applyFont="1" applyBorder="1" applyAlignment="1">
      <alignment horizontal="center"/>
    </xf>
    <xf numFmtId="0" fontId="10" fillId="0" borderId="6" xfId="0" applyFont="1" applyBorder="1" applyAlignment="1">
      <alignment horizontal="left"/>
    </xf>
    <xf numFmtId="0" fontId="10" fillId="0" borderId="6" xfId="0" applyFont="1" applyBorder="1"/>
    <xf numFmtId="0" fontId="1" fillId="2" borderId="6" xfId="0" applyFont="1" applyFill="1" applyBorder="1" applyAlignment="1">
      <alignment horizontal="center"/>
    </xf>
    <xf numFmtId="0" fontId="1" fillId="2" borderId="6" xfId="0" applyFont="1" applyFill="1" applyBorder="1" applyAlignment="1">
      <alignment horizontal="left"/>
    </xf>
    <xf numFmtId="0" fontId="10" fillId="0" borderId="6" xfId="0" applyFont="1" applyBorder="1" applyAlignment="1">
      <alignment horizontal="center" vertical="top"/>
    </xf>
    <xf numFmtId="0" fontId="10" fillId="0" borderId="6" xfId="0" applyFont="1" applyBorder="1" applyAlignment="1">
      <alignment horizontal="left" vertical="top"/>
    </xf>
    <xf numFmtId="0" fontId="10" fillId="0" borderId="6" xfId="0" applyFont="1" applyBorder="1" applyAlignment="1">
      <alignment vertical="top"/>
    </xf>
    <xf numFmtId="0" fontId="1" fillId="2" borderId="6" xfId="0" applyFont="1" applyFill="1" applyBorder="1" applyAlignment="1">
      <alignment horizontal="center" vertical="top"/>
    </xf>
    <xf numFmtId="0" fontId="1" fillId="2" borderId="6" xfId="0" applyFont="1" applyFill="1" applyBorder="1" applyAlignment="1">
      <alignment horizontal="left" vertical="top"/>
    </xf>
    <xf numFmtId="0" fontId="1" fillId="0" borderId="7" xfId="0" applyFont="1" applyBorder="1" applyAlignment="1">
      <alignment horizontal="left" vertical="top" wrapText="1"/>
    </xf>
    <xf numFmtId="0" fontId="1" fillId="0" borderId="11" xfId="0" applyFont="1" applyBorder="1" applyAlignment="1">
      <alignment horizontal="left" vertical="top" wrapText="1"/>
    </xf>
    <xf numFmtId="0" fontId="1" fillId="0" borderId="8" xfId="0" applyFont="1" applyBorder="1" applyAlignment="1">
      <alignment horizontal="left" vertical="top" wrapText="1"/>
    </xf>
    <xf numFmtId="0" fontId="1" fillId="0" borderId="13" xfId="0" applyFont="1" applyBorder="1" applyAlignment="1">
      <alignment horizontal="left" vertical="top" wrapText="1"/>
    </xf>
    <xf numFmtId="0" fontId="1" fillId="0" borderId="0" xfId="0" applyFont="1" applyAlignment="1">
      <alignment horizontal="left" vertical="top" wrapText="1"/>
    </xf>
    <xf numFmtId="0" fontId="1" fillId="0" borderId="14" xfId="0" applyFont="1" applyBorder="1" applyAlignment="1">
      <alignment horizontal="left" vertical="top" wrapText="1"/>
    </xf>
    <xf numFmtId="0" fontId="1" fillId="0" borderId="9" xfId="0" applyFont="1" applyBorder="1" applyAlignment="1">
      <alignment horizontal="left" vertical="top" wrapText="1"/>
    </xf>
    <xf numFmtId="0" fontId="1" fillId="0" borderId="12" xfId="0" applyFont="1" applyBorder="1" applyAlignment="1">
      <alignment horizontal="left" vertical="top" wrapText="1"/>
    </xf>
    <xf numFmtId="0" fontId="1" fillId="0" borderId="10" xfId="0" applyFont="1" applyBorder="1" applyAlignment="1">
      <alignment horizontal="left" vertical="top" wrapText="1"/>
    </xf>
    <xf numFmtId="0" fontId="7" fillId="0" borderId="7" xfId="0" applyFont="1" applyBorder="1"/>
    <xf numFmtId="0" fontId="2" fillId="0" borderId="11" xfId="0" applyFont="1" applyBorder="1"/>
    <xf numFmtId="0" fontId="2" fillId="0" borderId="8" xfId="0" applyFont="1" applyBorder="1"/>
    <xf numFmtId="0" fontId="2" fillId="0" borderId="9" xfId="0" applyFont="1" applyBorder="1"/>
    <xf numFmtId="0" fontId="2" fillId="0" borderId="12" xfId="0" applyFont="1" applyBorder="1"/>
    <xf numFmtId="0" fontId="2" fillId="0" borderId="10" xfId="0" applyFont="1" applyBorder="1"/>
    <xf numFmtId="0" fontId="1" fillId="2" borderId="7"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0" xfId="0" applyFont="1" applyFill="1" applyAlignment="1">
      <alignment horizontal="left" vertical="top" wrapText="1"/>
    </xf>
    <xf numFmtId="0" fontId="1" fillId="2" borderId="1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5" borderId="7" xfId="0" applyFont="1" applyFill="1" applyBorder="1" applyAlignment="1">
      <alignment horizontal="left" vertical="top" wrapText="1"/>
    </xf>
    <xf numFmtId="0" fontId="1" fillId="5" borderId="11" xfId="0" applyFont="1" applyFill="1" applyBorder="1" applyAlignment="1">
      <alignment horizontal="left" vertical="top"/>
    </xf>
    <xf numFmtId="0" fontId="1" fillId="5" borderId="8" xfId="0" applyFont="1" applyFill="1" applyBorder="1" applyAlignment="1">
      <alignment horizontal="left" vertical="top"/>
    </xf>
    <xf numFmtId="0" fontId="1" fillId="5" borderId="13" xfId="0" applyFont="1" applyFill="1" applyBorder="1" applyAlignment="1">
      <alignment horizontal="left" vertical="top"/>
    </xf>
    <xf numFmtId="0" fontId="1" fillId="5" borderId="0" xfId="0" applyFont="1" applyFill="1" applyAlignment="1">
      <alignment horizontal="left" vertical="top"/>
    </xf>
    <xf numFmtId="0" fontId="1" fillId="5" borderId="14" xfId="0" applyFont="1" applyFill="1" applyBorder="1" applyAlignment="1">
      <alignment horizontal="left" vertical="top"/>
    </xf>
    <xf numFmtId="0" fontId="1" fillId="5" borderId="9" xfId="0" applyFont="1" applyFill="1" applyBorder="1" applyAlignment="1">
      <alignment horizontal="left" vertical="top"/>
    </xf>
    <xf numFmtId="0" fontId="1" fillId="5" borderId="12" xfId="0" applyFont="1" applyFill="1" applyBorder="1" applyAlignment="1">
      <alignment horizontal="left" vertical="top"/>
    </xf>
    <xf numFmtId="0" fontId="1" fillId="5" borderId="10" xfId="0" applyFont="1" applyFill="1" applyBorder="1" applyAlignment="1">
      <alignment horizontal="left" vertical="top"/>
    </xf>
    <xf numFmtId="0" fontId="1" fillId="0" borderId="0" xfId="0" applyFont="1" applyAlignment="1">
      <alignment horizontal="center"/>
    </xf>
    <xf numFmtId="0" fontId="6" fillId="0" borderId="7" xfId="0" applyFont="1" applyBorder="1"/>
    <xf numFmtId="164" fontId="6" fillId="2" borderId="11" xfId="1" applyNumberFormat="1" applyFont="1" applyFill="1" applyBorder="1" applyAlignment="1"/>
    <xf numFmtId="0" fontId="6" fillId="3" borderId="11" xfId="0" applyFont="1" applyFill="1" applyBorder="1" applyAlignment="1">
      <alignment vertical="center"/>
    </xf>
    <xf numFmtId="164" fontId="6" fillId="2" borderId="11" xfId="1" applyNumberFormat="1" applyFont="1" applyFill="1" applyBorder="1"/>
    <xf numFmtId="0" fontId="6" fillId="0" borderId="8" xfId="0" applyFont="1" applyBorder="1" applyAlignment="1">
      <alignment horizontal="left"/>
    </xf>
    <xf numFmtId="0" fontId="6" fillId="0" borderId="9"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0" xfId="0" applyFont="1" applyBorder="1" applyAlignment="1">
      <alignment horizontal="center"/>
    </xf>
    <xf numFmtId="0" fontId="1" fillId="0" borderId="15" xfId="0" applyFont="1" applyBorder="1"/>
    <xf numFmtId="0" fontId="1" fillId="0" borderId="17" xfId="0" applyFont="1" applyBorder="1" applyAlignment="1">
      <alignment horizontal="center"/>
    </xf>
    <xf numFmtId="0" fontId="10" fillId="0" borderId="17" xfId="0" applyFont="1" applyBorder="1" applyAlignment="1">
      <alignment horizontal="center"/>
    </xf>
    <xf numFmtId="0" fontId="1" fillId="0" borderId="16" xfId="0" applyFont="1" applyBorder="1" applyAlignment="1">
      <alignment horizontal="center"/>
    </xf>
    <xf numFmtId="0" fontId="1" fillId="0" borderId="7" xfId="0" applyFont="1" applyBorder="1" applyAlignment="1">
      <alignment vertical="center"/>
    </xf>
    <xf numFmtId="0" fontId="1" fillId="0" borderId="11" xfId="0" applyFont="1" applyBorder="1" applyAlignment="1">
      <alignment horizontal="center" vertical="center" textRotation="90"/>
    </xf>
    <xf numFmtId="164" fontId="1" fillId="2" borderId="11" xfId="1" applyNumberFormat="1" applyFont="1" applyFill="1" applyBorder="1" applyAlignment="1">
      <alignment horizontal="center"/>
    </xf>
    <xf numFmtId="164" fontId="10" fillId="0" borderId="11" xfId="1" applyNumberFormat="1" applyFont="1" applyBorder="1" applyAlignment="1">
      <alignment horizontal="center"/>
    </xf>
    <xf numFmtId="165" fontId="1" fillId="0" borderId="8" xfId="2" applyNumberFormat="1" applyFont="1" applyBorder="1" applyAlignment="1">
      <alignment horizontal="center"/>
    </xf>
    <xf numFmtId="0" fontId="1" fillId="0" borderId="13"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4" xfId="2" applyNumberFormat="1" applyFont="1" applyBorder="1" applyAlignment="1">
      <alignment horizontal="center"/>
    </xf>
    <xf numFmtId="0" fontId="1" fillId="7" borderId="13" xfId="0" applyFont="1" applyFill="1" applyBorder="1" applyAlignment="1">
      <alignment vertical="center"/>
    </xf>
    <xf numFmtId="0" fontId="10" fillId="0" borderId="13" xfId="0" applyFont="1" applyBorder="1" applyAlignment="1">
      <alignment vertical="center"/>
    </xf>
    <xf numFmtId="165" fontId="1" fillId="0" borderId="14" xfId="2" applyNumberFormat="1" applyFont="1" applyFill="1" applyBorder="1" applyAlignment="1">
      <alignment horizontal="center"/>
    </xf>
    <xf numFmtId="0" fontId="10" fillId="0" borderId="9" xfId="0" applyFont="1" applyBorder="1" applyAlignment="1">
      <alignment vertical="center"/>
    </xf>
    <xf numFmtId="0" fontId="1" fillId="0" borderId="12" xfId="0" applyFont="1" applyBorder="1" applyAlignment="1">
      <alignment horizontal="center" vertical="center" textRotation="90"/>
    </xf>
    <xf numFmtId="164" fontId="10" fillId="2" borderId="12" xfId="1" applyNumberFormat="1" applyFont="1" applyFill="1" applyBorder="1" applyAlignment="1">
      <alignment horizontal="center"/>
    </xf>
    <xf numFmtId="164" fontId="10" fillId="0" borderId="12" xfId="1" applyNumberFormat="1" applyFont="1" applyBorder="1" applyAlignment="1">
      <alignment horizontal="center"/>
    </xf>
    <xf numFmtId="165" fontId="1" fillId="0" borderId="10" xfId="2" applyNumberFormat="1" applyFont="1" applyBorder="1" applyAlignment="1">
      <alignment horizontal="center"/>
    </xf>
    <xf numFmtId="0" fontId="1" fillId="0" borderId="11" xfId="0" applyFont="1" applyBorder="1" applyAlignment="1">
      <alignment horizontal="center"/>
    </xf>
    <xf numFmtId="0" fontId="10" fillId="0" borderId="11" xfId="0" applyFont="1" applyBorder="1" applyAlignment="1">
      <alignment horizontal="center"/>
    </xf>
    <xf numFmtId="0" fontId="1" fillId="0" borderId="8" xfId="0" applyFont="1" applyBorder="1" applyAlignment="1">
      <alignment horizontal="center"/>
    </xf>
    <xf numFmtId="0" fontId="1" fillId="0" borderId="7" xfId="0" applyFont="1" applyBorder="1"/>
    <xf numFmtId="164" fontId="1" fillId="5" borderId="11" xfId="1" applyNumberFormat="1" applyFont="1" applyFill="1" applyBorder="1" applyAlignment="1">
      <alignment horizontal="center"/>
    </xf>
    <xf numFmtId="164" fontId="1" fillId="0" borderId="8" xfId="0" applyNumberFormat="1" applyFont="1" applyBorder="1" applyAlignment="1">
      <alignment horizontal="center"/>
    </xf>
    <xf numFmtId="0" fontId="1" fillId="0" borderId="13" xfId="0" applyFont="1" applyBorder="1"/>
    <xf numFmtId="164" fontId="1" fillId="2" borderId="0" xfId="1" applyNumberFormat="1" applyFont="1" applyFill="1" applyAlignment="1">
      <alignment horizontal="center"/>
    </xf>
    <xf numFmtId="164" fontId="1" fillId="0" borderId="14"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9" xfId="0" applyFont="1" applyBorder="1"/>
    <xf numFmtId="0" fontId="1" fillId="0" borderId="12" xfId="0" applyFont="1" applyBorder="1"/>
    <xf numFmtId="166" fontId="1" fillId="2" borderId="12" xfId="0" applyNumberFormat="1" applyFont="1" applyFill="1" applyBorder="1"/>
    <xf numFmtId="166" fontId="1" fillId="0" borderId="12" xfId="0" applyNumberFormat="1" applyFont="1" applyBorder="1"/>
    <xf numFmtId="166" fontId="1" fillId="2" borderId="10" xfId="0" applyNumberFormat="1" applyFont="1" applyFill="1" applyBorder="1"/>
    <xf numFmtId="0" fontId="1" fillId="0" borderId="7" xfId="0" applyFont="1" applyBorder="1" applyAlignment="1">
      <alignment horizontal="center" vertical="center"/>
    </xf>
    <xf numFmtId="0" fontId="1" fillId="0" borderId="8" xfId="0" quotePrefix="1" applyFont="1" applyBorder="1" applyAlignment="1">
      <alignment horizontal="center"/>
    </xf>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15" xfId="0" applyFont="1" applyBorder="1" applyAlignment="1">
      <alignment horizontal="center" vertical="center"/>
    </xf>
    <xf numFmtId="43" fontId="1" fillId="0" borderId="14" xfId="0" applyNumberFormat="1" applyFont="1" applyBorder="1" applyAlignment="1">
      <alignment horizontal="center" vertical="center"/>
    </xf>
    <xf numFmtId="43" fontId="1" fillId="5" borderId="14"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0" xfId="0" applyNumberFormat="1" applyFont="1" applyFill="1" applyBorder="1" applyAlignment="1">
      <alignment horizontal="center" vertical="center"/>
    </xf>
    <xf numFmtId="0" fontId="1" fillId="0" borderId="7" xfId="0" applyFont="1" applyBorder="1" applyAlignment="1">
      <alignment horizontal="center"/>
    </xf>
    <xf numFmtId="0" fontId="1" fillId="0" borderId="7" xfId="0" applyFont="1" applyBorder="1" applyAlignment="1">
      <alignment horizontal="left" vertical="center" wrapText="1"/>
    </xf>
    <xf numFmtId="43" fontId="2" fillId="0" borderId="0" xfId="0" applyNumberFormat="1" applyFont="1"/>
    <xf numFmtId="0" fontId="1" fillId="0" borderId="13" xfId="0" applyFont="1" applyBorder="1" applyAlignment="1">
      <alignment horizontal="left" vertical="center" wrapText="1"/>
    </xf>
    <xf numFmtId="165" fontId="10" fillId="0" borderId="14" xfId="2" applyNumberFormat="1" applyFont="1" applyBorder="1" applyAlignment="1">
      <alignment horizontal="center"/>
    </xf>
    <xf numFmtId="2" fontId="1" fillId="2" borderId="0" xfId="1" applyNumberFormat="1" applyFont="1" applyFill="1" applyAlignment="1">
      <alignment horizontal="center"/>
    </xf>
    <xf numFmtId="165" fontId="1" fillId="0" borderId="14" xfId="2" quotePrefix="1" applyNumberFormat="1" applyFont="1" applyBorder="1" applyAlignment="1">
      <alignment horizontal="center"/>
    </xf>
    <xf numFmtId="166" fontId="1" fillId="2" borderId="0" xfId="1" applyNumberFormat="1" applyFont="1" applyFill="1" applyAlignment="1">
      <alignment horizontal="center"/>
    </xf>
    <xf numFmtId="10" fontId="1" fillId="0" borderId="14" xfId="2" applyNumberFormat="1" applyFont="1" applyBorder="1" applyAlignment="1">
      <alignment horizontal="center"/>
    </xf>
    <xf numFmtId="0" fontId="1" fillId="0" borderId="12" xfId="0" applyFont="1" applyBorder="1" applyAlignment="1">
      <alignment horizontal="center"/>
    </xf>
    <xf numFmtId="164" fontId="1" fillId="0" borderId="10" xfId="0" applyNumberFormat="1" applyFont="1" applyBorder="1" applyAlignment="1">
      <alignment horizontal="center"/>
    </xf>
    <xf numFmtId="0" fontId="14" fillId="4" borderId="6" xfId="0" applyFont="1" applyFill="1" applyBorder="1" applyAlignment="1">
      <alignment horizontal="center" vertical="center" wrapText="1"/>
    </xf>
    <xf numFmtId="0" fontId="1" fillId="0" borderId="6" xfId="0" applyFont="1" applyBorder="1" applyAlignment="1">
      <alignment horizontal="left" vertical="center" wrapText="1"/>
    </xf>
    <xf numFmtId="0" fontId="1" fillId="2" borderId="6" xfId="0" applyFont="1" applyFill="1" applyBorder="1" applyAlignment="1">
      <alignment horizontal="center"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6"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15" xfId="0" applyFont="1" applyBorder="1" applyAlignment="1">
      <alignment horizontal="left" vertical="center" wrapText="1"/>
    </xf>
    <xf numFmtId="0" fontId="1" fillId="0" borderId="17" xfId="0" applyFont="1" applyBorder="1" applyAlignment="1">
      <alignment horizontal="left" vertical="center" wrapText="1"/>
    </xf>
    <xf numFmtId="4" fontId="1" fillId="0" borderId="17" xfId="0" applyNumberFormat="1" applyFont="1" applyBorder="1" applyAlignment="1">
      <alignment horizontal="center" vertical="center" wrapText="1"/>
    </xf>
    <xf numFmtId="0" fontId="1" fillId="0" borderId="17"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2" xfId="0" applyFont="1" applyBorder="1" applyAlignment="1">
      <alignment vertical="center" wrapText="1"/>
    </xf>
    <xf numFmtId="0" fontId="1" fillId="0" borderId="6" xfId="0" applyFont="1" applyBorder="1" applyAlignment="1">
      <alignment vertical="center" wrapText="1"/>
    </xf>
    <xf numFmtId="0" fontId="10" fillId="0" borderId="6" xfId="0" applyFont="1" applyBorder="1" applyAlignment="1">
      <alignment vertical="center" wrapText="1"/>
    </xf>
    <xf numFmtId="168" fontId="10" fillId="0" borderId="6" xfId="0" applyNumberFormat="1" applyFont="1" applyBorder="1" applyAlignment="1">
      <alignment horizontal="center" vertical="center" wrapText="1"/>
    </xf>
    <xf numFmtId="165" fontId="1" fillId="0" borderId="6" xfId="2" applyNumberFormat="1" applyFont="1" applyBorder="1" applyAlignment="1">
      <alignment horizontal="center" vertical="center" wrapText="1"/>
    </xf>
    <xf numFmtId="0" fontId="1" fillId="0" borderId="0" xfId="0" applyFont="1" applyAlignment="1">
      <alignment vertical="center"/>
    </xf>
    <xf numFmtId="0" fontId="7" fillId="0" borderId="6" xfId="0" applyFont="1" applyBorder="1" applyAlignment="1">
      <alignment horizontal="left" vertical="top" wrapText="1"/>
    </xf>
    <xf numFmtId="0" fontId="6" fillId="2" borderId="6" xfId="0" applyFont="1" applyFill="1" applyBorder="1" applyAlignment="1">
      <alignment horizontal="left" vertical="top" wrapText="1"/>
    </xf>
    <xf numFmtId="0" fontId="14" fillId="4" borderId="13" xfId="0" applyFont="1" applyFill="1" applyBorder="1" applyAlignment="1">
      <alignment horizontal="center" vertical="center" wrapText="1"/>
    </xf>
    <xf numFmtId="0" fontId="14" fillId="4" borderId="14" xfId="0" applyFont="1" applyFill="1" applyBorder="1" applyAlignment="1">
      <alignment horizontal="center" vertical="center" wrapText="1"/>
    </xf>
    <xf numFmtId="0" fontId="14" fillId="4" borderId="7" xfId="0" applyFont="1" applyFill="1" applyBorder="1" applyAlignment="1">
      <alignment vertical="center" wrapText="1"/>
    </xf>
    <xf numFmtId="0" fontId="14" fillId="4" borderId="8" xfId="0" applyFont="1" applyFill="1" applyBorder="1" applyAlignment="1">
      <alignment vertical="center" wrapText="1"/>
    </xf>
    <xf numFmtId="0" fontId="14" fillId="4" borderId="7"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 fillId="0" borderId="16" xfId="0" applyFont="1" applyBorder="1" applyAlignment="1">
      <alignment horizontal="left" vertical="center" wrapText="1"/>
    </xf>
    <xf numFmtId="3" fontId="1" fillId="0" borderId="15" xfId="0" applyNumberFormat="1" applyFont="1" applyBorder="1" applyAlignment="1">
      <alignment horizontal="center" vertical="center" wrapText="1"/>
    </xf>
    <xf numFmtId="3" fontId="1" fillId="0" borderId="16" xfId="0" applyNumberFormat="1" applyFont="1" applyBorder="1" applyAlignment="1">
      <alignment horizontal="center" vertical="center" wrapText="1"/>
    </xf>
    <xf numFmtId="4" fontId="1" fillId="0" borderId="6" xfId="0" applyNumberFormat="1" applyFont="1" applyBorder="1" applyAlignment="1">
      <alignment horizontal="center" vertical="center" wrapText="1"/>
    </xf>
    <xf numFmtId="4" fontId="1" fillId="0" borderId="15" xfId="0" applyNumberFormat="1" applyFont="1" applyBorder="1" applyAlignment="1">
      <alignment horizontal="center" vertical="center" wrapText="1"/>
    </xf>
    <xf numFmtId="4" fontId="1" fillId="0" borderId="16" xfId="0" applyNumberFormat="1" applyFont="1" applyBorder="1" applyAlignment="1">
      <alignment horizontal="center" vertical="center" wrapText="1"/>
    </xf>
    <xf numFmtId="0" fontId="1" fillId="2" borderId="15" xfId="0" applyFont="1" applyFill="1" applyBorder="1" applyAlignment="1">
      <alignment horizontal="left" vertical="center" wrapText="1"/>
    </xf>
    <xf numFmtId="0" fontId="1" fillId="2" borderId="17" xfId="0" applyFont="1" applyFill="1" applyBorder="1" applyAlignment="1">
      <alignment horizontal="left" vertical="center" wrapText="1"/>
    </xf>
    <xf numFmtId="0" fontId="1" fillId="2" borderId="16" xfId="0" applyFont="1" applyFill="1" applyBorder="1" applyAlignment="1">
      <alignment horizontal="left" vertical="center" wrapText="1"/>
    </xf>
    <xf numFmtId="0" fontId="1" fillId="2" borderId="15" xfId="0" applyFont="1" applyFill="1" applyBorder="1" applyAlignment="1">
      <alignment horizontal="center" vertical="center" wrapText="1"/>
    </xf>
    <xf numFmtId="0" fontId="1" fillId="2" borderId="16" xfId="0" applyFont="1" applyFill="1" applyBorder="1" applyAlignment="1">
      <alignment horizontal="center" vertical="center" wrapText="1"/>
    </xf>
    <xf numFmtId="4" fontId="1" fillId="2" borderId="6" xfId="0" applyNumberFormat="1" applyFont="1" applyFill="1" applyBorder="1" applyAlignment="1">
      <alignment horizontal="center" vertical="center" wrapText="1"/>
    </xf>
    <xf numFmtId="4" fontId="1" fillId="2" borderId="15" xfId="0" applyNumberFormat="1" applyFont="1" applyFill="1" applyBorder="1" applyAlignment="1">
      <alignment horizontal="center" vertical="center" wrapText="1"/>
    </xf>
    <xf numFmtId="4" fontId="1" fillId="2" borderId="16" xfId="0" applyNumberFormat="1" applyFont="1" applyFill="1" applyBorder="1" applyAlignment="1">
      <alignment horizontal="center" vertical="center" wrapText="1"/>
    </xf>
    <xf numFmtId="0" fontId="14" fillId="4" borderId="6" xfId="0" applyFont="1" applyFill="1" applyBorder="1" applyAlignment="1">
      <alignment horizontal="left" vertical="center" wrapText="1"/>
    </xf>
    <xf numFmtId="0" fontId="14" fillId="4" borderId="6" xfId="0" applyFont="1" applyFill="1" applyBorder="1" applyAlignment="1">
      <alignment vertical="center" wrapText="1"/>
    </xf>
    <xf numFmtId="0" fontId="14" fillId="4" borderId="6" xfId="0" applyFont="1" applyFill="1" applyBorder="1" applyAlignment="1">
      <alignment horizontal="center" vertical="center" wrapText="1"/>
    </xf>
    <xf numFmtId="0" fontId="1" fillId="2" borderId="6" xfId="0" applyFont="1" applyFill="1" applyBorder="1" applyAlignment="1">
      <alignment vertical="center" wrapText="1"/>
    </xf>
    <xf numFmtId="0" fontId="2" fillId="2" borderId="6" xfId="0" applyFont="1" applyFill="1" applyBorder="1"/>
    <xf numFmtId="0" fontId="15" fillId="0" borderId="12" xfId="0" applyFont="1" applyBorder="1"/>
    <xf numFmtId="14" fontId="15" fillId="0" borderId="12" xfId="0" applyNumberFormat="1" applyFont="1" applyBorder="1"/>
    <xf numFmtId="3" fontId="1" fillId="0" borderId="6" xfId="0" applyNumberFormat="1" applyFont="1" applyBorder="1" applyAlignment="1">
      <alignment horizontal="center" vertical="center" wrapText="1"/>
    </xf>
    <xf numFmtId="0" fontId="1" fillId="0" borderId="6" xfId="0" applyFont="1" applyBorder="1" applyAlignment="1">
      <alignment horizontal="center" vertical="center" wrapText="1"/>
    </xf>
    <xf numFmtId="2" fontId="1" fillId="0" borderId="6" xfId="0" applyNumberFormat="1" applyFont="1" applyBorder="1" applyAlignment="1">
      <alignment horizontal="center" vertical="center"/>
    </xf>
    <xf numFmtId="2" fontId="1" fillId="0" borderId="6" xfId="0" applyNumberFormat="1" applyFont="1" applyBorder="1" applyAlignment="1">
      <alignment horizontal="center"/>
    </xf>
    <xf numFmtId="1" fontId="1" fillId="0" borderId="6" xfId="0" applyNumberFormat="1" applyFont="1" applyBorder="1" applyAlignment="1">
      <alignment horizontal="center" vertical="center"/>
    </xf>
    <xf numFmtId="0" fontId="1" fillId="2" borderId="6" xfId="0" applyFont="1" applyFill="1" applyBorder="1" applyAlignment="1">
      <alignment horizontal="center" vertical="center" wrapText="1"/>
    </xf>
    <xf numFmtId="0" fontId="1" fillId="2" borderId="6" xfId="0" applyFont="1" applyFill="1" applyBorder="1" applyAlignment="1">
      <alignment horizontal="left" vertical="top" wrapText="1"/>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6" fillId="3" borderId="15" xfId="0" applyFont="1" applyFill="1" applyBorder="1" applyAlignment="1">
      <alignment horizontal="center" vertical="center"/>
    </xf>
    <xf numFmtId="0" fontId="6" fillId="3" borderId="16" xfId="0" applyFont="1" applyFill="1" applyBorder="1" applyAlignment="1">
      <alignment horizontal="center" vertical="center"/>
    </xf>
    <xf numFmtId="0" fontId="7" fillId="3" borderId="6" xfId="0" applyFont="1" applyFill="1" applyBorder="1" applyAlignment="1">
      <alignment horizontal="center" vertical="center"/>
    </xf>
    <xf numFmtId="0" fontId="7" fillId="0" borderId="6" xfId="0" applyFont="1" applyBorder="1" applyAlignment="1">
      <alignment horizontal="left" vertical="center" wrapText="1"/>
    </xf>
    <xf numFmtId="0" fontId="1" fillId="2" borderId="6" xfId="0" applyFont="1" applyFill="1" applyBorder="1" applyAlignment="1">
      <alignment horizontal="center" vertical="center"/>
    </xf>
    <xf numFmtId="0" fontId="7" fillId="0" borderId="15" xfId="0" applyFont="1" applyBorder="1" applyAlignment="1">
      <alignment horizontal="left" vertical="center"/>
    </xf>
    <xf numFmtId="0" fontId="7" fillId="0" borderId="16" xfId="0" applyFont="1" applyBorder="1" applyAlignment="1">
      <alignment horizontal="left" vertical="center"/>
    </xf>
    <xf numFmtId="0" fontId="7" fillId="0" borderId="9" xfId="0" applyFont="1" applyBorder="1" applyAlignment="1">
      <alignment horizontal="center" vertical="center"/>
    </xf>
    <xf numFmtId="0" fontId="7" fillId="0" borderId="12" xfId="0" applyFont="1" applyBorder="1" applyAlignment="1">
      <alignment horizontal="center" vertical="center"/>
    </xf>
    <xf numFmtId="0" fontId="10" fillId="0" borderId="6"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15" xfId="0" applyFont="1" applyBorder="1" applyAlignment="1">
      <alignment horizontal="center" vertical="center" wrapText="1"/>
    </xf>
    <xf numFmtId="0" fontId="6" fillId="0" borderId="13" xfId="0" applyFont="1" applyBorder="1"/>
    <xf numFmtId="14" fontId="1" fillId="2" borderId="6" xfId="0" applyNumberFormat="1" applyFont="1" applyFill="1" applyBorder="1" applyAlignment="1">
      <alignment horizontal="left" vertical="top"/>
    </xf>
    <xf numFmtId="0" fontId="1" fillId="2" borderId="15" xfId="0" applyFont="1" applyFill="1" applyBorder="1" applyAlignment="1">
      <alignment horizontal="left" vertical="top" wrapText="1"/>
    </xf>
    <xf numFmtId="0" fontId="1" fillId="2" borderId="15" xfId="0" applyFont="1" applyFill="1" applyBorder="1" applyAlignment="1">
      <alignment horizontal="left" vertical="top"/>
    </xf>
    <xf numFmtId="0" fontId="1" fillId="2" borderId="17" xfId="0" applyFont="1" applyFill="1" applyBorder="1" applyAlignment="1">
      <alignment horizontal="left" vertical="top"/>
    </xf>
    <xf numFmtId="0" fontId="1" fillId="2" borderId="16" xfId="0" applyFont="1" applyFill="1" applyBorder="1" applyAlignment="1">
      <alignment horizontal="left" vertical="top"/>
    </xf>
    <xf numFmtId="0" fontId="1" fillId="2" borderId="16" xfId="0" applyFont="1" applyFill="1" applyBorder="1" applyAlignment="1">
      <alignment horizontal="left" vertical="top" wrapText="1"/>
    </xf>
    <xf numFmtId="0" fontId="1" fillId="2" borderId="15" xfId="0" applyFont="1" applyFill="1" applyBorder="1" applyAlignment="1">
      <alignment horizontal="left" vertical="top"/>
    </xf>
    <xf numFmtId="0" fontId="1" fillId="2" borderId="6" xfId="0" applyFont="1" applyFill="1" applyBorder="1" applyAlignment="1">
      <alignment horizontal="left" vertical="top"/>
    </xf>
    <xf numFmtId="0" fontId="1" fillId="5" borderId="6" xfId="0" applyFont="1" applyFill="1" applyBorder="1" applyAlignment="1">
      <alignment horizontal="left" vertical="top" wrapText="1"/>
    </xf>
    <xf numFmtId="0" fontId="10" fillId="0" borderId="11" xfId="0" applyFont="1" applyBorder="1" applyAlignment="1">
      <alignment horizontal="center" wrapText="1"/>
    </xf>
    <xf numFmtId="0" fontId="7" fillId="0" borderId="17" xfId="0" applyFont="1" applyBorder="1" applyAlignment="1">
      <alignment horizontal="left" vertical="center"/>
    </xf>
    <xf numFmtId="0" fontId="34" fillId="5" borderId="7" xfId="0" applyFont="1" applyFill="1" applyBorder="1" applyAlignment="1">
      <alignment horizontal="left" vertical="top" wrapText="1"/>
    </xf>
    <xf numFmtId="0" fontId="34" fillId="5" borderId="11" xfId="0" applyFont="1" applyFill="1" applyBorder="1" applyAlignment="1">
      <alignment horizontal="left" vertical="top" wrapText="1"/>
    </xf>
    <xf numFmtId="0" fontId="34" fillId="5" borderId="8" xfId="0" applyFont="1" applyFill="1" applyBorder="1" applyAlignment="1">
      <alignment horizontal="left" vertical="top" wrapText="1"/>
    </xf>
    <xf numFmtId="0" fontId="34" fillId="5" borderId="13" xfId="0" applyFont="1" applyFill="1" applyBorder="1" applyAlignment="1">
      <alignment horizontal="left" vertical="top" wrapText="1"/>
    </xf>
    <xf numFmtId="0" fontId="34" fillId="5" borderId="14" xfId="0" applyFont="1" applyFill="1" applyBorder="1" applyAlignment="1">
      <alignment horizontal="left" vertical="top" wrapText="1"/>
    </xf>
    <xf numFmtId="0" fontId="34" fillId="5" borderId="9" xfId="0" applyFont="1" applyFill="1" applyBorder="1" applyAlignment="1">
      <alignment horizontal="left" vertical="top" wrapText="1"/>
    </xf>
    <xf numFmtId="0" fontId="34" fillId="5" borderId="12" xfId="0" applyFont="1" applyFill="1" applyBorder="1" applyAlignment="1">
      <alignment horizontal="left" vertical="top" wrapText="1"/>
    </xf>
    <xf numFmtId="0" fontId="34" fillId="5" borderId="10" xfId="0" applyFont="1" applyFill="1" applyBorder="1" applyAlignment="1">
      <alignment horizontal="left" vertical="top" wrapText="1"/>
    </xf>
    <xf numFmtId="0" fontId="7" fillId="0" borderId="15" xfId="0" applyFont="1" applyBorder="1" applyAlignment="1">
      <alignment horizontal="left" vertical="center" wrapText="1"/>
    </xf>
    <xf numFmtId="0" fontId="7" fillId="0" borderId="17" xfId="0" applyFont="1" applyBorder="1" applyAlignment="1">
      <alignment horizontal="left" vertical="center" wrapText="1"/>
    </xf>
    <xf numFmtId="0" fontId="7" fillId="0" borderId="16" xfId="0" applyFont="1" applyBorder="1" applyAlignment="1">
      <alignment horizontal="left" vertical="center" wrapText="1"/>
    </xf>
    <xf numFmtId="0" fontId="2" fillId="0" borderId="0" xfId="0" applyFont="1" applyAlignment="1">
      <alignment horizontal="left" vertical="center" wrapText="1"/>
    </xf>
    <xf numFmtId="0" fontId="1" fillId="2" borderId="11" xfId="0" applyFont="1" applyFill="1" applyBorder="1" applyAlignment="1">
      <alignment horizontal="left" vertical="top"/>
    </xf>
    <xf numFmtId="0" fontId="1" fillId="2" borderId="8" xfId="0" applyFont="1" applyFill="1" applyBorder="1" applyAlignment="1">
      <alignment horizontal="left" vertical="top"/>
    </xf>
    <xf numFmtId="0" fontId="1" fillId="2" borderId="13" xfId="0" applyFont="1" applyFill="1" applyBorder="1" applyAlignment="1">
      <alignment horizontal="left" vertical="top"/>
    </xf>
    <xf numFmtId="0" fontId="1" fillId="2" borderId="0" xfId="0" applyFont="1" applyFill="1" applyAlignment="1">
      <alignment horizontal="left" vertical="top"/>
    </xf>
    <xf numFmtId="0" fontId="1" fillId="2" borderId="14" xfId="0" applyFont="1" applyFill="1" applyBorder="1" applyAlignment="1">
      <alignment horizontal="left" vertical="top"/>
    </xf>
    <xf numFmtId="0" fontId="1" fillId="2" borderId="9" xfId="0" applyFont="1" applyFill="1" applyBorder="1" applyAlignment="1">
      <alignment horizontal="left" vertical="top"/>
    </xf>
    <xf numFmtId="0" fontId="1" fillId="2" borderId="12" xfId="0" applyFont="1" applyFill="1" applyBorder="1" applyAlignment="1">
      <alignment horizontal="left" vertical="top"/>
    </xf>
    <xf numFmtId="0" fontId="1" fillId="2" borderId="10" xfId="0" applyFont="1" applyFill="1" applyBorder="1" applyAlignment="1">
      <alignment horizontal="left" vertical="top"/>
    </xf>
    <xf numFmtId="0" fontId="1" fillId="5" borderId="7" xfId="0" applyFont="1" applyFill="1" applyBorder="1" applyAlignment="1">
      <alignment horizontal="left"/>
    </xf>
    <xf numFmtId="0" fontId="1" fillId="5" borderId="11" xfId="0" applyFont="1" applyFill="1" applyBorder="1" applyAlignment="1">
      <alignment horizontal="left"/>
    </xf>
    <xf numFmtId="0" fontId="1" fillId="5" borderId="8" xfId="0" applyFont="1" applyFill="1" applyBorder="1" applyAlignment="1">
      <alignment horizontal="left"/>
    </xf>
    <xf numFmtId="0" fontId="1" fillId="5" borderId="13" xfId="0" applyFont="1" applyFill="1" applyBorder="1" applyAlignment="1">
      <alignment horizontal="left"/>
    </xf>
    <xf numFmtId="0" fontId="1" fillId="5" borderId="0" xfId="0" applyFont="1" applyFill="1" applyAlignment="1">
      <alignment horizontal="left"/>
    </xf>
    <xf numFmtId="0" fontId="1" fillId="5" borderId="14" xfId="0" applyFont="1" applyFill="1" applyBorder="1" applyAlignment="1">
      <alignment horizontal="left"/>
    </xf>
    <xf numFmtId="0" fontId="1" fillId="5" borderId="9" xfId="0" applyFont="1" applyFill="1" applyBorder="1" applyAlignment="1">
      <alignment horizontal="left"/>
    </xf>
    <xf numFmtId="0" fontId="1" fillId="5" borderId="12" xfId="0" applyFont="1" applyFill="1" applyBorder="1" applyAlignment="1">
      <alignment horizontal="left"/>
    </xf>
    <xf numFmtId="0" fontId="1" fillId="5" borderId="10" xfId="0" applyFont="1" applyFill="1" applyBorder="1" applyAlignment="1">
      <alignment horizontal="left"/>
    </xf>
    <xf numFmtId="0" fontId="7" fillId="0" borderId="15" xfId="0" applyFont="1" applyBorder="1" applyAlignment="1">
      <alignment vertical="center"/>
    </xf>
    <xf numFmtId="0" fontId="7" fillId="0" borderId="17" xfId="0" applyFont="1" applyBorder="1" applyAlignment="1">
      <alignment vertical="center"/>
    </xf>
    <xf numFmtId="0" fontId="7" fillId="0" borderId="16" xfId="0" applyFont="1" applyBorder="1" applyAlignment="1">
      <alignment vertical="center"/>
    </xf>
    <xf numFmtId="14" fontId="1" fillId="2" borderId="7" xfId="0" applyNumberFormat="1" applyFont="1" applyFill="1" applyBorder="1" applyAlignment="1">
      <alignment horizontal="left" vertical="top"/>
    </xf>
    <xf numFmtId="0" fontId="1" fillId="2" borderId="7" xfId="0" applyFont="1" applyFill="1" applyBorder="1" applyAlignment="1">
      <alignment horizontal="left" vertical="top"/>
    </xf>
    <xf numFmtId="0" fontId="4" fillId="0" borderId="6" xfId="0" applyFont="1" applyBorder="1" applyAlignment="1">
      <alignment vertical="top" wrapText="1"/>
    </xf>
    <xf numFmtId="0" fontId="0" fillId="0" borderId="6" xfId="0" applyBorder="1" applyAlignment="1">
      <alignment vertical="top"/>
    </xf>
    <xf numFmtId="0" fontId="2" fillId="0" borderId="6" xfId="0" applyFont="1" applyBorder="1" applyAlignment="1">
      <alignment vertical="top" wrapText="1"/>
    </xf>
    <xf numFmtId="4" fontId="2" fillId="0" borderId="6" xfId="0" applyNumberFormat="1" applyFont="1" applyBorder="1" applyAlignment="1">
      <alignment horizontal="center" vertical="top"/>
    </xf>
    <xf numFmtId="0" fontId="2" fillId="5" borderId="6" xfId="0" applyFont="1" applyFill="1" applyBorder="1" applyAlignment="1">
      <alignment vertical="top"/>
    </xf>
    <xf numFmtId="2" fontId="2" fillId="0" borderId="6" xfId="0" applyNumberFormat="1" applyFont="1" applyBorder="1" applyAlignment="1">
      <alignment horizontal="center" vertical="top"/>
    </xf>
    <xf numFmtId="0" fontId="38" fillId="0" borderId="15" xfId="0" applyFont="1" applyBorder="1" applyAlignment="1">
      <alignment vertical="top" wrapText="1"/>
    </xf>
    <xf numFmtId="0" fontId="39" fillId="0" borderId="16" xfId="0" applyFont="1" applyBorder="1" applyAlignment="1">
      <alignment vertical="top" wrapText="1"/>
    </xf>
    <xf numFmtId="0" fontId="2" fillId="0" borderId="6" xfId="0" applyFont="1" applyBorder="1" applyAlignment="1">
      <alignment vertical="top" wrapText="1"/>
    </xf>
    <xf numFmtId="4" fontId="2" fillId="0" borderId="6" xfId="0" applyNumberFormat="1" applyFont="1" applyBorder="1" applyAlignment="1">
      <alignment horizontal="center" vertical="top" wrapText="1"/>
    </xf>
    <xf numFmtId="10" fontId="2" fillId="0" borderId="6" xfId="0" applyNumberFormat="1" applyFont="1" applyBorder="1" applyAlignment="1">
      <alignment horizontal="center" vertical="top"/>
    </xf>
    <xf numFmtId="0" fontId="38" fillId="0" borderId="6" xfId="0" applyFont="1" applyBorder="1" applyAlignment="1">
      <alignment vertical="top" wrapText="1"/>
    </xf>
    <xf numFmtId="0" fontId="39" fillId="0" borderId="6" xfId="0" applyFont="1" applyBorder="1" applyAlignment="1">
      <alignment vertical="top" wrapText="1"/>
    </xf>
    <xf numFmtId="0" fontId="18" fillId="0" borderId="6" xfId="0" applyFont="1" applyBorder="1" applyAlignment="1">
      <alignment horizontal="left" vertical="center" wrapText="1"/>
    </xf>
    <xf numFmtId="0" fontId="10" fillId="3" borderId="6" xfId="0" applyFont="1" applyFill="1" applyBorder="1" applyAlignment="1">
      <alignment horizontal="left" vertical="center" wrapText="1"/>
    </xf>
    <xf numFmtId="9" fontId="1" fillId="0" borderId="6" xfId="0" applyNumberFormat="1" applyFont="1" applyBorder="1" applyAlignment="1">
      <alignment horizontal="center" vertical="center" wrapText="1"/>
    </xf>
    <xf numFmtId="0" fontId="1" fillId="5" borderId="6"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1" fillId="5" borderId="15"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6" fillId="2" borderId="6" xfId="0" applyFont="1" applyFill="1" applyBorder="1" applyAlignment="1">
      <alignment horizontal="left" vertical="top"/>
    </xf>
    <xf numFmtId="0" fontId="7" fillId="0" borderId="9" xfId="0" applyFont="1" applyBorder="1" applyAlignment="1">
      <alignment horizontal="left" vertical="center" wrapText="1"/>
    </xf>
    <xf numFmtId="0" fontId="7" fillId="0" borderId="12" xfId="0" applyFont="1" applyBorder="1" applyAlignment="1">
      <alignment horizontal="left" vertical="center" wrapText="1"/>
    </xf>
    <xf numFmtId="0" fontId="10" fillId="0" borderId="7" xfId="0" applyFont="1" applyBorder="1" applyAlignment="1">
      <alignment horizontal="left" vertical="center"/>
    </xf>
    <xf numFmtId="0" fontId="10" fillId="0" borderId="11" xfId="0" applyFont="1" applyBorder="1" applyAlignment="1">
      <alignment horizontal="left" vertical="center"/>
    </xf>
    <xf numFmtId="0" fontId="10" fillId="0" borderId="8" xfId="0" applyFont="1" applyBorder="1" applyAlignment="1">
      <alignment horizontal="left" vertical="center"/>
    </xf>
    <xf numFmtId="0" fontId="10" fillId="0" borderId="15" xfId="0" applyFont="1" applyBorder="1" applyAlignment="1">
      <alignment horizontal="center" vertical="center"/>
    </xf>
    <xf numFmtId="0" fontId="10" fillId="0" borderId="16" xfId="0" applyFont="1" applyBorder="1" applyAlignment="1">
      <alignment horizontal="center" vertical="center"/>
    </xf>
    <xf numFmtId="0" fontId="10" fillId="0" borderId="6" xfId="0" applyFont="1" applyBorder="1" applyAlignment="1">
      <alignment horizontal="center" vertical="center"/>
    </xf>
    <xf numFmtId="0" fontId="1" fillId="5" borderId="7" xfId="0" applyFont="1" applyFill="1" applyBorder="1" applyAlignment="1">
      <alignment horizontal="left" vertical="center" wrapText="1"/>
    </xf>
    <xf numFmtId="0" fontId="1" fillId="5" borderId="11"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15" xfId="0" applyFont="1" applyFill="1" applyBorder="1" applyAlignment="1">
      <alignment horizontal="left" vertical="center" wrapText="1"/>
    </xf>
    <xf numFmtId="0" fontId="1" fillId="5" borderId="16" xfId="0" applyFont="1" applyFill="1" applyBorder="1" applyAlignment="1">
      <alignment horizontal="left" vertical="center" wrapText="1"/>
    </xf>
    <xf numFmtId="0" fontId="1" fillId="5" borderId="6"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0" fillId="0" borderId="7" xfId="0" applyFont="1" applyBorder="1" applyAlignment="1">
      <alignment horizontal="left" vertical="center" wrapText="1"/>
    </xf>
    <xf numFmtId="0" fontId="10" fillId="0" borderId="8" xfId="0" applyFont="1" applyBorder="1" applyAlignment="1">
      <alignment horizontal="left"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7" xfId="0" applyFont="1" applyBorder="1" applyAlignment="1">
      <alignment horizontal="center" vertical="center" wrapText="1"/>
    </xf>
    <xf numFmtId="0" fontId="18" fillId="0" borderId="16" xfId="0" applyFont="1" applyBorder="1" applyAlignment="1">
      <alignment horizontal="center"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 fillId="0" borderId="9" xfId="0" applyFont="1" applyBorder="1" applyAlignment="1">
      <alignment horizontal="left" vertical="center" wrapText="1"/>
    </xf>
    <xf numFmtId="0" fontId="1" fillId="0" borderId="10" xfId="0" applyFont="1" applyBorder="1" applyAlignment="1">
      <alignment horizontal="left" vertical="center" wrapText="1"/>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6" xfId="0" applyFont="1" applyBorder="1" applyAlignment="1">
      <alignment horizontal="center"/>
    </xf>
    <xf numFmtId="0" fontId="1" fillId="0" borderId="6" xfId="0" applyFont="1" applyBorder="1" applyAlignment="1">
      <alignment horizontal="center" vertical="center" wrapText="1"/>
    </xf>
    <xf numFmtId="0" fontId="1" fillId="5" borderId="0" xfId="0" applyFont="1" applyFill="1"/>
    <xf numFmtId="0" fontId="1" fillId="0" borderId="15" xfId="0" applyFont="1" applyBorder="1" applyAlignment="1">
      <alignment horizontal="center" vertical="center" wrapText="1"/>
    </xf>
    <xf numFmtId="0" fontId="10" fillId="0" borderId="6" xfId="0" applyFont="1" applyBorder="1" applyAlignment="1">
      <alignment horizontal="left" vertical="center" wrapText="1"/>
    </xf>
    <xf numFmtId="0" fontId="10" fillId="0" borderId="16" xfId="0" applyFont="1" applyBorder="1" applyAlignment="1">
      <alignment horizontal="center" vertical="center" wrapText="1"/>
    </xf>
    <xf numFmtId="0" fontId="17" fillId="0" borderId="6" xfId="0" applyFont="1" applyBorder="1" applyAlignment="1">
      <alignment horizontal="center" vertical="center" wrapText="1"/>
    </xf>
    <xf numFmtId="2" fontId="1" fillId="5" borderId="6" xfId="0" applyNumberFormat="1" applyFont="1" applyFill="1" applyBorder="1" applyAlignment="1">
      <alignment horizontal="center" vertical="center" wrapText="1"/>
    </xf>
    <xf numFmtId="0" fontId="1" fillId="0" borderId="6" xfId="0" applyFont="1" applyBorder="1" applyAlignment="1">
      <alignment horizontal="left" vertical="center" wrapText="1"/>
    </xf>
    <xf numFmtId="0" fontId="1" fillId="0" borderId="6"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1" fillId="0" borderId="7" xfId="0" applyFont="1" applyBorder="1" applyAlignment="1">
      <alignment horizontal="left" vertical="center" wrapText="1"/>
    </xf>
    <xf numFmtId="0" fontId="1" fillId="0" borderId="11" xfId="0" applyFont="1" applyBorder="1" applyAlignment="1">
      <alignment horizontal="center" vertical="center" wrapText="1"/>
    </xf>
    <xf numFmtId="0" fontId="12" fillId="0" borderId="7" xfId="0" applyFont="1" applyBorder="1" applyAlignment="1">
      <alignment horizontal="right" vertical="top" wrapText="1"/>
    </xf>
    <xf numFmtId="0" fontId="12" fillId="0" borderId="11" xfId="0" applyFont="1" applyBorder="1" applyAlignment="1">
      <alignment horizontal="right" vertical="top" wrapText="1"/>
    </xf>
    <xf numFmtId="0" fontId="12" fillId="0" borderId="8" xfId="0" applyFont="1" applyBorder="1" applyAlignment="1">
      <alignment horizontal="right" vertical="top" wrapText="1"/>
    </xf>
    <xf numFmtId="0" fontId="7" fillId="0" borderId="9" xfId="0" applyFont="1" applyBorder="1" applyAlignment="1">
      <alignment horizontal="left" vertical="top" wrapText="1"/>
    </xf>
    <xf numFmtId="0" fontId="7" fillId="0" borderId="12" xfId="0" applyFont="1" applyBorder="1" applyAlignment="1">
      <alignment horizontal="left" vertical="top" wrapText="1"/>
    </xf>
    <xf numFmtId="0" fontId="7" fillId="0" borderId="10" xfId="0" applyFont="1" applyBorder="1" applyAlignment="1">
      <alignment horizontal="left" vertical="top" wrapText="1"/>
    </xf>
    <xf numFmtId="0" fontId="7" fillId="0" borderId="6" xfId="0" applyFont="1" applyBorder="1" applyAlignment="1">
      <alignment horizontal="center"/>
    </xf>
    <xf numFmtId="0" fontId="7" fillId="0" borderId="12" xfId="0" applyFont="1" applyBorder="1" applyAlignment="1">
      <alignment horizontal="center"/>
    </xf>
    <xf numFmtId="0" fontId="7" fillId="0" borderId="6" xfId="0" applyFont="1" applyBorder="1" applyAlignment="1">
      <alignment horizontal="left" vertical="center"/>
    </xf>
    <xf numFmtId="0" fontId="7" fillId="0" borderId="6" xfId="0" applyFont="1" applyBorder="1" applyAlignment="1">
      <alignment horizontal="center" vertical="center" wrapText="1"/>
    </xf>
    <xf numFmtId="0" fontId="7" fillId="0" borderId="6" xfId="0" applyFont="1" applyBorder="1" applyAlignment="1">
      <alignment horizontal="center" vertical="center"/>
    </xf>
    <xf numFmtId="0" fontId="6" fillId="0" borderId="6" xfId="0" applyFont="1" applyBorder="1" applyAlignment="1">
      <alignment horizontal="left"/>
    </xf>
    <xf numFmtId="0" fontId="19" fillId="0" borderId="6" xfId="0" applyFont="1" applyBorder="1" applyAlignment="1">
      <alignment horizontal="center"/>
    </xf>
    <xf numFmtId="2" fontId="6" fillId="5" borderId="6" xfId="0" applyNumberFormat="1" applyFont="1" applyFill="1" applyBorder="1" applyAlignment="1">
      <alignment horizontal="center"/>
    </xf>
    <xf numFmtId="0" fontId="6" fillId="0" borderId="6" xfId="0" applyFont="1" applyBorder="1" applyAlignment="1">
      <alignment horizontal="center" vertical="center"/>
    </xf>
    <xf numFmtId="0" fontId="6" fillId="0" borderId="6" xfId="0" applyFont="1" applyBorder="1"/>
    <xf numFmtId="2" fontId="6" fillId="0" borderId="6" xfId="0" applyNumberFormat="1" applyFont="1" applyBorder="1" applyAlignment="1">
      <alignment horizontal="center"/>
    </xf>
    <xf numFmtId="0" fontId="6" fillId="5" borderId="6" xfId="0" applyFont="1" applyFill="1" applyBorder="1" applyAlignment="1">
      <alignment horizontal="center"/>
    </xf>
    <xf numFmtId="0" fontId="7" fillId="0" borderId="15" xfId="0" applyFont="1" applyBorder="1" applyAlignment="1">
      <alignment horizontal="left" vertical="top" wrapText="1"/>
    </xf>
    <xf numFmtId="0" fontId="7" fillId="0" borderId="17" xfId="0" applyFont="1" applyBorder="1" applyAlignment="1">
      <alignment horizontal="left" vertical="top" wrapText="1"/>
    </xf>
    <xf numFmtId="0" fontId="7" fillId="0" borderId="16" xfId="0" applyFont="1" applyBorder="1" applyAlignment="1">
      <alignment horizontal="left" vertical="top" wrapText="1"/>
    </xf>
    <xf numFmtId="0" fontId="6" fillId="2" borderId="7" xfId="0" applyFont="1" applyFill="1" applyBorder="1" applyAlignment="1">
      <alignment horizontal="left" vertical="top"/>
    </xf>
    <xf numFmtId="0" fontId="6" fillId="2" borderId="11" xfId="0" applyFont="1" applyFill="1" applyBorder="1" applyAlignment="1">
      <alignment horizontal="left" vertical="top"/>
    </xf>
    <xf numFmtId="0" fontId="6" fillId="2" borderId="8" xfId="0" applyFont="1" applyFill="1" applyBorder="1" applyAlignment="1">
      <alignment horizontal="left" vertical="top"/>
    </xf>
    <xf numFmtId="0" fontId="6" fillId="2" borderId="13" xfId="0" applyFont="1" applyFill="1" applyBorder="1" applyAlignment="1">
      <alignment horizontal="left" vertical="top"/>
    </xf>
    <xf numFmtId="0" fontId="6" fillId="2" borderId="14" xfId="0" applyFont="1" applyFill="1" applyBorder="1" applyAlignment="1">
      <alignment horizontal="left" vertical="top"/>
    </xf>
    <xf numFmtId="0" fontId="6" fillId="2" borderId="9" xfId="0" applyFont="1" applyFill="1" applyBorder="1" applyAlignment="1">
      <alignment horizontal="left" vertical="top"/>
    </xf>
    <xf numFmtId="0" fontId="6" fillId="2" borderId="12" xfId="0" applyFont="1" applyFill="1" applyBorder="1" applyAlignment="1">
      <alignment horizontal="left" vertical="top"/>
    </xf>
    <xf numFmtId="0" fontId="6" fillId="2" borderId="10" xfId="0" applyFont="1" applyFill="1" applyBorder="1" applyAlignment="1">
      <alignment horizontal="left" vertical="top"/>
    </xf>
    <xf numFmtId="0" fontId="6" fillId="2" borderId="7" xfId="0" applyFont="1" applyFill="1" applyBorder="1" applyAlignment="1">
      <alignment horizontal="left" vertical="top" wrapText="1"/>
    </xf>
    <xf numFmtId="0" fontId="19" fillId="5" borderId="6" xfId="0" applyFont="1" applyFill="1" applyBorder="1" applyAlignment="1">
      <alignment horizontal="center"/>
    </xf>
    <xf numFmtId="0" fontId="6" fillId="2" borderId="11"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13" xfId="0" applyFont="1" applyFill="1" applyBorder="1" applyAlignment="1">
      <alignment horizontal="left" vertical="top" wrapText="1"/>
    </xf>
    <xf numFmtId="0" fontId="6" fillId="2" borderId="14"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0"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openxmlformats.org/officeDocument/2006/relationships/customXml" Target="../customXml/item5.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150.1</c:v>
                </c:pt>
                <c:pt idx="1">
                  <c:v>150.4</c:v>
                </c:pt>
                <c:pt idx="2">
                  <c:v>140.80000000000001</c:v>
                </c:pt>
                <c:pt idx="3">
                  <c:v>113.7</c:v>
                </c:pt>
                <c:pt idx="4">
                  <c:v>138.19999999999999</c:v>
                </c:pt>
                <c:pt idx="5">
                  <c:v>150.4</c:v>
                </c:pt>
                <c:pt idx="6">
                  <c:v>144.4</c:v>
                </c:pt>
                <c:pt idx="7">
                  <c:v>145.69999999999999</c:v>
                </c:pt>
                <c:pt idx="8">
                  <c:v>165</c:v>
                </c:pt>
                <c:pt idx="9">
                  <c:v>147</c:v>
                </c:pt>
                <c:pt idx="10">
                  <c:v>154.69999999999999</c:v>
                </c:pt>
                <c:pt idx="11">
                  <c:v>0</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211.1</c:v>
                </c:pt>
                <c:pt idx="1">
                  <c:v>198.1</c:v>
                </c:pt>
                <c:pt idx="2">
                  <c:v>201.3</c:v>
                </c:pt>
                <c:pt idx="3">
                  <c:v>185</c:v>
                </c:pt>
                <c:pt idx="4">
                  <c:v>196.7</c:v>
                </c:pt>
                <c:pt idx="5">
                  <c:v>214.7</c:v>
                </c:pt>
                <c:pt idx="6">
                  <c:v>220.1</c:v>
                </c:pt>
                <c:pt idx="7">
                  <c:v>208.4</c:v>
                </c:pt>
                <c:pt idx="8">
                  <c:v>215.1</c:v>
                </c:pt>
                <c:pt idx="9">
                  <c:v>202.7</c:v>
                </c:pt>
                <c:pt idx="10">
                  <c:v>205.9</c:v>
                </c:pt>
                <c:pt idx="11">
                  <c:v>0</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150.15</c:v>
                </c:pt>
                <c:pt idx="1">
                  <c:v>149.21</c:v>
                </c:pt>
                <c:pt idx="2">
                  <c:v>139.9</c:v>
                </c:pt>
                <c:pt idx="3">
                  <c:v>112.7</c:v>
                </c:pt>
                <c:pt idx="4">
                  <c:v>136.75</c:v>
                </c:pt>
                <c:pt idx="5">
                  <c:v>151.51</c:v>
                </c:pt>
                <c:pt idx="6">
                  <c:v>146.65</c:v>
                </c:pt>
                <c:pt idx="7">
                  <c:v>145.41</c:v>
                </c:pt>
                <c:pt idx="8">
                  <c:v>166.97</c:v>
                </c:pt>
                <c:pt idx="9">
                  <c:v>147.16999999999999</c:v>
                </c:pt>
                <c:pt idx="10">
                  <c:v>166.23</c:v>
                </c:pt>
                <c:pt idx="11">
                  <c:v>0</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180.6</c:v>
                </c:pt>
                <c:pt idx="1">
                  <c:v>172.6</c:v>
                </c:pt>
                <c:pt idx="2">
                  <c:v>168.9</c:v>
                </c:pt>
                <c:pt idx="3">
                  <c:v>150.6</c:v>
                </c:pt>
                <c:pt idx="4">
                  <c:v>158.30000000000001</c:v>
                </c:pt>
                <c:pt idx="5">
                  <c:v>167.1</c:v>
                </c:pt>
                <c:pt idx="6">
                  <c:v>176.4</c:v>
                </c:pt>
                <c:pt idx="7">
                  <c:v>179.6</c:v>
                </c:pt>
                <c:pt idx="8">
                  <c:v>182.1</c:v>
                </c:pt>
                <c:pt idx="9">
                  <c:v>164.6</c:v>
                </c:pt>
                <c:pt idx="10">
                  <c:v>174.5</c:v>
                </c:pt>
                <c:pt idx="11">
                  <c:v>0</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9.1999999999999993</c:v>
                </c:pt>
                <c:pt idx="1">
                  <c:v>9.1</c:v>
                </c:pt>
                <c:pt idx="2">
                  <c:v>8.4</c:v>
                </c:pt>
                <c:pt idx="3">
                  <c:v>8.6</c:v>
                </c:pt>
                <c:pt idx="4">
                  <c:v>7.8</c:v>
                </c:pt>
                <c:pt idx="5">
                  <c:v>7.8</c:v>
                </c:pt>
                <c:pt idx="6">
                  <c:v>7.2</c:v>
                </c:pt>
                <c:pt idx="7">
                  <c:v>6.8</c:v>
                </c:pt>
                <c:pt idx="8">
                  <c:v>7.8</c:v>
                </c:pt>
                <c:pt idx="9">
                  <c:v>5.8</c:v>
                </c:pt>
                <c:pt idx="10">
                  <c:v>5.2</c:v>
                </c:pt>
                <c:pt idx="11">
                  <c:v>0</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34.6</c:v>
                </c:pt>
                <c:pt idx="1">
                  <c:v>38.1</c:v>
                </c:pt>
                <c:pt idx="2">
                  <c:v>16</c:v>
                </c:pt>
                <c:pt idx="3">
                  <c:v>11.2</c:v>
                </c:pt>
                <c:pt idx="4">
                  <c:v>13</c:v>
                </c:pt>
                <c:pt idx="5">
                  <c:v>26.4</c:v>
                </c:pt>
                <c:pt idx="6">
                  <c:v>12.2</c:v>
                </c:pt>
                <c:pt idx="7">
                  <c:v>59.4</c:v>
                </c:pt>
                <c:pt idx="8">
                  <c:v>68.400000000000006</c:v>
                </c:pt>
                <c:pt idx="9">
                  <c:v>13.5</c:v>
                </c:pt>
                <c:pt idx="10">
                  <c:v>39.6</c:v>
                </c:pt>
                <c:pt idx="11">
                  <c:v>0</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9.09</c:v>
                </c:pt>
                <c:pt idx="1">
                  <c:v>9.15</c:v>
                </c:pt>
                <c:pt idx="2">
                  <c:v>8.36</c:v>
                </c:pt>
                <c:pt idx="3">
                  <c:v>8.57</c:v>
                </c:pt>
                <c:pt idx="4">
                  <c:v>7.78</c:v>
                </c:pt>
                <c:pt idx="5">
                  <c:v>7.76</c:v>
                </c:pt>
                <c:pt idx="6">
                  <c:v>7.6</c:v>
                </c:pt>
                <c:pt idx="7">
                  <c:v>6.62</c:v>
                </c:pt>
                <c:pt idx="8">
                  <c:v>7.25</c:v>
                </c:pt>
                <c:pt idx="9">
                  <c:v>5.63</c:v>
                </c:pt>
                <c:pt idx="10">
                  <c:v>6.77</c:v>
                </c:pt>
                <c:pt idx="11">
                  <c:v>0</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9.6</c:v>
                </c:pt>
                <c:pt idx="1">
                  <c:v>9.9</c:v>
                </c:pt>
                <c:pt idx="2">
                  <c:v>9.4</c:v>
                </c:pt>
                <c:pt idx="3">
                  <c:v>9.3000000000000007</c:v>
                </c:pt>
                <c:pt idx="4">
                  <c:v>8.6999999999999993</c:v>
                </c:pt>
                <c:pt idx="5">
                  <c:v>8.8000000000000007</c:v>
                </c:pt>
                <c:pt idx="6">
                  <c:v>8.9</c:v>
                </c:pt>
                <c:pt idx="7">
                  <c:v>8.5</c:v>
                </c:pt>
                <c:pt idx="8">
                  <c:v>8.1999999999999993</c:v>
                </c:pt>
                <c:pt idx="9">
                  <c:v>6.3</c:v>
                </c:pt>
                <c:pt idx="10">
                  <c:v>7.4</c:v>
                </c:pt>
                <c:pt idx="11">
                  <c:v>0</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7.8</c:v>
                </c:pt>
                <c:pt idx="1">
                  <c:v>7.2</c:v>
                </c:pt>
                <c:pt idx="2">
                  <c:v>4</c:v>
                </c:pt>
                <c:pt idx="3">
                  <c:v>0.5</c:v>
                </c:pt>
                <c:pt idx="4">
                  <c:v>0.4</c:v>
                </c:pt>
                <c:pt idx="5">
                  <c:v>3.6</c:v>
                </c:pt>
                <c:pt idx="6">
                  <c:v>10.6</c:v>
                </c:pt>
                <c:pt idx="7">
                  <c:v>7.6</c:v>
                </c:pt>
                <c:pt idx="8">
                  <c:v>7.8</c:v>
                </c:pt>
                <c:pt idx="9">
                  <c:v>11.6</c:v>
                </c:pt>
                <c:pt idx="10">
                  <c:v>17.399999999999999</c:v>
                </c:pt>
                <c:pt idx="11">
                  <c:v>0</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94.5</c:v>
                </c:pt>
                <c:pt idx="1">
                  <c:v>38.799999999999997</c:v>
                </c:pt>
                <c:pt idx="2">
                  <c:v>30.9</c:v>
                </c:pt>
                <c:pt idx="3">
                  <c:v>1.4</c:v>
                </c:pt>
                <c:pt idx="4">
                  <c:v>6.9</c:v>
                </c:pt>
                <c:pt idx="5">
                  <c:v>27.2</c:v>
                </c:pt>
                <c:pt idx="6">
                  <c:v>47.4</c:v>
                </c:pt>
                <c:pt idx="7">
                  <c:v>59.4</c:v>
                </c:pt>
                <c:pt idx="8">
                  <c:v>62.6</c:v>
                </c:pt>
                <c:pt idx="9">
                  <c:v>51.6</c:v>
                </c:pt>
                <c:pt idx="10">
                  <c:v>74.7</c:v>
                </c:pt>
                <c:pt idx="11">
                  <c:v>0</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7.77</c:v>
                </c:pt>
                <c:pt idx="1">
                  <c:v>6.81</c:v>
                </c:pt>
                <c:pt idx="2">
                  <c:v>4.01</c:v>
                </c:pt>
                <c:pt idx="3">
                  <c:v>0.5</c:v>
                </c:pt>
                <c:pt idx="4">
                  <c:v>0.46</c:v>
                </c:pt>
                <c:pt idx="5">
                  <c:v>3.85</c:v>
                </c:pt>
                <c:pt idx="6">
                  <c:v>10.91</c:v>
                </c:pt>
                <c:pt idx="7">
                  <c:v>8.2100000000000009</c:v>
                </c:pt>
                <c:pt idx="8">
                  <c:v>7.87</c:v>
                </c:pt>
                <c:pt idx="9">
                  <c:v>11.97</c:v>
                </c:pt>
                <c:pt idx="10">
                  <c:v>22.3</c:v>
                </c:pt>
                <c:pt idx="11">
                  <c:v>0</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18</c:v>
                </c:pt>
                <c:pt idx="1">
                  <c:v>16.5</c:v>
                </c:pt>
                <c:pt idx="2">
                  <c:v>11.8</c:v>
                </c:pt>
                <c:pt idx="3">
                  <c:v>0.5</c:v>
                </c:pt>
                <c:pt idx="4">
                  <c:v>2.2000000000000002</c:v>
                </c:pt>
                <c:pt idx="5">
                  <c:v>11.1</c:v>
                </c:pt>
                <c:pt idx="6">
                  <c:v>20.8</c:v>
                </c:pt>
                <c:pt idx="7">
                  <c:v>28</c:v>
                </c:pt>
                <c:pt idx="8">
                  <c:v>18.899999999999999</c:v>
                </c:pt>
                <c:pt idx="9">
                  <c:v>14.1</c:v>
                </c:pt>
                <c:pt idx="10">
                  <c:v>28.4</c:v>
                </c:pt>
                <c:pt idx="11">
                  <c:v>0</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0.4</c:v>
                </c:pt>
                <c:pt idx="1">
                  <c:v>0.7</c:v>
                </c:pt>
                <c:pt idx="2">
                  <c:v>1.7</c:v>
                </c:pt>
                <c:pt idx="3">
                  <c:v>2.1</c:v>
                </c:pt>
                <c:pt idx="4">
                  <c:v>0.4</c:v>
                </c:pt>
                <c:pt idx="5">
                  <c:v>0.5</c:v>
                </c:pt>
                <c:pt idx="6">
                  <c:v>0.6</c:v>
                </c:pt>
                <c:pt idx="7">
                  <c:v>0.6</c:v>
                </c:pt>
                <c:pt idx="8">
                  <c:v>0.5</c:v>
                </c:pt>
                <c:pt idx="9">
                  <c:v>0.4</c:v>
                </c:pt>
                <c:pt idx="10">
                  <c:v>0.5</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9.1</c:v>
                </c:pt>
                <c:pt idx="1">
                  <c:v>5.5</c:v>
                </c:pt>
                <c:pt idx="2">
                  <c:v>24.8</c:v>
                </c:pt>
                <c:pt idx="3">
                  <c:v>5</c:v>
                </c:pt>
                <c:pt idx="4">
                  <c:v>3.2</c:v>
                </c:pt>
                <c:pt idx="5">
                  <c:v>5.0999999999999996</c:v>
                </c:pt>
                <c:pt idx="6">
                  <c:v>10.8</c:v>
                </c:pt>
                <c:pt idx="7">
                  <c:v>37.200000000000003</c:v>
                </c:pt>
                <c:pt idx="8">
                  <c:v>2.8</c:v>
                </c:pt>
                <c:pt idx="9">
                  <c:v>1.4</c:v>
                </c:pt>
                <c:pt idx="10">
                  <c:v>9.6999999999999993</c:v>
                </c:pt>
                <c:pt idx="11">
                  <c:v>0</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0.42</c:v>
                </c:pt>
                <c:pt idx="1">
                  <c:v>0.74</c:v>
                </c:pt>
                <c:pt idx="2">
                  <c:v>1.76</c:v>
                </c:pt>
                <c:pt idx="3">
                  <c:v>2.1</c:v>
                </c:pt>
                <c:pt idx="4">
                  <c:v>0.42</c:v>
                </c:pt>
                <c:pt idx="5">
                  <c:v>0.49</c:v>
                </c:pt>
                <c:pt idx="6">
                  <c:v>0.56999999999999995</c:v>
                </c:pt>
                <c:pt idx="7">
                  <c:v>0.67</c:v>
                </c:pt>
                <c:pt idx="8">
                  <c:v>0.38</c:v>
                </c:pt>
                <c:pt idx="9">
                  <c:v>0.37</c:v>
                </c:pt>
                <c:pt idx="10">
                  <c:v>0.43</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1.4</c:v>
                </c:pt>
                <c:pt idx="1">
                  <c:v>1.1000000000000001</c:v>
                </c:pt>
                <c:pt idx="2">
                  <c:v>2.7</c:v>
                </c:pt>
                <c:pt idx="3">
                  <c:v>2.4</c:v>
                </c:pt>
                <c:pt idx="4">
                  <c:v>1.1000000000000001</c:v>
                </c:pt>
                <c:pt idx="5">
                  <c:v>0.8</c:v>
                </c:pt>
                <c:pt idx="6">
                  <c:v>1.4</c:v>
                </c:pt>
                <c:pt idx="7">
                  <c:v>1.3</c:v>
                </c:pt>
                <c:pt idx="8">
                  <c:v>0.5</c:v>
                </c:pt>
                <c:pt idx="9">
                  <c:v>0.4</c:v>
                </c:pt>
                <c:pt idx="10">
                  <c:v>0.5</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0.4</c:v>
                </c:pt>
                <c:pt idx="1">
                  <c:v>0.1</c:v>
                </c:pt>
                <c:pt idx="2">
                  <c:v>0.3</c:v>
                </c:pt>
                <c:pt idx="3">
                  <c:v>0.1</c:v>
                </c:pt>
                <c:pt idx="4">
                  <c:v>0.3</c:v>
                </c:pt>
                <c:pt idx="5">
                  <c:v>0.4</c:v>
                </c:pt>
                <c:pt idx="6">
                  <c:v>0.5</c:v>
                </c:pt>
                <c:pt idx="7">
                  <c:v>0.4</c:v>
                </c:pt>
                <c:pt idx="8">
                  <c:v>0.4</c:v>
                </c:pt>
                <c:pt idx="9">
                  <c:v>0.4</c:v>
                </c:pt>
                <c:pt idx="10">
                  <c:v>0.5</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0.00</c:formatCode>
                <c:ptCount val="12"/>
                <c:pt idx="0">
                  <c:v>2.7</c:v>
                </c:pt>
                <c:pt idx="1">
                  <c:v>1.3</c:v>
                </c:pt>
                <c:pt idx="2">
                  <c:v>21.3</c:v>
                </c:pt>
                <c:pt idx="3">
                  <c:v>0.3</c:v>
                </c:pt>
                <c:pt idx="4">
                  <c:v>0.5</c:v>
                </c:pt>
                <c:pt idx="5">
                  <c:v>1.4</c:v>
                </c:pt>
                <c:pt idx="6">
                  <c:v>3.3</c:v>
                </c:pt>
                <c:pt idx="7">
                  <c:v>1.2</c:v>
                </c:pt>
                <c:pt idx="8">
                  <c:v>1</c:v>
                </c:pt>
                <c:pt idx="9">
                  <c:v>1</c:v>
                </c:pt>
                <c:pt idx="10">
                  <c:v>1.2</c:v>
                </c:pt>
                <c:pt idx="11">
                  <c:v>0</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0.34</c:v>
                </c:pt>
                <c:pt idx="1">
                  <c:v>0.11</c:v>
                </c:pt>
                <c:pt idx="2">
                  <c:v>0.33</c:v>
                </c:pt>
                <c:pt idx="3">
                  <c:v>0.1</c:v>
                </c:pt>
                <c:pt idx="4">
                  <c:v>0.31</c:v>
                </c:pt>
                <c:pt idx="5">
                  <c:v>0.4</c:v>
                </c:pt>
                <c:pt idx="6">
                  <c:v>0.49</c:v>
                </c:pt>
                <c:pt idx="7">
                  <c:v>0.44</c:v>
                </c:pt>
                <c:pt idx="8">
                  <c:v>0.42</c:v>
                </c:pt>
                <c:pt idx="9">
                  <c:v>0.4</c:v>
                </c:pt>
                <c:pt idx="10">
                  <c:v>0.47</c:v>
                </c:pt>
                <c:pt idx="11">
                  <c:v>0</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0.00</c:formatCode>
                <c:ptCount val="12"/>
                <c:pt idx="0">
                  <c:v>0.9</c:v>
                </c:pt>
                <c:pt idx="1">
                  <c:v>0.4</c:v>
                </c:pt>
                <c:pt idx="2">
                  <c:v>2.9</c:v>
                </c:pt>
                <c:pt idx="3">
                  <c:v>0.1</c:v>
                </c:pt>
                <c:pt idx="4">
                  <c:v>0.4</c:v>
                </c:pt>
                <c:pt idx="5">
                  <c:v>0.5</c:v>
                </c:pt>
                <c:pt idx="6">
                  <c:v>0.8</c:v>
                </c:pt>
                <c:pt idx="7">
                  <c:v>0.5</c:v>
                </c:pt>
                <c:pt idx="8">
                  <c:v>0.5</c:v>
                </c:pt>
                <c:pt idx="9">
                  <c:v>0.4</c:v>
                </c:pt>
                <c:pt idx="10">
                  <c:v>0.5</c:v>
                </c:pt>
                <c:pt idx="11">
                  <c:v>0</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hourly'!$B$6</c:f>
              <c:strCache>
                <c:ptCount val="1"/>
                <c:pt idx="0">
                  <c:v>Hourly CO ELV</c:v>
                </c:pt>
              </c:strCache>
            </c:strRef>
          </c:tx>
          <c:spPr>
            <a:ln>
              <a:prstDash val="dash"/>
            </a:ln>
          </c:spPr>
          <c:marker>
            <c:symbol val="none"/>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hourly'!$C$6</c:f>
              <c:strCache>
                <c:ptCount val="1"/>
                <c:pt idx="0">
                  <c:v>Monthly hourly mean</c:v>
                </c:pt>
              </c:strCache>
            </c:strRef>
          </c:tx>
          <c:spPr>
            <a:ln w="15875"/>
          </c:spPr>
          <c:marker>
            <c:symbol val="none"/>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hourly'!$C$7:$C$18</c:f>
              <c:numCache>
                <c:formatCode>0.00</c:formatCode>
                <c:ptCount val="12"/>
                <c:pt idx="0">
                  <c:v>5.6</c:v>
                </c:pt>
                <c:pt idx="1">
                  <c:v>10.6</c:v>
                </c:pt>
                <c:pt idx="2">
                  <c:v>12.9</c:v>
                </c:pt>
                <c:pt idx="3">
                  <c:v>21.1</c:v>
                </c:pt>
                <c:pt idx="4">
                  <c:v>5.0999999999999996</c:v>
                </c:pt>
                <c:pt idx="5">
                  <c:v>1.7</c:v>
                </c:pt>
                <c:pt idx="6">
                  <c:v>8.1</c:v>
                </c:pt>
                <c:pt idx="7">
                  <c:v>7</c:v>
                </c:pt>
                <c:pt idx="8">
                  <c:v>2.2000000000000002</c:v>
                </c:pt>
                <c:pt idx="9">
                  <c:v>1.8</c:v>
                </c:pt>
                <c:pt idx="10">
                  <c:v>2.5</c:v>
                </c:pt>
                <c:pt idx="11">
                  <c:v>0</c:v>
                </c:pt>
              </c:numCache>
            </c:numRef>
          </c:val>
          <c:smooth val="0"/>
          <c:extLst>
            <c:ext xmlns:c16="http://schemas.microsoft.com/office/drawing/2014/chart" uri="{C3380CC4-5D6E-409C-BE32-E72D297353CC}">
              <c16:uniqueId val="{00000001-DF93-4E57-BFCF-EC3D33E6D8F9}"/>
            </c:ext>
          </c:extLst>
        </c:ser>
        <c:ser>
          <c:idx val="2"/>
          <c:order val="2"/>
          <c:tx>
            <c:strRef>
              <c:f>'CO hourly'!$D$6</c:f>
              <c:strCache>
                <c:ptCount val="1"/>
                <c:pt idx="0">
                  <c:v>Highest hourly maximum</c:v>
                </c:pt>
              </c:strCache>
            </c:strRef>
          </c:tx>
          <c:spPr>
            <a:ln>
              <a:noFill/>
            </a:ln>
          </c:spPr>
          <c:marker>
            <c:symbol val="square"/>
            <c:size val="5"/>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hourly'!$D$7:$D$18</c:f>
              <c:numCache>
                <c:formatCode>0.00</c:formatCode>
                <c:ptCount val="12"/>
                <c:pt idx="0">
                  <c:v>104.7</c:v>
                </c:pt>
                <c:pt idx="1">
                  <c:v>47</c:v>
                </c:pt>
                <c:pt idx="2">
                  <c:v>186.1</c:v>
                </c:pt>
                <c:pt idx="3">
                  <c:v>56.6</c:v>
                </c:pt>
                <c:pt idx="4">
                  <c:v>52</c:v>
                </c:pt>
                <c:pt idx="5">
                  <c:v>80.8</c:v>
                </c:pt>
                <c:pt idx="6">
                  <c:v>149.19999999999999</c:v>
                </c:pt>
                <c:pt idx="7">
                  <c:v>80.8</c:v>
                </c:pt>
                <c:pt idx="8">
                  <c:v>15.3</c:v>
                </c:pt>
                <c:pt idx="9">
                  <c:v>13.1</c:v>
                </c:pt>
                <c:pt idx="10">
                  <c:v>20.399999999999999</c:v>
                </c:pt>
                <c:pt idx="11">
                  <c:v>0</c:v>
                </c:pt>
              </c:numCache>
            </c:numRef>
          </c:val>
          <c:smooth val="0"/>
          <c:extLst>
            <c:ext xmlns:c16="http://schemas.microsoft.com/office/drawing/2014/chart" uri="{C3380CC4-5D6E-409C-BE32-E72D297353CC}">
              <c16:uniqueId val="{00000002-DF93-4E57-BFCF-EC3D33E6D8F9}"/>
            </c:ext>
          </c:extLst>
        </c:ser>
        <c:ser>
          <c:idx val="3"/>
          <c:order val="3"/>
          <c:tx>
            <c:strRef>
              <c:f>'CO hourly'!$E$6</c:f>
              <c:strCache>
                <c:ptCount val="1"/>
                <c:pt idx="0">
                  <c:v>Daily CO ELV</c:v>
                </c:pt>
              </c:strCache>
            </c:strRef>
          </c:tx>
          <c:spPr>
            <a:ln>
              <a:prstDash val="dash"/>
            </a:ln>
          </c:spPr>
          <c:marker>
            <c:symbol val="none"/>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hourly'!$F$6</c:f>
              <c:strCache>
                <c:ptCount val="1"/>
                <c:pt idx="0">
                  <c:v>Monthly daily mean</c:v>
                </c:pt>
              </c:strCache>
            </c:strRef>
          </c:tx>
          <c:spPr>
            <a:ln w="15875">
              <a:prstDash val="dash"/>
            </a:ln>
          </c:spPr>
          <c:marker>
            <c:symbol val="none"/>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hourly'!$F$7:$F$18</c:f>
              <c:numCache>
                <c:formatCode>0.00</c:formatCode>
                <c:ptCount val="12"/>
                <c:pt idx="0">
                  <c:v>5.42</c:v>
                </c:pt>
                <c:pt idx="1">
                  <c:v>10.81</c:v>
                </c:pt>
                <c:pt idx="2">
                  <c:v>13.39</c:v>
                </c:pt>
                <c:pt idx="3">
                  <c:v>15.85</c:v>
                </c:pt>
                <c:pt idx="4">
                  <c:v>5.24</c:v>
                </c:pt>
                <c:pt idx="5">
                  <c:v>0.68</c:v>
                </c:pt>
                <c:pt idx="6">
                  <c:v>7.87</c:v>
                </c:pt>
                <c:pt idx="7">
                  <c:v>7.33</c:v>
                </c:pt>
                <c:pt idx="8">
                  <c:v>1.78</c:v>
                </c:pt>
                <c:pt idx="9">
                  <c:v>1.97</c:v>
                </c:pt>
                <c:pt idx="10">
                  <c:v>1.37</c:v>
                </c:pt>
                <c:pt idx="11">
                  <c:v>0</c:v>
                </c:pt>
              </c:numCache>
            </c:numRef>
          </c:val>
          <c:smooth val="0"/>
          <c:extLst>
            <c:ext xmlns:c16="http://schemas.microsoft.com/office/drawing/2014/chart" uri="{C3380CC4-5D6E-409C-BE32-E72D297353CC}">
              <c16:uniqueId val="{00000004-DF93-4E57-BFCF-EC3D33E6D8F9}"/>
            </c:ext>
          </c:extLst>
        </c:ser>
        <c:ser>
          <c:idx val="5"/>
          <c:order val="5"/>
          <c:tx>
            <c:strRef>
              <c:f>'CO hourly'!$G$6</c:f>
              <c:strCache>
                <c:ptCount val="1"/>
                <c:pt idx="0">
                  <c:v>Highest daily maximum</c:v>
                </c:pt>
              </c:strCache>
            </c:strRef>
          </c:tx>
          <c:spPr>
            <a:ln w="12700">
              <a:noFill/>
              <a:prstDash val="solid"/>
            </a:ln>
          </c:spPr>
          <c:marker>
            <c:symbol val="triangle"/>
            <c:size val="5"/>
          </c:marker>
          <c:cat>
            <c:strRef>
              <c:f>'CO 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hourly'!$G$7:$G$18</c:f>
              <c:numCache>
                <c:formatCode>0.00</c:formatCode>
                <c:ptCount val="12"/>
                <c:pt idx="0">
                  <c:v>27.1</c:v>
                </c:pt>
                <c:pt idx="1">
                  <c:v>17.100000000000001</c:v>
                </c:pt>
                <c:pt idx="2">
                  <c:v>31.6</c:v>
                </c:pt>
                <c:pt idx="3">
                  <c:v>22.5</c:v>
                </c:pt>
                <c:pt idx="4">
                  <c:v>13.1</c:v>
                </c:pt>
                <c:pt idx="5">
                  <c:v>1.9</c:v>
                </c:pt>
                <c:pt idx="6">
                  <c:v>36</c:v>
                </c:pt>
                <c:pt idx="7">
                  <c:v>17.2</c:v>
                </c:pt>
                <c:pt idx="8">
                  <c:v>4.7</c:v>
                </c:pt>
                <c:pt idx="9">
                  <c:v>2.8</c:v>
                </c:pt>
                <c:pt idx="10">
                  <c:v>1.7</c:v>
                </c:pt>
                <c:pt idx="11">
                  <c:v>0</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0.00</c:formatCode>
                <c:ptCount val="12"/>
                <c:pt idx="0">
                  <c:v>0.5</c:v>
                </c:pt>
                <c:pt idx="1">
                  <c:v>0.1</c:v>
                </c:pt>
                <c:pt idx="2">
                  <c:v>0.1</c:v>
                </c:pt>
                <c:pt idx="3">
                  <c:v>0.1</c:v>
                </c:pt>
                <c:pt idx="4">
                  <c:v>0</c:v>
                </c:pt>
                <c:pt idx="5">
                  <c:v>0.1</c:v>
                </c:pt>
                <c:pt idx="6">
                  <c:v>0.1</c:v>
                </c:pt>
                <c:pt idx="7">
                  <c:v>0.1</c:v>
                </c:pt>
                <c:pt idx="8">
                  <c:v>0.1</c:v>
                </c:pt>
                <c:pt idx="9">
                  <c:v>0</c:v>
                </c:pt>
                <c:pt idx="10">
                  <c:v>0</c:v>
                </c:pt>
                <c:pt idx="11">
                  <c:v>0</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0.00</c:formatCode>
                <c:ptCount val="12"/>
                <c:pt idx="0">
                  <c:v>2.8</c:v>
                </c:pt>
                <c:pt idx="1">
                  <c:v>0.5</c:v>
                </c:pt>
                <c:pt idx="2">
                  <c:v>0.6</c:v>
                </c:pt>
                <c:pt idx="3">
                  <c:v>0.4</c:v>
                </c:pt>
                <c:pt idx="4">
                  <c:v>0.2</c:v>
                </c:pt>
                <c:pt idx="5">
                  <c:v>1.3</c:v>
                </c:pt>
                <c:pt idx="6">
                  <c:v>0.7</c:v>
                </c:pt>
                <c:pt idx="7">
                  <c:v>0.5</c:v>
                </c:pt>
                <c:pt idx="8">
                  <c:v>0.6</c:v>
                </c:pt>
                <c:pt idx="9">
                  <c:v>0.2</c:v>
                </c:pt>
                <c:pt idx="10">
                  <c:v>0.1</c:v>
                </c:pt>
                <c:pt idx="11">
                  <c:v>0</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c:formatCode>
                <c:ptCount val="12"/>
                <c:pt idx="0">
                  <c:v>0.47</c:v>
                </c:pt>
                <c:pt idx="1">
                  <c:v>0.1</c:v>
                </c:pt>
                <c:pt idx="2">
                  <c:v>0.06</c:v>
                </c:pt>
                <c:pt idx="3">
                  <c:v>0.1</c:v>
                </c:pt>
                <c:pt idx="4">
                  <c:v>0.04</c:v>
                </c:pt>
                <c:pt idx="5">
                  <c:v>0.06</c:v>
                </c:pt>
                <c:pt idx="6">
                  <c:v>0.05</c:v>
                </c:pt>
                <c:pt idx="7">
                  <c:v>0.09</c:v>
                </c:pt>
                <c:pt idx="8">
                  <c:v>0.13</c:v>
                </c:pt>
                <c:pt idx="9">
                  <c:v>0</c:v>
                </c:pt>
                <c:pt idx="10">
                  <c:v>0.03</c:v>
                </c:pt>
                <c:pt idx="11">
                  <c:v>0</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0.00</c:formatCode>
                <c:ptCount val="12"/>
                <c:pt idx="0">
                  <c:v>1.2</c:v>
                </c:pt>
                <c:pt idx="1">
                  <c:v>0.2</c:v>
                </c:pt>
                <c:pt idx="2">
                  <c:v>0.1</c:v>
                </c:pt>
                <c:pt idx="3">
                  <c:v>0.1</c:v>
                </c:pt>
                <c:pt idx="4">
                  <c:v>0.1</c:v>
                </c:pt>
                <c:pt idx="5">
                  <c:v>0.4</c:v>
                </c:pt>
                <c:pt idx="6">
                  <c:v>0.2</c:v>
                </c:pt>
                <c:pt idx="7">
                  <c:v>0.2</c:v>
                </c:pt>
                <c:pt idx="8">
                  <c:v>0.3</c:v>
                </c:pt>
                <c:pt idx="9">
                  <c:v>0</c:v>
                </c:pt>
                <c:pt idx="10">
                  <c:v>0.1</c:v>
                </c:pt>
                <c:pt idx="11">
                  <c:v>0</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10</xdr:col>
      <xdr:colOff>178088</xdr:colOff>
      <xdr:row>24</xdr:row>
      <xdr:rowOff>1425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19125" y="1333500"/>
          <a:ext cx="6255038" cy="3249450"/>
        </a:xfrm>
        <a:prstGeom prst="rect">
          <a:avLst/>
        </a:prstGeom>
      </xdr:spPr>
    </xdr:pic>
    <xdr:clientData/>
  </xdr:twoCellAnchor>
  <xdr:twoCellAnchor editAs="oneCell">
    <xdr:from>
      <xdr:col>2</xdr:col>
      <xdr:colOff>76200</xdr:colOff>
      <xdr:row>1</xdr:row>
      <xdr:rowOff>9525</xdr:rowOff>
    </xdr:from>
    <xdr:to>
      <xdr:col>7</xdr:col>
      <xdr:colOff>473886</xdr:colOff>
      <xdr:row>4</xdr:row>
      <xdr:rowOff>163512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1666875" y="200025"/>
          <a:ext cx="3493311" cy="7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anna.whitelegg@bioenergyinfrastructure.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J3" sqref="J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42"/>
      <c r="C1" s="42"/>
      <c r="D1" s="57"/>
      <c r="E1" s="57"/>
      <c r="F1" s="57"/>
      <c r="G1" s="57"/>
      <c r="H1" s="42"/>
      <c r="I1" s="42"/>
      <c r="J1" s="42"/>
      <c r="K1" s="42"/>
      <c r="L1" s="42"/>
      <c r="M1" s="42"/>
      <c r="N1" s="42"/>
      <c r="O1" s="42"/>
      <c r="P1" s="42"/>
    </row>
    <row r="2" spans="2:16">
      <c r="B2" s="42"/>
      <c r="C2" s="42"/>
      <c r="D2" s="57"/>
      <c r="E2" s="57"/>
      <c r="F2" s="57"/>
      <c r="G2" s="57"/>
      <c r="H2" s="42"/>
      <c r="I2" s="42"/>
      <c r="J2" s="42"/>
      <c r="K2" s="42"/>
      <c r="L2" s="42"/>
      <c r="M2" s="42"/>
      <c r="N2" s="42" t="s">
        <v>0</v>
      </c>
      <c r="O2" s="42"/>
      <c r="P2" s="90"/>
    </row>
    <row r="3" spans="2:16">
      <c r="B3" s="42"/>
      <c r="C3" s="42"/>
      <c r="D3" s="57"/>
      <c r="E3" s="57"/>
      <c r="F3" s="57"/>
      <c r="G3" s="57"/>
      <c r="H3" s="42"/>
      <c r="I3" s="42"/>
      <c r="J3" s="42"/>
      <c r="K3" s="42"/>
      <c r="L3" s="42"/>
      <c r="M3" s="42"/>
      <c r="N3" s="90"/>
      <c r="O3" s="42"/>
      <c r="P3" s="42"/>
    </row>
    <row r="4" spans="2:16">
      <c r="B4" s="42"/>
      <c r="C4" s="42"/>
      <c r="D4" s="57"/>
      <c r="E4" s="57"/>
      <c r="F4" s="57"/>
      <c r="G4" s="57"/>
      <c r="H4" s="42"/>
      <c r="I4" s="42"/>
      <c r="J4" s="42"/>
      <c r="K4" s="42"/>
      <c r="L4" s="42"/>
      <c r="M4" s="42"/>
      <c r="N4" s="42"/>
      <c r="O4" s="42"/>
      <c r="P4" s="42"/>
    </row>
    <row r="5" spans="2:16">
      <c r="B5" s="42"/>
      <c r="C5" s="42"/>
      <c r="D5" s="57"/>
      <c r="E5" s="57"/>
      <c r="F5" s="57"/>
      <c r="G5" s="57"/>
      <c r="H5" s="42"/>
      <c r="I5" s="42"/>
      <c r="J5" s="42"/>
      <c r="K5" s="42"/>
      <c r="L5" s="42"/>
      <c r="M5" s="42"/>
      <c r="N5" s="42"/>
      <c r="O5" s="42"/>
      <c r="P5" s="42"/>
    </row>
    <row r="6" spans="2:16">
      <c r="B6" s="42"/>
      <c r="C6" s="42"/>
      <c r="D6" s="57"/>
      <c r="E6" s="57"/>
      <c r="F6" s="57"/>
      <c r="G6" s="57"/>
      <c r="H6" s="42"/>
      <c r="I6" s="42"/>
      <c r="J6" s="42"/>
      <c r="K6" s="42"/>
      <c r="L6" s="42"/>
      <c r="M6" s="42"/>
      <c r="N6" s="42"/>
      <c r="O6" s="42"/>
      <c r="P6" s="42"/>
    </row>
    <row r="8" spans="2:16" ht="15.75" customHeight="1">
      <c r="B8" s="57" t="s">
        <v>1</v>
      </c>
      <c r="C8" s="57"/>
      <c r="D8" s="57"/>
      <c r="E8" s="57"/>
      <c r="F8" s="57"/>
      <c r="G8" s="57"/>
      <c r="H8" s="57"/>
      <c r="I8" s="57"/>
      <c r="J8" s="42"/>
      <c r="K8" s="42"/>
      <c r="L8" s="42"/>
      <c r="M8" s="42"/>
      <c r="N8" s="28"/>
      <c r="O8" s="42"/>
      <c r="P8" s="42"/>
    </row>
    <row r="9" spans="2:16">
      <c r="B9" s="57"/>
      <c r="C9" s="57"/>
      <c r="D9" s="57"/>
      <c r="E9" s="57"/>
      <c r="F9" s="57"/>
      <c r="G9" s="57"/>
      <c r="H9" s="57"/>
      <c r="I9" s="57"/>
      <c r="J9" s="42"/>
      <c r="K9" s="42"/>
      <c r="L9" s="42"/>
      <c r="M9" s="42"/>
      <c r="N9" s="42"/>
      <c r="O9" s="42"/>
      <c r="P9" s="42"/>
    </row>
    <row r="10" spans="2:16">
      <c r="B10" s="57"/>
      <c r="C10" s="57"/>
      <c r="D10" s="57"/>
      <c r="E10" s="57"/>
      <c r="F10" s="57"/>
      <c r="G10" s="57"/>
      <c r="H10" s="57"/>
      <c r="I10" s="57"/>
      <c r="J10" s="42"/>
      <c r="K10" s="42"/>
      <c r="L10" s="42"/>
      <c r="M10" s="42"/>
      <c r="N10" s="42"/>
      <c r="O10" s="42"/>
      <c r="P10" s="42"/>
    </row>
    <row r="11" spans="2:16">
      <c r="B11" s="57"/>
      <c r="C11" s="57"/>
      <c r="D11" s="57"/>
      <c r="E11" s="57"/>
      <c r="F11" s="57"/>
      <c r="G11" s="57"/>
      <c r="H11" s="57"/>
      <c r="I11" s="57"/>
      <c r="J11" s="42"/>
      <c r="K11" s="42"/>
      <c r="L11" s="42"/>
      <c r="M11" s="42"/>
      <c r="N11" s="42"/>
      <c r="O11" s="42"/>
      <c r="P11" s="42"/>
    </row>
    <row r="12" spans="2:16">
      <c r="B12" s="57"/>
      <c r="C12" s="57"/>
      <c r="D12" s="57"/>
      <c r="E12" s="57"/>
      <c r="F12" s="57"/>
      <c r="G12" s="57"/>
      <c r="H12" s="57"/>
      <c r="I12" s="57"/>
      <c r="J12" s="42"/>
      <c r="K12" s="42"/>
      <c r="L12" s="42"/>
      <c r="M12" s="42"/>
      <c r="N12" s="42"/>
      <c r="O12" s="42"/>
      <c r="P12" s="42"/>
    </row>
    <row r="13" spans="2:16">
      <c r="B13" s="57"/>
      <c r="C13" s="57"/>
      <c r="D13" s="57"/>
      <c r="E13" s="57"/>
      <c r="F13" s="57"/>
      <c r="G13" s="57"/>
      <c r="H13" s="57"/>
      <c r="I13" s="57"/>
      <c r="J13" s="42"/>
      <c r="K13" s="42"/>
      <c r="L13" s="42"/>
      <c r="M13" s="42"/>
      <c r="N13" s="31" t="s">
        <v>2</v>
      </c>
      <c r="O13" s="29"/>
      <c r="P13" s="29"/>
    </row>
    <row r="14" spans="2:16" ht="15.6" customHeight="1">
      <c r="B14" s="57"/>
      <c r="C14" s="57"/>
      <c r="D14" s="57"/>
      <c r="E14" s="57"/>
      <c r="F14" s="57"/>
      <c r="G14" s="57"/>
      <c r="H14" s="57"/>
      <c r="I14" s="57"/>
      <c r="J14" s="42"/>
      <c r="K14" s="42"/>
      <c r="L14" s="42"/>
      <c r="M14" s="42"/>
      <c r="N14" s="56" t="s">
        <v>3</v>
      </c>
      <c r="O14" s="56"/>
      <c r="P14" s="56"/>
    </row>
    <row r="15" spans="2:16">
      <c r="B15" s="57"/>
      <c r="C15" s="57"/>
      <c r="D15" s="57"/>
      <c r="E15" s="57"/>
      <c r="F15" s="57"/>
      <c r="G15" s="57"/>
      <c r="H15" s="57"/>
      <c r="I15" s="57"/>
      <c r="J15" s="42"/>
      <c r="K15" s="42"/>
      <c r="L15" s="42"/>
      <c r="M15" s="42"/>
      <c r="N15" s="56"/>
      <c r="O15" s="56"/>
      <c r="P15" s="56"/>
    </row>
    <row r="16" spans="2:16">
      <c r="B16" s="57"/>
      <c r="C16" s="57"/>
      <c r="D16" s="57"/>
      <c r="E16" s="57"/>
      <c r="F16" s="57"/>
      <c r="G16" s="57"/>
      <c r="H16" s="57"/>
      <c r="I16" s="57"/>
      <c r="J16" s="42"/>
      <c r="K16" s="42"/>
      <c r="L16" s="42"/>
      <c r="M16" s="42"/>
      <c r="N16" s="56"/>
      <c r="O16" s="56"/>
      <c r="P16" s="56"/>
    </row>
    <row r="17" spans="2:16">
      <c r="B17" s="57"/>
      <c r="C17" s="57"/>
      <c r="D17" s="57"/>
      <c r="E17" s="57"/>
      <c r="F17" s="57"/>
      <c r="G17" s="57"/>
      <c r="H17" s="57"/>
      <c r="I17" s="57"/>
      <c r="J17" s="42"/>
      <c r="K17" s="42"/>
      <c r="L17" s="42"/>
      <c r="M17" s="42"/>
      <c r="N17" s="56"/>
      <c r="O17" s="56"/>
      <c r="P17" s="56"/>
    </row>
    <row r="18" spans="2:16">
      <c r="B18" s="57"/>
      <c r="C18" s="57"/>
      <c r="D18" s="57"/>
      <c r="E18" s="57"/>
      <c r="F18" s="57"/>
      <c r="G18" s="57"/>
      <c r="H18" s="57"/>
      <c r="I18" s="57"/>
      <c r="J18" s="42"/>
      <c r="K18" s="42"/>
      <c r="L18" s="42"/>
      <c r="M18" s="42"/>
      <c r="N18" s="56"/>
      <c r="O18" s="56"/>
      <c r="P18" s="56"/>
    </row>
    <row r="19" spans="2:16">
      <c r="B19" s="57"/>
      <c r="C19" s="57"/>
      <c r="D19" s="57"/>
      <c r="E19" s="57"/>
      <c r="F19" s="57"/>
      <c r="G19" s="57"/>
      <c r="H19" s="57"/>
      <c r="I19" s="57"/>
      <c r="J19" s="42"/>
      <c r="K19" s="42"/>
      <c r="L19" s="42"/>
      <c r="M19" s="42"/>
      <c r="N19" s="56"/>
      <c r="O19" s="56"/>
      <c r="P19" s="56"/>
    </row>
    <row r="20" spans="2:16">
      <c r="B20" s="57"/>
      <c r="C20" s="57"/>
      <c r="D20" s="57"/>
      <c r="E20" s="57"/>
      <c r="F20" s="57"/>
      <c r="G20" s="57"/>
      <c r="H20" s="57"/>
      <c r="I20" s="57"/>
      <c r="J20" s="42"/>
      <c r="K20" s="42"/>
      <c r="L20" s="42"/>
      <c r="M20" s="42"/>
      <c r="N20" s="42"/>
      <c r="O20" s="42"/>
      <c r="P20" s="42"/>
    </row>
    <row r="21" spans="2:16">
      <c r="B21" s="57"/>
      <c r="C21" s="57"/>
      <c r="D21" s="57"/>
      <c r="E21" s="57"/>
      <c r="F21" s="57"/>
      <c r="G21" s="57"/>
      <c r="H21" s="57"/>
      <c r="I21" s="57"/>
      <c r="J21" s="42"/>
      <c r="K21" s="42"/>
      <c r="L21" s="42"/>
      <c r="M21" s="42"/>
      <c r="N21" s="42"/>
      <c r="O21" s="42"/>
      <c r="P21" s="42"/>
    </row>
    <row r="22" spans="2:16">
      <c r="B22" s="57"/>
      <c r="C22" s="57"/>
      <c r="D22" s="57"/>
      <c r="E22" s="57"/>
      <c r="F22" s="57"/>
      <c r="G22" s="57"/>
      <c r="H22" s="57"/>
      <c r="I22" s="57"/>
      <c r="J22" s="42"/>
      <c r="K22" s="42"/>
      <c r="L22" s="42"/>
      <c r="M22" s="42"/>
      <c r="N22" s="42"/>
      <c r="O22" s="42"/>
      <c r="P22" s="42"/>
    </row>
    <row r="23" spans="2:16">
      <c r="B23" s="57"/>
      <c r="C23" s="57"/>
      <c r="D23" s="57"/>
      <c r="E23" s="57"/>
      <c r="F23" s="57"/>
      <c r="G23" s="57"/>
      <c r="H23" s="57"/>
      <c r="I23" s="57"/>
      <c r="J23" s="42"/>
      <c r="K23" s="42"/>
      <c r="L23" s="42"/>
      <c r="M23" s="42"/>
      <c r="N23" s="42"/>
      <c r="O23" s="42"/>
      <c r="P23" s="42"/>
    </row>
    <row r="24" spans="2:16">
      <c r="B24" s="57"/>
      <c r="C24" s="57"/>
      <c r="D24" s="57"/>
      <c r="E24" s="57"/>
      <c r="F24" s="57"/>
      <c r="G24" s="57"/>
      <c r="H24" s="57"/>
      <c r="I24" s="57"/>
      <c r="J24" s="42"/>
      <c r="K24" s="42"/>
      <c r="L24" s="42"/>
      <c r="M24" s="42"/>
      <c r="N24" s="42"/>
      <c r="O24" s="42"/>
      <c r="P24" s="42"/>
    </row>
    <row r="29" spans="2:16" ht="18">
      <c r="B29" s="54" t="s">
        <v>4</v>
      </c>
      <c r="C29" s="54"/>
      <c r="D29" s="54"/>
      <c r="E29" s="54"/>
      <c r="F29" s="54"/>
      <c r="G29" s="54"/>
      <c r="H29" s="54"/>
      <c r="I29" s="54"/>
      <c r="J29" s="42"/>
      <c r="K29" s="42"/>
      <c r="L29" s="42"/>
      <c r="M29" s="42"/>
      <c r="N29" s="42"/>
      <c r="O29" s="42"/>
      <c r="P29" s="42"/>
    </row>
    <row r="30" spans="2:16" ht="18">
      <c r="B30" s="42"/>
      <c r="C30" s="4"/>
      <c r="D30" s="5"/>
      <c r="E30" s="5"/>
      <c r="F30" s="5"/>
      <c r="G30" s="5"/>
      <c r="H30" s="5"/>
      <c r="I30" s="5"/>
      <c r="J30" s="42"/>
      <c r="K30" s="42"/>
      <c r="L30" s="42"/>
      <c r="M30" s="42"/>
      <c r="N30" s="42"/>
      <c r="O30" s="42"/>
      <c r="P30" s="42"/>
    </row>
    <row r="31" spans="2:16" ht="18">
      <c r="B31" s="54" t="s">
        <v>5</v>
      </c>
      <c r="C31" s="54"/>
      <c r="D31" s="54"/>
      <c r="E31" s="54"/>
      <c r="F31" s="54"/>
      <c r="G31" s="54"/>
      <c r="H31" s="54"/>
      <c r="I31" s="54"/>
      <c r="J31" s="42"/>
      <c r="K31" s="42"/>
      <c r="L31" s="42"/>
      <c r="M31" s="42"/>
      <c r="N31" s="42"/>
      <c r="O31" s="42"/>
      <c r="P31" s="42"/>
    </row>
    <row r="32" spans="2:16" ht="18">
      <c r="B32" s="42"/>
      <c r="C32" s="4"/>
      <c r="D32" s="5"/>
      <c r="E32" s="5"/>
      <c r="F32" s="5"/>
      <c r="G32" s="5"/>
      <c r="H32" s="5"/>
      <c r="I32" s="5"/>
      <c r="J32" s="42"/>
      <c r="K32" s="42"/>
      <c r="L32" s="42"/>
      <c r="M32" s="42"/>
      <c r="N32" s="42"/>
      <c r="O32" s="42"/>
      <c r="P32" s="42"/>
    </row>
    <row r="33" spans="2:9" ht="18">
      <c r="B33" s="54" t="s">
        <v>6</v>
      </c>
      <c r="C33" s="54"/>
      <c r="D33" s="54"/>
      <c r="E33" s="54"/>
      <c r="F33" s="54"/>
      <c r="G33" s="54"/>
      <c r="H33" s="54"/>
      <c r="I33" s="54"/>
    </row>
    <row r="34" spans="2:9" ht="18">
      <c r="B34" s="42"/>
      <c r="C34" s="4"/>
      <c r="D34" s="5"/>
      <c r="E34" s="5"/>
      <c r="F34" s="5"/>
      <c r="G34" s="5"/>
      <c r="H34" s="5"/>
      <c r="I34" s="5"/>
    </row>
    <row r="35" spans="2:9" ht="18">
      <c r="B35" s="54"/>
      <c r="C35" s="54"/>
      <c r="D35" s="54"/>
      <c r="E35" s="54"/>
      <c r="F35" s="54"/>
      <c r="G35" s="54"/>
      <c r="H35" s="54"/>
      <c r="I35" s="54"/>
    </row>
    <row r="37" spans="2:9" ht="18">
      <c r="B37" s="54" t="s">
        <v>7</v>
      </c>
      <c r="C37" s="54"/>
      <c r="D37" s="54"/>
      <c r="E37" s="54"/>
      <c r="F37" s="54"/>
      <c r="G37" s="54"/>
      <c r="H37" s="54"/>
      <c r="I37" s="54"/>
    </row>
    <row r="39" spans="2:9">
      <c r="B39" s="42" t="s">
        <v>8</v>
      </c>
      <c r="C39" s="91">
        <v>2022</v>
      </c>
      <c r="D39" s="42"/>
      <c r="E39" s="42"/>
      <c r="F39" s="42"/>
      <c r="G39" s="42"/>
      <c r="H39" s="42"/>
      <c r="I39" s="42"/>
    </row>
    <row r="40" spans="2:9" ht="14.25" customHeight="1">
      <c r="B40" s="42"/>
      <c r="C40" s="42"/>
      <c r="D40" s="42"/>
      <c r="E40" s="42"/>
      <c r="F40" s="42"/>
      <c r="G40" s="42"/>
      <c r="H40" s="42"/>
      <c r="I40" s="42"/>
    </row>
    <row r="41" spans="2:9">
      <c r="B41" s="92" t="s">
        <v>9</v>
      </c>
      <c r="C41" s="53" t="s">
        <v>10</v>
      </c>
      <c r="D41" s="53"/>
      <c r="E41" s="53"/>
      <c r="F41" s="53"/>
      <c r="G41" s="53"/>
      <c r="H41" s="53"/>
      <c r="I41" s="53"/>
    </row>
    <row r="42" spans="2:9">
      <c r="B42" s="92"/>
      <c r="C42" s="42"/>
      <c r="D42" s="42"/>
      <c r="E42" s="42"/>
      <c r="F42" s="42"/>
      <c r="G42" s="42"/>
      <c r="H42" s="42"/>
      <c r="I42" s="42"/>
    </row>
    <row r="43" spans="2:9">
      <c r="B43" s="92" t="s">
        <v>11</v>
      </c>
      <c r="C43" s="53"/>
      <c r="D43" s="53"/>
      <c r="E43" s="53"/>
      <c r="F43" s="42"/>
      <c r="G43" s="42"/>
      <c r="H43" s="42"/>
      <c r="I43" s="42"/>
    </row>
    <row r="44" spans="2:9">
      <c r="B44" s="92"/>
      <c r="C44" s="42"/>
      <c r="D44" s="42"/>
      <c r="E44" s="42"/>
      <c r="F44" s="42"/>
      <c r="G44" s="42"/>
      <c r="H44" s="42"/>
      <c r="I44" s="42"/>
    </row>
    <row r="45" spans="2:9" ht="15.75">
      <c r="B45" s="92" t="s">
        <v>12</v>
      </c>
      <c r="C45" s="55" t="s">
        <v>13</v>
      </c>
      <c r="D45" s="53"/>
      <c r="E45" s="53"/>
      <c r="F45" s="42"/>
      <c r="G45" s="42"/>
      <c r="H45" s="42"/>
      <c r="I45" s="42"/>
    </row>
    <row r="46" spans="2:9">
      <c r="B46" s="92"/>
      <c r="C46" s="42"/>
      <c r="D46" s="42"/>
      <c r="E46" s="42"/>
      <c r="F46" s="42"/>
      <c r="G46" s="42"/>
      <c r="H46" s="42"/>
      <c r="I46" s="42"/>
    </row>
    <row r="47" spans="2:9">
      <c r="B47" s="92" t="s">
        <v>14</v>
      </c>
      <c r="C47" s="53" t="s">
        <v>15</v>
      </c>
      <c r="D47" s="53"/>
      <c r="E47" s="42"/>
      <c r="F47" s="42" t="s">
        <v>16</v>
      </c>
      <c r="G47" s="53" t="s">
        <v>17</v>
      </c>
      <c r="H47" s="53"/>
      <c r="I47" s="53"/>
    </row>
    <row r="48" spans="2:9">
      <c r="B48" s="92"/>
      <c r="C48" s="42"/>
      <c r="D48" s="42"/>
      <c r="E48" s="42"/>
      <c r="F48" s="42"/>
      <c r="G48" s="42"/>
      <c r="H48" s="42"/>
      <c r="I48" s="42"/>
    </row>
    <row r="49" spans="2:9">
      <c r="B49" s="92" t="s">
        <v>18</v>
      </c>
      <c r="C49" s="53" t="s">
        <v>19</v>
      </c>
      <c r="D49" s="53"/>
      <c r="E49" s="42"/>
      <c r="F49" s="42" t="s">
        <v>16</v>
      </c>
      <c r="G49" s="53" t="s">
        <v>20</v>
      </c>
      <c r="H49" s="53"/>
      <c r="I49" s="53"/>
    </row>
    <row r="50" spans="2:9">
      <c r="B50" s="92"/>
      <c r="C50" s="42"/>
      <c r="D50" s="42"/>
      <c r="E50" s="42"/>
      <c r="F50" s="42"/>
      <c r="G50" s="42"/>
      <c r="H50" s="42"/>
      <c r="I50" s="42"/>
    </row>
    <row r="51" spans="2:9">
      <c r="B51" s="92" t="s">
        <v>21</v>
      </c>
      <c r="C51" s="91">
        <v>1</v>
      </c>
      <c r="D51" s="42"/>
      <c r="E51" s="42"/>
      <c r="F51" s="42"/>
      <c r="G51" s="42"/>
      <c r="H51" s="42"/>
      <c r="I51" s="42"/>
    </row>
    <row r="52" spans="2:9">
      <c r="B52" s="92"/>
      <c r="C52" s="42"/>
      <c r="D52" s="42"/>
      <c r="E52" s="42"/>
      <c r="F52" s="42"/>
      <c r="G52" s="42"/>
      <c r="H52" s="42"/>
      <c r="I52" s="42"/>
    </row>
    <row r="53" spans="2:9">
      <c r="B53" s="92" t="s">
        <v>22</v>
      </c>
      <c r="C53" s="93">
        <v>44957</v>
      </c>
      <c r="D53" s="53"/>
      <c r="E53" s="42"/>
      <c r="F53" s="42"/>
      <c r="G53" s="42"/>
      <c r="H53" s="42"/>
      <c r="I53" s="42"/>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563F9C74-0B09-428C-8757-5E8B7ADE7265}"/>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5" sqref="B15:G1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42" t="str">
        <f>+'Cover Page'!$B$29</f>
        <v>Annual Performance Report 2022</v>
      </c>
      <c r="B1" s="42"/>
      <c r="C1" s="42"/>
      <c r="D1" s="42"/>
      <c r="E1" s="42" t="str">
        <f>+'Cover Page'!$B$33</f>
        <v>Energy Works Hull</v>
      </c>
      <c r="F1" s="42"/>
      <c r="G1" s="42"/>
      <c r="H1" s="42"/>
      <c r="I1" s="42"/>
      <c r="J1" s="42"/>
      <c r="K1" s="42"/>
      <c r="L1" s="42"/>
      <c r="M1" s="42"/>
      <c r="N1" s="42"/>
      <c r="O1" s="42"/>
    </row>
    <row r="3" spans="1:15" ht="15.75">
      <c r="A3" s="94" t="s">
        <v>23</v>
      </c>
      <c r="B3" s="95"/>
      <c r="C3" s="95"/>
      <c r="D3" s="95"/>
      <c r="E3" s="95"/>
      <c r="F3" s="95"/>
      <c r="G3" s="95"/>
      <c r="H3" s="96"/>
      <c r="I3" s="42"/>
      <c r="J3" s="42"/>
      <c r="K3" s="31" t="s">
        <v>2</v>
      </c>
      <c r="L3" s="42"/>
      <c r="M3" s="42"/>
      <c r="N3" s="42"/>
      <c r="O3" s="42"/>
    </row>
    <row r="4" spans="1:15" ht="15.75">
      <c r="A4" s="97" t="s">
        <v>24</v>
      </c>
      <c r="B4" s="98" t="s">
        <v>25</v>
      </c>
      <c r="C4" s="98"/>
      <c r="D4" s="98"/>
      <c r="E4" s="98"/>
      <c r="F4" s="98"/>
      <c r="G4" s="98"/>
      <c r="H4" s="99" t="s">
        <v>26</v>
      </c>
      <c r="I4" s="42"/>
      <c r="J4" s="42"/>
      <c r="K4" s="29" t="s">
        <v>27</v>
      </c>
      <c r="L4" s="42"/>
      <c r="M4" s="42"/>
      <c r="N4" s="42"/>
      <c r="O4" s="42"/>
    </row>
    <row r="5" spans="1:15" ht="15.6" customHeight="1">
      <c r="A5" s="100"/>
      <c r="B5" s="101" t="s">
        <v>28</v>
      </c>
      <c r="C5" s="101"/>
      <c r="D5" s="101"/>
      <c r="E5" s="101"/>
      <c r="F5" s="101"/>
      <c r="G5" s="101"/>
      <c r="H5" s="100"/>
      <c r="I5" s="42"/>
      <c r="J5" s="42"/>
      <c r="K5" s="56" t="s">
        <v>29</v>
      </c>
      <c r="L5" s="56"/>
      <c r="M5" s="56"/>
      <c r="N5" s="56"/>
      <c r="O5" s="56"/>
    </row>
    <row r="6" spans="1:15">
      <c r="A6" s="100"/>
      <c r="B6" s="101" t="s">
        <v>30</v>
      </c>
      <c r="C6" s="101"/>
      <c r="D6" s="101"/>
      <c r="E6" s="101"/>
      <c r="F6" s="101"/>
      <c r="G6" s="101"/>
      <c r="H6" s="100"/>
      <c r="I6" s="42"/>
      <c r="J6" s="42"/>
      <c r="K6" s="56"/>
      <c r="L6" s="56"/>
      <c r="M6" s="56"/>
      <c r="N6" s="56"/>
      <c r="O6" s="56"/>
    </row>
    <row r="7" spans="1:15" ht="15.75" customHeight="1">
      <c r="A7" s="100"/>
      <c r="B7" s="101" t="s">
        <v>31</v>
      </c>
      <c r="C7" s="101"/>
      <c r="D7" s="101"/>
      <c r="E7" s="101"/>
      <c r="F7" s="101"/>
      <c r="G7" s="101"/>
      <c r="H7" s="100"/>
      <c r="I7" s="42"/>
      <c r="J7" s="42"/>
      <c r="K7" s="56"/>
      <c r="L7" s="56"/>
      <c r="M7" s="56"/>
      <c r="N7" s="56"/>
      <c r="O7" s="56"/>
    </row>
    <row r="8" spans="1:15">
      <c r="A8" s="100"/>
      <c r="B8" s="101" t="s">
        <v>32</v>
      </c>
      <c r="C8" s="101"/>
      <c r="D8" s="101"/>
      <c r="E8" s="101"/>
      <c r="F8" s="101"/>
      <c r="G8" s="101"/>
      <c r="H8" s="100"/>
      <c r="I8" s="42"/>
      <c r="J8" s="42"/>
      <c r="K8" s="56"/>
      <c r="L8" s="56"/>
      <c r="M8" s="56"/>
      <c r="N8" s="56"/>
      <c r="O8" s="56"/>
    </row>
    <row r="9" spans="1:15">
      <c r="A9" s="100"/>
      <c r="B9" s="101" t="s">
        <v>33</v>
      </c>
      <c r="C9" s="101"/>
      <c r="D9" s="101"/>
      <c r="E9" s="101"/>
      <c r="F9" s="101"/>
      <c r="G9" s="101"/>
      <c r="H9" s="100"/>
      <c r="I9" s="42"/>
      <c r="J9" s="42"/>
      <c r="K9" s="42"/>
      <c r="L9" s="42"/>
      <c r="M9" s="42"/>
      <c r="N9" s="42"/>
      <c r="O9" s="42"/>
    </row>
    <row r="10" spans="1:15">
      <c r="A10" s="100"/>
      <c r="B10" s="101" t="s">
        <v>34</v>
      </c>
      <c r="C10" s="101"/>
      <c r="D10" s="101"/>
      <c r="E10" s="101"/>
      <c r="F10" s="101"/>
      <c r="G10" s="101"/>
      <c r="H10" s="100"/>
      <c r="I10" s="42"/>
      <c r="J10" s="42"/>
      <c r="K10" s="42"/>
      <c r="L10" s="42"/>
      <c r="M10" s="42"/>
      <c r="N10" s="42"/>
      <c r="O10" s="42"/>
    </row>
    <row r="11" spans="1:15">
      <c r="A11" s="100"/>
      <c r="B11" s="101" t="s">
        <v>35</v>
      </c>
      <c r="C11" s="101"/>
      <c r="D11" s="101"/>
      <c r="E11" s="101"/>
      <c r="F11" s="101"/>
      <c r="G11" s="101"/>
      <c r="H11" s="100"/>
      <c r="I11" s="42"/>
      <c r="J11" s="42"/>
      <c r="K11" s="42"/>
      <c r="L11" s="42"/>
      <c r="M11" s="42"/>
      <c r="N11" s="42"/>
      <c r="O11" s="42"/>
    </row>
    <row r="12" spans="1:15">
      <c r="A12" s="100"/>
      <c r="B12" s="101" t="s">
        <v>36</v>
      </c>
      <c r="C12" s="101"/>
      <c r="D12" s="101"/>
      <c r="E12" s="101"/>
      <c r="F12" s="101"/>
      <c r="G12" s="101"/>
      <c r="H12" s="100"/>
      <c r="I12" s="42"/>
      <c r="J12" s="42"/>
      <c r="K12" s="42"/>
      <c r="L12" s="42"/>
      <c r="M12" s="42"/>
      <c r="N12" s="42"/>
      <c r="O12" s="42"/>
    </row>
    <row r="13" spans="1:15" ht="15.75">
      <c r="A13" s="100"/>
      <c r="B13" s="102" t="s">
        <v>37</v>
      </c>
      <c r="C13" s="103"/>
      <c r="D13" s="103"/>
      <c r="E13" s="103"/>
      <c r="F13" s="103"/>
      <c r="G13" s="104"/>
      <c r="H13" s="100"/>
      <c r="I13" s="42"/>
      <c r="J13" s="42"/>
      <c r="K13" s="42"/>
      <c r="L13" s="42"/>
      <c r="M13" s="42"/>
      <c r="N13" s="42"/>
      <c r="O13" s="42"/>
    </row>
    <row r="14" spans="1:15">
      <c r="A14" s="100"/>
      <c r="B14" s="101" t="s">
        <v>38</v>
      </c>
      <c r="C14" s="101"/>
      <c r="D14" s="101"/>
      <c r="E14" s="101"/>
      <c r="F14" s="101"/>
      <c r="G14" s="101"/>
      <c r="H14" s="100"/>
      <c r="I14" s="42"/>
      <c r="J14" s="42"/>
      <c r="K14" s="42"/>
      <c r="L14" s="42"/>
      <c r="M14" s="42"/>
      <c r="N14" s="42"/>
      <c r="O14" s="42"/>
    </row>
    <row r="15" spans="1:15">
      <c r="A15" s="100"/>
      <c r="B15" s="101" t="s">
        <v>39</v>
      </c>
      <c r="C15" s="101"/>
      <c r="D15" s="101"/>
      <c r="E15" s="101"/>
      <c r="F15" s="101"/>
      <c r="G15" s="101"/>
      <c r="H15" s="100"/>
      <c r="I15" s="42"/>
      <c r="J15" s="42"/>
      <c r="K15" s="42"/>
      <c r="L15" s="42"/>
      <c r="M15" s="42"/>
      <c r="N15" s="42"/>
      <c r="O15" s="42"/>
    </row>
    <row r="16" spans="1:15">
      <c r="A16" s="100"/>
      <c r="B16" s="101" t="s">
        <v>40</v>
      </c>
      <c r="C16" s="101"/>
      <c r="D16" s="101"/>
      <c r="E16" s="101"/>
      <c r="F16" s="101"/>
      <c r="G16" s="101"/>
      <c r="H16" s="100"/>
      <c r="I16" s="42"/>
      <c r="J16" s="42"/>
      <c r="K16" s="42"/>
      <c r="L16" s="42"/>
      <c r="M16" s="42"/>
      <c r="N16" s="42"/>
      <c r="O16" s="42"/>
    </row>
    <row r="17" spans="1:8">
      <c r="A17" s="100"/>
      <c r="B17" s="101" t="s">
        <v>41</v>
      </c>
      <c r="C17" s="101"/>
      <c r="D17" s="101"/>
      <c r="E17" s="101"/>
      <c r="F17" s="101"/>
      <c r="G17" s="101"/>
      <c r="H17" s="100"/>
    </row>
    <row r="18" spans="1:8">
      <c r="A18" s="100"/>
      <c r="B18" s="101" t="s">
        <v>42</v>
      </c>
      <c r="C18" s="101"/>
      <c r="D18" s="101"/>
      <c r="E18" s="101"/>
      <c r="F18" s="101"/>
      <c r="G18" s="101"/>
      <c r="H18" s="100"/>
    </row>
    <row r="19" spans="1:8">
      <c r="A19" s="100"/>
      <c r="B19" s="101" t="s">
        <v>43</v>
      </c>
      <c r="C19" s="101"/>
      <c r="D19" s="101"/>
      <c r="E19" s="101"/>
      <c r="F19" s="101"/>
      <c r="G19" s="101"/>
      <c r="H19" s="100"/>
    </row>
    <row r="20" spans="1:8">
      <c r="A20" s="100"/>
      <c r="B20" s="101" t="s">
        <v>44</v>
      </c>
      <c r="C20" s="101"/>
      <c r="D20" s="101"/>
      <c r="E20" s="101"/>
      <c r="F20" s="101"/>
      <c r="G20" s="101"/>
      <c r="H20" s="100"/>
    </row>
    <row r="21" spans="1:8">
      <c r="A21" s="100"/>
      <c r="B21" s="101" t="s">
        <v>45</v>
      </c>
      <c r="C21" s="101"/>
      <c r="D21" s="101"/>
      <c r="E21" s="101"/>
      <c r="F21" s="101"/>
      <c r="G21" s="101"/>
      <c r="H21" s="100"/>
    </row>
    <row r="22" spans="1:8">
      <c r="A22" s="100"/>
      <c r="B22" s="101" t="s">
        <v>46</v>
      </c>
      <c r="C22" s="101"/>
      <c r="D22" s="101"/>
      <c r="E22" s="101"/>
      <c r="F22" s="101"/>
      <c r="G22" s="101"/>
      <c r="H22" s="100"/>
    </row>
    <row r="23" spans="1:8">
      <c r="A23" s="100"/>
      <c r="B23" s="105" t="s">
        <v>47</v>
      </c>
      <c r="C23" s="106"/>
      <c r="D23" s="106"/>
      <c r="E23" s="106"/>
      <c r="F23" s="106"/>
      <c r="G23" s="107"/>
      <c r="H23" s="100"/>
    </row>
    <row r="24" spans="1:8">
      <c r="A24" s="100"/>
      <c r="B24" s="105" t="s">
        <v>48</v>
      </c>
      <c r="C24" s="106"/>
      <c r="D24" s="106"/>
      <c r="E24" s="106"/>
      <c r="F24" s="106"/>
      <c r="G24" s="107"/>
      <c r="H24" s="100"/>
    </row>
    <row r="25" spans="1:8">
      <c r="A25" s="100"/>
      <c r="B25" s="108"/>
      <c r="C25" s="108"/>
      <c r="D25" s="108"/>
      <c r="E25" s="108"/>
      <c r="F25" s="108"/>
      <c r="G25" s="108"/>
      <c r="H25" s="100"/>
    </row>
    <row r="27" spans="1:8" ht="15.75">
      <c r="A27" s="109" t="s">
        <v>49</v>
      </c>
      <c r="B27" s="95"/>
      <c r="C27" s="95"/>
      <c r="D27" s="95"/>
      <c r="E27" s="95"/>
      <c r="F27" s="95"/>
      <c r="G27" s="95"/>
      <c r="H27" s="96"/>
    </row>
    <row r="28" spans="1:8">
      <c r="A28" s="110" t="s">
        <v>24</v>
      </c>
      <c r="B28" s="111" t="s">
        <v>50</v>
      </c>
      <c r="C28" s="111"/>
      <c r="D28" s="111"/>
      <c r="E28" s="111"/>
      <c r="F28" s="111"/>
      <c r="G28" s="111"/>
      <c r="H28" s="112" t="s">
        <v>51</v>
      </c>
    </row>
    <row r="29" spans="1:8">
      <c r="A29" s="113"/>
      <c r="B29" s="114"/>
      <c r="C29" s="114"/>
      <c r="D29" s="114"/>
      <c r="E29" s="114"/>
      <c r="F29" s="114"/>
      <c r="G29" s="114"/>
      <c r="H29" s="113"/>
    </row>
    <row r="30" spans="1:8">
      <c r="A30" s="113"/>
      <c r="B30" s="114"/>
      <c r="C30" s="114"/>
      <c r="D30" s="114"/>
      <c r="E30" s="114"/>
      <c r="F30" s="114"/>
      <c r="G30" s="114"/>
      <c r="H30" s="113"/>
    </row>
    <row r="31" spans="1:8">
      <c r="A31" s="113"/>
      <c r="B31" s="114"/>
      <c r="C31" s="114"/>
      <c r="D31" s="114"/>
      <c r="E31" s="114"/>
      <c r="F31" s="114"/>
      <c r="G31" s="114"/>
      <c r="H31" s="113"/>
    </row>
    <row r="32" spans="1:8">
      <c r="A32" s="113"/>
      <c r="B32" s="114"/>
      <c r="C32" s="114"/>
      <c r="D32" s="114"/>
      <c r="E32" s="114"/>
      <c r="F32" s="114"/>
      <c r="G32" s="114"/>
      <c r="H32" s="113"/>
    </row>
    <row r="33" spans="1:10">
      <c r="A33" s="113"/>
      <c r="B33" s="114"/>
      <c r="C33" s="114"/>
      <c r="D33" s="114"/>
      <c r="E33" s="114"/>
      <c r="F33" s="114"/>
      <c r="G33" s="114"/>
      <c r="H33" s="113"/>
      <c r="I33" s="42"/>
      <c r="J33" s="42"/>
    </row>
    <row r="35" spans="1:10" ht="14.25" customHeight="1">
      <c r="A35" s="109" t="s">
        <v>52</v>
      </c>
      <c r="B35" s="95"/>
      <c r="C35" s="95"/>
      <c r="D35" s="95"/>
      <c r="E35" s="95"/>
      <c r="F35" s="95"/>
      <c r="G35" s="95"/>
      <c r="H35" s="96"/>
      <c r="I35" s="42"/>
      <c r="J35" s="42"/>
    </row>
    <row r="36" spans="1:10">
      <c r="A36" s="115" t="s">
        <v>53</v>
      </c>
      <c r="B36" s="116" t="s">
        <v>54</v>
      </c>
      <c r="C36" s="116"/>
      <c r="D36" s="116"/>
      <c r="E36" s="116"/>
      <c r="F36" s="116"/>
      <c r="G36" s="116"/>
      <c r="H36" s="117" t="s">
        <v>55</v>
      </c>
      <c r="I36" s="42"/>
      <c r="J36" s="42"/>
    </row>
    <row r="37" spans="1:10">
      <c r="A37" s="118"/>
      <c r="B37" s="119"/>
      <c r="C37" s="119"/>
      <c r="D37" s="119"/>
      <c r="E37" s="119"/>
      <c r="F37" s="119"/>
      <c r="G37" s="119"/>
      <c r="H37" s="118"/>
      <c r="I37" s="42"/>
      <c r="J37" s="42"/>
    </row>
    <row r="38" spans="1:10">
      <c r="A38" s="118"/>
      <c r="B38" s="119"/>
      <c r="C38" s="119"/>
      <c r="D38" s="119"/>
      <c r="E38" s="119"/>
      <c r="F38" s="119"/>
      <c r="G38" s="119"/>
      <c r="H38" s="118"/>
      <c r="I38" s="42"/>
      <c r="J38" s="42"/>
    </row>
    <row r="39" spans="1:10">
      <c r="A39" s="118"/>
      <c r="B39" s="119"/>
      <c r="C39" s="119"/>
      <c r="D39" s="119"/>
      <c r="E39" s="119"/>
      <c r="F39" s="119"/>
      <c r="G39" s="119"/>
      <c r="H39" s="118"/>
      <c r="I39" s="42"/>
      <c r="J39" s="42"/>
    </row>
    <row r="40" spans="1:10">
      <c r="A40" s="118"/>
      <c r="B40" s="119"/>
      <c r="C40" s="119"/>
      <c r="D40" s="119"/>
      <c r="E40" s="119"/>
      <c r="F40" s="119"/>
      <c r="G40" s="119"/>
      <c r="H40" s="118"/>
      <c r="I40" s="42"/>
      <c r="J40" s="42"/>
    </row>
    <row r="41" spans="1:10">
      <c r="A41" s="118"/>
      <c r="B41" s="119"/>
      <c r="C41" s="119"/>
      <c r="D41" s="119"/>
      <c r="E41" s="119"/>
      <c r="F41" s="119"/>
      <c r="G41" s="119"/>
      <c r="H41" s="118"/>
      <c r="I41" s="42"/>
      <c r="J41" s="42"/>
    </row>
    <row r="42" spans="1:10">
      <c r="A42" s="118"/>
      <c r="B42" s="119"/>
      <c r="C42" s="119"/>
      <c r="D42" s="119"/>
      <c r="E42" s="119"/>
      <c r="F42" s="119"/>
      <c r="G42" s="119"/>
      <c r="H42" s="118"/>
      <c r="I42" s="42"/>
      <c r="J42" s="42"/>
    </row>
    <row r="43" spans="1:10">
      <c r="A43" s="118"/>
      <c r="B43" s="119"/>
      <c r="C43" s="119"/>
      <c r="D43" s="119"/>
      <c r="E43" s="119"/>
      <c r="F43" s="119"/>
      <c r="G43" s="119"/>
      <c r="H43" s="118"/>
      <c r="I43" s="42"/>
      <c r="J43" s="42"/>
    </row>
    <row r="45" spans="1:10">
      <c r="A45" s="120" t="s">
        <v>56</v>
      </c>
      <c r="B45" s="121"/>
      <c r="C45" s="121"/>
      <c r="D45" s="121"/>
      <c r="E45" s="121"/>
      <c r="F45" s="121"/>
      <c r="G45" s="121"/>
      <c r="H45" s="121"/>
      <c r="I45" s="121"/>
      <c r="J45" s="122"/>
    </row>
    <row r="46" spans="1:10">
      <c r="A46" s="123"/>
      <c r="B46" s="124"/>
      <c r="C46" s="124"/>
      <c r="D46" s="124"/>
      <c r="E46" s="124"/>
      <c r="F46" s="124"/>
      <c r="G46" s="124"/>
      <c r="H46" s="124"/>
      <c r="I46" s="124"/>
      <c r="J46" s="125"/>
    </row>
    <row r="47" spans="1:10">
      <c r="A47" s="123"/>
      <c r="B47" s="124"/>
      <c r="C47" s="124"/>
      <c r="D47" s="124"/>
      <c r="E47" s="124"/>
      <c r="F47" s="124"/>
      <c r="G47" s="124"/>
      <c r="H47" s="124"/>
      <c r="I47" s="124"/>
      <c r="J47" s="125"/>
    </row>
    <row r="48" spans="1:10">
      <c r="A48" s="126"/>
      <c r="B48" s="127"/>
      <c r="C48" s="127"/>
      <c r="D48" s="127"/>
      <c r="E48" s="127"/>
      <c r="F48" s="127"/>
      <c r="G48" s="127"/>
      <c r="H48" s="127"/>
      <c r="I48" s="127"/>
      <c r="J48" s="128"/>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N42" sqref="N42"/>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42" t="str">
        <f>+'Cover Page'!$B$29</f>
        <v>Annual Performance Report 2022</v>
      </c>
      <c r="B1" s="42"/>
      <c r="C1" s="42"/>
      <c r="D1" s="42"/>
      <c r="E1" s="42" t="str">
        <f>+'Cover Page'!$B$33</f>
        <v>Energy Works Hull</v>
      </c>
      <c r="F1" s="42"/>
      <c r="G1" s="42"/>
      <c r="H1" s="42"/>
      <c r="I1" s="42"/>
      <c r="J1" s="42"/>
      <c r="K1" s="42"/>
      <c r="L1" s="42"/>
      <c r="M1" s="42"/>
      <c r="N1" s="42"/>
    </row>
    <row r="3" spans="1:14" ht="15.75">
      <c r="A3" s="129" t="s">
        <v>57</v>
      </c>
      <c r="B3" s="130"/>
      <c r="C3" s="130"/>
      <c r="D3" s="130"/>
      <c r="E3" s="130"/>
      <c r="F3" s="130"/>
      <c r="G3" s="130"/>
      <c r="H3" s="130"/>
      <c r="I3" s="131"/>
      <c r="J3" s="42"/>
      <c r="K3" s="37" t="s">
        <v>2</v>
      </c>
      <c r="L3" s="42"/>
      <c r="M3" s="42"/>
      <c r="N3" s="42"/>
    </row>
    <row r="4" spans="1:14">
      <c r="A4" s="132"/>
      <c r="B4" s="133"/>
      <c r="C4" s="133"/>
      <c r="D4" s="133"/>
      <c r="E4" s="133"/>
      <c r="F4" s="133"/>
      <c r="G4" s="133"/>
      <c r="H4" s="133"/>
      <c r="I4" s="134"/>
      <c r="J4" s="42"/>
      <c r="K4" s="42"/>
      <c r="L4" s="42"/>
      <c r="M4" s="42"/>
      <c r="N4" s="42"/>
    </row>
    <row r="5" spans="1:14" ht="15.75" customHeight="1">
      <c r="A5" s="135" t="s">
        <v>58</v>
      </c>
      <c r="B5" s="136"/>
      <c r="C5" s="136"/>
      <c r="D5" s="136"/>
      <c r="E5" s="136"/>
      <c r="F5" s="136"/>
      <c r="G5" s="136"/>
      <c r="H5" s="136"/>
      <c r="I5" s="137"/>
      <c r="J5" s="42"/>
      <c r="K5" s="80" t="s">
        <v>59</v>
      </c>
      <c r="L5" s="80"/>
      <c r="M5" s="80"/>
      <c r="N5" s="80"/>
    </row>
    <row r="6" spans="1:14">
      <c r="A6" s="138"/>
      <c r="B6" s="139"/>
      <c r="C6" s="139"/>
      <c r="D6" s="139"/>
      <c r="E6" s="139"/>
      <c r="F6" s="139"/>
      <c r="G6" s="139"/>
      <c r="H6" s="139"/>
      <c r="I6" s="140"/>
      <c r="J6" s="42"/>
      <c r="K6" s="80"/>
      <c r="L6" s="80"/>
      <c r="M6" s="80"/>
      <c r="N6" s="80"/>
    </row>
    <row r="7" spans="1:14">
      <c r="A7" s="138"/>
      <c r="B7" s="139"/>
      <c r="C7" s="139"/>
      <c r="D7" s="139"/>
      <c r="E7" s="139"/>
      <c r="F7" s="139"/>
      <c r="G7" s="139"/>
      <c r="H7" s="139"/>
      <c r="I7" s="140"/>
      <c r="J7" s="42"/>
      <c r="K7" s="80"/>
      <c r="L7" s="80"/>
      <c r="M7" s="80"/>
      <c r="N7" s="80"/>
    </row>
    <row r="8" spans="1:14" ht="15.75" customHeight="1">
      <c r="A8" s="138"/>
      <c r="B8" s="139"/>
      <c r="C8" s="139"/>
      <c r="D8" s="139"/>
      <c r="E8" s="139"/>
      <c r="F8" s="139"/>
      <c r="G8" s="139"/>
      <c r="H8" s="139"/>
      <c r="I8" s="140"/>
      <c r="J8" s="42"/>
      <c r="K8" s="80"/>
      <c r="L8" s="80"/>
      <c r="M8" s="80"/>
      <c r="N8" s="80"/>
    </row>
    <row r="9" spans="1:14">
      <c r="A9" s="138"/>
      <c r="B9" s="139"/>
      <c r="C9" s="139"/>
      <c r="D9" s="139"/>
      <c r="E9" s="139"/>
      <c r="F9" s="139"/>
      <c r="G9" s="139"/>
      <c r="H9" s="139"/>
      <c r="I9" s="140"/>
      <c r="J9" s="42"/>
      <c r="K9" s="80"/>
      <c r="L9" s="80"/>
      <c r="M9" s="80"/>
      <c r="N9" s="80"/>
    </row>
    <row r="10" spans="1:14">
      <c r="A10" s="138"/>
      <c r="B10" s="139"/>
      <c r="C10" s="139"/>
      <c r="D10" s="139"/>
      <c r="E10" s="139"/>
      <c r="F10" s="139"/>
      <c r="G10" s="139"/>
      <c r="H10" s="139"/>
      <c r="I10" s="140"/>
      <c r="J10" s="42"/>
      <c r="K10" s="80"/>
      <c r="L10" s="80"/>
      <c r="M10" s="80"/>
      <c r="N10" s="80"/>
    </row>
    <row r="11" spans="1:14">
      <c r="A11" s="138"/>
      <c r="B11" s="139"/>
      <c r="C11" s="139"/>
      <c r="D11" s="139"/>
      <c r="E11" s="139"/>
      <c r="F11" s="139"/>
      <c r="G11" s="139"/>
      <c r="H11" s="139"/>
      <c r="I11" s="140"/>
      <c r="J11" s="42"/>
      <c r="K11" s="80"/>
      <c r="L11" s="80"/>
      <c r="M11" s="80"/>
      <c r="N11" s="80"/>
    </row>
    <row r="12" spans="1:14">
      <c r="A12" s="138"/>
      <c r="B12" s="139"/>
      <c r="C12" s="139"/>
      <c r="D12" s="139"/>
      <c r="E12" s="139"/>
      <c r="F12" s="139"/>
      <c r="G12" s="139"/>
      <c r="H12" s="139"/>
      <c r="I12" s="140"/>
      <c r="J12" s="42"/>
      <c r="K12" s="80"/>
      <c r="L12" s="80"/>
      <c r="M12" s="80"/>
      <c r="N12" s="80"/>
    </row>
    <row r="13" spans="1:14">
      <c r="A13" s="138"/>
      <c r="B13" s="139"/>
      <c r="C13" s="139"/>
      <c r="D13" s="139"/>
      <c r="E13" s="139"/>
      <c r="F13" s="139"/>
      <c r="G13" s="139"/>
      <c r="H13" s="139"/>
      <c r="I13" s="140"/>
      <c r="J13" s="42"/>
      <c r="K13" s="80"/>
      <c r="L13" s="80"/>
      <c r="M13" s="80"/>
      <c r="N13" s="80"/>
    </row>
    <row r="14" spans="1:14">
      <c r="A14" s="138"/>
      <c r="B14" s="139"/>
      <c r="C14" s="139"/>
      <c r="D14" s="139"/>
      <c r="E14" s="139"/>
      <c r="F14" s="139"/>
      <c r="G14" s="139"/>
      <c r="H14" s="139"/>
      <c r="I14" s="140"/>
      <c r="J14" s="42"/>
      <c r="K14" s="80"/>
      <c r="L14" s="80"/>
      <c r="M14" s="80"/>
      <c r="N14" s="80"/>
    </row>
    <row r="15" spans="1:14">
      <c r="A15" s="138"/>
      <c r="B15" s="139"/>
      <c r="C15" s="139"/>
      <c r="D15" s="139"/>
      <c r="E15" s="139"/>
      <c r="F15" s="139"/>
      <c r="G15" s="139"/>
      <c r="H15" s="139"/>
      <c r="I15" s="140"/>
      <c r="J15" s="42"/>
      <c r="K15" s="42"/>
      <c r="L15" s="42"/>
      <c r="M15" s="42"/>
      <c r="N15" s="42"/>
    </row>
    <row r="16" spans="1:14">
      <c r="A16" s="138"/>
      <c r="B16" s="139"/>
      <c r="C16" s="139"/>
      <c r="D16" s="139"/>
      <c r="E16" s="139"/>
      <c r="F16" s="139"/>
      <c r="G16" s="139"/>
      <c r="H16" s="139"/>
      <c r="I16" s="140"/>
      <c r="J16" s="42"/>
      <c r="K16" s="42"/>
      <c r="L16" s="42"/>
      <c r="M16" s="42"/>
      <c r="N16" s="42"/>
    </row>
    <row r="17" spans="1:14">
      <c r="A17" s="138"/>
      <c r="B17" s="139"/>
      <c r="C17" s="139"/>
      <c r="D17" s="139"/>
      <c r="E17" s="139"/>
      <c r="F17" s="139"/>
      <c r="G17" s="139"/>
      <c r="H17" s="139"/>
      <c r="I17" s="140"/>
      <c r="J17" s="42"/>
      <c r="K17" s="42"/>
      <c r="L17" s="42"/>
      <c r="M17" s="42"/>
      <c r="N17" s="42"/>
    </row>
    <row r="18" spans="1:14">
      <c r="A18" s="141"/>
      <c r="B18" s="142"/>
      <c r="C18" s="142"/>
      <c r="D18" s="142"/>
      <c r="E18" s="142"/>
      <c r="F18" s="142"/>
      <c r="G18" s="142"/>
      <c r="H18" s="142"/>
      <c r="I18" s="143"/>
      <c r="J18" s="42"/>
      <c r="K18" s="42"/>
      <c r="L18" s="42"/>
      <c r="M18" s="42"/>
      <c r="N18" s="42"/>
    </row>
    <row r="20" spans="1:14" ht="15.75">
      <c r="A20" s="129" t="s">
        <v>60</v>
      </c>
      <c r="B20" s="130"/>
      <c r="C20" s="130"/>
      <c r="D20" s="130"/>
      <c r="E20" s="130"/>
      <c r="F20" s="130"/>
      <c r="G20" s="130"/>
      <c r="H20" s="130"/>
      <c r="I20" s="131"/>
      <c r="J20" s="42"/>
      <c r="K20" s="42"/>
      <c r="L20" s="42"/>
      <c r="M20" s="42"/>
      <c r="N20" s="42"/>
    </row>
    <row r="21" spans="1:14">
      <c r="A21" s="132"/>
      <c r="B21" s="133"/>
      <c r="C21" s="133"/>
      <c r="D21" s="133"/>
      <c r="E21" s="133"/>
      <c r="F21" s="133"/>
      <c r="G21" s="133"/>
      <c r="H21" s="133"/>
      <c r="I21" s="134"/>
      <c r="J21" s="42"/>
      <c r="K21" s="42"/>
      <c r="L21" s="42"/>
      <c r="M21" s="42"/>
      <c r="N21" s="42"/>
    </row>
    <row r="22" spans="1:14">
      <c r="A22" s="144" t="s">
        <v>61</v>
      </c>
      <c r="B22" s="145"/>
      <c r="C22" s="145"/>
      <c r="D22" s="145"/>
      <c r="E22" s="145"/>
      <c r="F22" s="145"/>
      <c r="G22" s="145"/>
      <c r="H22" s="145"/>
      <c r="I22" s="146"/>
      <c r="J22" s="42"/>
      <c r="K22" s="80" t="s">
        <v>62</v>
      </c>
      <c r="L22" s="80"/>
      <c r="M22" s="80"/>
      <c r="N22" s="80"/>
    </row>
    <row r="23" spans="1:14">
      <c r="A23" s="147"/>
      <c r="B23" s="148"/>
      <c r="C23" s="148"/>
      <c r="D23" s="148"/>
      <c r="E23" s="148"/>
      <c r="F23" s="148"/>
      <c r="G23" s="148"/>
      <c r="H23" s="148"/>
      <c r="I23" s="149"/>
      <c r="J23" s="42"/>
      <c r="K23" s="80"/>
      <c r="L23" s="80"/>
      <c r="M23" s="80"/>
      <c r="N23" s="80"/>
    </row>
    <row r="24" spans="1:14">
      <c r="A24" s="147"/>
      <c r="B24" s="148"/>
      <c r="C24" s="148"/>
      <c r="D24" s="148"/>
      <c r="E24" s="148"/>
      <c r="F24" s="148"/>
      <c r="G24" s="148"/>
      <c r="H24" s="148"/>
      <c r="I24" s="149"/>
      <c r="J24" s="42"/>
      <c r="K24" s="80"/>
      <c r="L24" s="80"/>
      <c r="M24" s="80"/>
      <c r="N24" s="80"/>
    </row>
    <row r="25" spans="1:14">
      <c r="A25" s="147"/>
      <c r="B25" s="148"/>
      <c r="C25" s="148"/>
      <c r="D25" s="148"/>
      <c r="E25" s="148"/>
      <c r="F25" s="148"/>
      <c r="G25" s="148"/>
      <c r="H25" s="148"/>
      <c r="I25" s="149"/>
      <c r="J25" s="42"/>
      <c r="K25" s="80"/>
      <c r="L25" s="80"/>
      <c r="M25" s="80"/>
      <c r="N25" s="80"/>
    </row>
    <row r="26" spans="1:14">
      <c r="A26" s="147"/>
      <c r="B26" s="148"/>
      <c r="C26" s="148"/>
      <c r="D26" s="148"/>
      <c r="E26" s="148"/>
      <c r="F26" s="148"/>
      <c r="G26" s="148"/>
      <c r="H26" s="148"/>
      <c r="I26" s="149"/>
      <c r="J26" s="42"/>
      <c r="K26" s="80"/>
      <c r="L26" s="80"/>
      <c r="M26" s="80"/>
      <c r="N26" s="80"/>
    </row>
    <row r="27" spans="1:14">
      <c r="A27" s="147"/>
      <c r="B27" s="148"/>
      <c r="C27" s="148"/>
      <c r="D27" s="148"/>
      <c r="E27" s="148"/>
      <c r="F27" s="148"/>
      <c r="G27" s="148"/>
      <c r="H27" s="148"/>
      <c r="I27" s="149"/>
      <c r="J27" s="42"/>
      <c r="K27" s="80"/>
      <c r="L27" s="80"/>
      <c r="M27" s="80"/>
      <c r="N27" s="80"/>
    </row>
    <row r="28" spans="1:14">
      <c r="A28" s="147"/>
      <c r="B28" s="148"/>
      <c r="C28" s="148"/>
      <c r="D28" s="148"/>
      <c r="E28" s="148"/>
      <c r="F28" s="148"/>
      <c r="G28" s="148"/>
      <c r="H28" s="148"/>
      <c r="I28" s="149"/>
      <c r="J28" s="42"/>
      <c r="K28" s="80"/>
      <c r="L28" s="80"/>
      <c r="M28" s="80"/>
      <c r="N28" s="80"/>
    </row>
    <row r="29" spans="1:14">
      <c r="A29" s="147"/>
      <c r="B29" s="148"/>
      <c r="C29" s="148"/>
      <c r="D29" s="148"/>
      <c r="E29" s="148"/>
      <c r="F29" s="148"/>
      <c r="G29" s="148"/>
      <c r="H29" s="148"/>
      <c r="I29" s="149"/>
      <c r="J29" s="42"/>
      <c r="K29" s="80"/>
      <c r="L29" s="80"/>
      <c r="M29" s="80"/>
      <c r="N29" s="80"/>
    </row>
    <row r="30" spans="1:14">
      <c r="A30" s="147"/>
      <c r="B30" s="148"/>
      <c r="C30" s="148"/>
      <c r="D30" s="148"/>
      <c r="E30" s="148"/>
      <c r="F30" s="148"/>
      <c r="G30" s="148"/>
      <c r="H30" s="148"/>
      <c r="I30" s="149"/>
      <c r="J30" s="42"/>
      <c r="K30" s="80"/>
      <c r="L30" s="80"/>
      <c r="M30" s="80"/>
      <c r="N30" s="80"/>
    </row>
    <row r="31" spans="1:14">
      <c r="A31" s="147"/>
      <c r="B31" s="148"/>
      <c r="C31" s="148"/>
      <c r="D31" s="148"/>
      <c r="E31" s="148"/>
      <c r="F31" s="148"/>
      <c r="G31" s="148"/>
      <c r="H31" s="148"/>
      <c r="I31" s="149"/>
      <c r="J31" s="42"/>
      <c r="K31" s="80"/>
      <c r="L31" s="80"/>
      <c r="M31" s="80"/>
      <c r="N31" s="80"/>
    </row>
    <row r="32" spans="1:14">
      <c r="A32" s="147"/>
      <c r="B32" s="148"/>
      <c r="C32" s="148"/>
      <c r="D32" s="148"/>
      <c r="E32" s="148"/>
      <c r="F32" s="148"/>
      <c r="G32" s="148"/>
      <c r="H32" s="148"/>
      <c r="I32" s="149"/>
      <c r="J32" s="42"/>
      <c r="K32" s="42"/>
      <c r="L32" s="42"/>
      <c r="M32" s="42"/>
      <c r="N32" s="42"/>
    </row>
    <row r="33" spans="1:9">
      <c r="A33" s="147"/>
      <c r="B33" s="148"/>
      <c r="C33" s="148"/>
      <c r="D33" s="148"/>
      <c r="E33" s="148"/>
      <c r="F33" s="148"/>
      <c r="G33" s="148"/>
      <c r="H33" s="148"/>
      <c r="I33" s="149"/>
    </row>
    <row r="34" spans="1:9">
      <c r="A34" s="147"/>
      <c r="B34" s="148"/>
      <c r="C34" s="148"/>
      <c r="D34" s="148"/>
      <c r="E34" s="148"/>
      <c r="F34" s="148"/>
      <c r="G34" s="148"/>
      <c r="H34" s="148"/>
      <c r="I34" s="149"/>
    </row>
    <row r="35" spans="1:9">
      <c r="A35" s="147"/>
      <c r="B35" s="148"/>
      <c r="C35" s="148"/>
      <c r="D35" s="148"/>
      <c r="E35" s="148"/>
      <c r="F35" s="148"/>
      <c r="G35" s="148"/>
      <c r="H35" s="148"/>
      <c r="I35" s="149"/>
    </row>
    <row r="36" spans="1:9">
      <c r="A36" s="147"/>
      <c r="B36" s="148"/>
      <c r="C36" s="148"/>
      <c r="D36" s="148"/>
      <c r="E36" s="148"/>
      <c r="F36" s="148"/>
      <c r="G36" s="148"/>
      <c r="H36" s="148"/>
      <c r="I36" s="149"/>
    </row>
    <row r="37" spans="1:9">
      <c r="A37" s="147"/>
      <c r="B37" s="148"/>
      <c r="C37" s="148"/>
      <c r="D37" s="148"/>
      <c r="E37" s="148"/>
      <c r="F37" s="148"/>
      <c r="G37" s="148"/>
      <c r="H37" s="148"/>
      <c r="I37" s="149"/>
    </row>
    <row r="38" spans="1:9">
      <c r="A38" s="147"/>
      <c r="B38" s="148"/>
      <c r="C38" s="148"/>
      <c r="D38" s="148"/>
      <c r="E38" s="148"/>
      <c r="F38" s="148"/>
      <c r="G38" s="148"/>
      <c r="H38" s="148"/>
      <c r="I38" s="149"/>
    </row>
    <row r="39" spans="1:9">
      <c r="A39" s="147"/>
      <c r="B39" s="148"/>
      <c r="C39" s="148"/>
      <c r="D39" s="148"/>
      <c r="E39" s="148"/>
      <c r="F39" s="148"/>
      <c r="G39" s="148"/>
      <c r="H39" s="148"/>
      <c r="I39" s="149"/>
    </row>
    <row r="40" spans="1:9" ht="14.25" customHeight="1">
      <c r="A40" s="147"/>
      <c r="B40" s="148"/>
      <c r="C40" s="148"/>
      <c r="D40" s="148"/>
      <c r="E40" s="148"/>
      <c r="F40" s="148"/>
      <c r="G40" s="148"/>
      <c r="H40" s="148"/>
      <c r="I40" s="149"/>
    </row>
    <row r="41" spans="1:9">
      <c r="A41" s="147"/>
      <c r="B41" s="148"/>
      <c r="C41" s="148"/>
      <c r="D41" s="148"/>
      <c r="E41" s="148"/>
      <c r="F41" s="148"/>
      <c r="G41" s="148"/>
      <c r="H41" s="148"/>
      <c r="I41" s="149"/>
    </row>
    <row r="42" spans="1:9">
      <c r="A42" s="147"/>
      <c r="B42" s="148"/>
      <c r="C42" s="148"/>
      <c r="D42" s="148"/>
      <c r="E42" s="148"/>
      <c r="F42" s="148"/>
      <c r="G42" s="148"/>
      <c r="H42" s="148"/>
      <c r="I42" s="149"/>
    </row>
    <row r="43" spans="1:9">
      <c r="A43" s="147"/>
      <c r="B43" s="148"/>
      <c r="C43" s="148"/>
      <c r="D43" s="148"/>
      <c r="E43" s="148"/>
      <c r="F43" s="148"/>
      <c r="G43" s="148"/>
      <c r="H43" s="148"/>
      <c r="I43" s="149"/>
    </row>
    <row r="44" spans="1:9">
      <c r="A44" s="147"/>
      <c r="B44" s="148"/>
      <c r="C44" s="148"/>
      <c r="D44" s="148"/>
      <c r="E44" s="148"/>
      <c r="F44" s="148"/>
      <c r="G44" s="148"/>
      <c r="H44" s="148"/>
      <c r="I44" s="149"/>
    </row>
    <row r="45" spans="1:9">
      <c r="A45" s="147"/>
      <c r="B45" s="148"/>
      <c r="C45" s="148"/>
      <c r="D45" s="148"/>
      <c r="E45" s="148"/>
      <c r="F45" s="148"/>
      <c r="G45" s="148"/>
      <c r="H45" s="148"/>
      <c r="I45" s="149"/>
    </row>
    <row r="46" spans="1:9">
      <c r="A46" s="147"/>
      <c r="B46" s="148"/>
      <c r="C46" s="148"/>
      <c r="D46" s="148"/>
      <c r="E46" s="148"/>
      <c r="F46" s="148"/>
      <c r="G46" s="148"/>
      <c r="H46" s="148"/>
      <c r="I46" s="149"/>
    </row>
    <row r="47" spans="1:9">
      <c r="A47" s="147"/>
      <c r="B47" s="148"/>
      <c r="C47" s="148"/>
      <c r="D47" s="148"/>
      <c r="E47" s="148"/>
      <c r="F47" s="148"/>
      <c r="G47" s="148"/>
      <c r="H47" s="148"/>
      <c r="I47" s="149"/>
    </row>
    <row r="48" spans="1:9">
      <c r="A48" s="147"/>
      <c r="B48" s="148"/>
      <c r="C48" s="148"/>
      <c r="D48" s="148"/>
      <c r="E48" s="148"/>
      <c r="F48" s="148"/>
      <c r="G48" s="148"/>
      <c r="H48" s="148"/>
      <c r="I48" s="149"/>
    </row>
    <row r="49" spans="1:9">
      <c r="A49" s="147"/>
      <c r="B49" s="148"/>
      <c r="C49" s="148"/>
      <c r="D49" s="148"/>
      <c r="E49" s="148"/>
      <c r="F49" s="148"/>
      <c r="G49" s="148"/>
      <c r="H49" s="148"/>
      <c r="I49" s="149"/>
    </row>
    <row r="50" spans="1:9">
      <c r="A50" s="147"/>
      <c r="B50" s="148"/>
      <c r="C50" s="148"/>
      <c r="D50" s="148"/>
      <c r="E50" s="148"/>
      <c r="F50" s="148"/>
      <c r="G50" s="148"/>
      <c r="H50" s="148"/>
      <c r="I50" s="149"/>
    </row>
    <row r="51" spans="1:9">
      <c r="A51" s="147"/>
      <c r="B51" s="148"/>
      <c r="C51" s="148"/>
      <c r="D51" s="148"/>
      <c r="E51" s="148"/>
      <c r="F51" s="148"/>
      <c r="G51" s="148"/>
      <c r="H51" s="148"/>
      <c r="I51" s="149"/>
    </row>
    <row r="52" spans="1:9">
      <c r="A52" s="147"/>
      <c r="B52" s="148"/>
      <c r="C52" s="148"/>
      <c r="D52" s="148"/>
      <c r="E52" s="148"/>
      <c r="F52" s="148"/>
      <c r="G52" s="148"/>
      <c r="H52" s="148"/>
      <c r="I52" s="149"/>
    </row>
    <row r="53" spans="1:9">
      <c r="A53" s="147"/>
      <c r="B53" s="148"/>
      <c r="C53" s="148"/>
      <c r="D53" s="148"/>
      <c r="E53" s="148"/>
      <c r="F53" s="148"/>
      <c r="G53" s="148"/>
      <c r="H53" s="148"/>
      <c r="I53" s="149"/>
    </row>
    <row r="54" spans="1:9">
      <c r="A54" s="150"/>
      <c r="B54" s="151"/>
      <c r="C54" s="151"/>
      <c r="D54" s="151"/>
      <c r="E54" s="151"/>
      <c r="F54" s="151"/>
      <c r="G54" s="151"/>
      <c r="H54" s="151"/>
      <c r="I54" s="152"/>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P78"/>
  <sheetViews>
    <sheetView workbookViewId="0">
      <selection activeCell="J26" sqref="J26"/>
    </sheetView>
  </sheetViews>
  <sheetFormatPr defaultColWidth="9.28515625" defaultRowHeight="15"/>
  <cols>
    <col min="1" max="1" width="28.42578125" style="2" customWidth="1"/>
    <col min="2" max="2" width="8.28515625" style="7" customWidth="1"/>
    <col min="3" max="3" width="11.28515625" style="7" bestFit="1" customWidth="1"/>
    <col min="4" max="4" width="15.85546875" style="7" bestFit="1" customWidth="1"/>
    <col min="5" max="5" width="19.7109375" style="7" bestFit="1" customWidth="1"/>
    <col min="6" max="6" width="11.28515625" style="7" bestFit="1" customWidth="1"/>
    <col min="7" max="7" width="13.42578125" style="8" customWidth="1"/>
    <col min="8" max="8" width="11.5703125" style="9" customWidth="1"/>
    <col min="9" max="10" width="9.28515625" style="2"/>
    <col min="11" max="11" width="38.42578125" style="2" customWidth="1"/>
    <col min="12" max="12" width="11.5703125" style="2" bestFit="1" customWidth="1"/>
    <col min="13" max="14" width="9.28515625" style="2"/>
    <col min="15" max="15" width="11.5703125" style="2" bestFit="1" customWidth="1"/>
    <col min="16" max="16384" width="9.28515625" style="2"/>
  </cols>
  <sheetData>
    <row r="1" spans="1:11">
      <c r="A1" s="42" t="str">
        <f>+'Cover Page'!$B$29</f>
        <v>Annual Performance Report 2022</v>
      </c>
      <c r="B1" s="42"/>
      <c r="C1" s="42"/>
      <c r="D1" s="42"/>
      <c r="E1" s="42" t="str">
        <f>+'Cover Page'!$B$33</f>
        <v>Energy Works Hull</v>
      </c>
      <c r="F1" s="42"/>
      <c r="G1" s="42"/>
      <c r="H1" s="42"/>
      <c r="I1" s="42"/>
      <c r="J1" s="42"/>
      <c r="K1" s="42"/>
    </row>
    <row r="3" spans="1:11" ht="15.75">
      <c r="A3" s="1" t="s">
        <v>30</v>
      </c>
      <c r="B3" s="49"/>
      <c r="C3" s="49"/>
      <c r="D3" s="49"/>
      <c r="E3" s="49"/>
      <c r="F3" s="49"/>
      <c r="H3" s="153"/>
      <c r="I3" s="42"/>
      <c r="J3" s="42"/>
      <c r="K3" s="37" t="s">
        <v>2</v>
      </c>
    </row>
    <row r="4" spans="1:11">
      <c r="A4" s="154" t="s">
        <v>63</v>
      </c>
      <c r="B4" s="155">
        <v>315000</v>
      </c>
      <c r="C4" s="155"/>
      <c r="D4" s="156" t="s">
        <v>64</v>
      </c>
      <c r="E4" s="157">
        <v>100</v>
      </c>
      <c r="F4" s="156" t="s">
        <v>65</v>
      </c>
      <c r="G4" s="157">
        <v>28</v>
      </c>
      <c r="H4" s="158" t="s">
        <v>66</v>
      </c>
      <c r="I4" s="42"/>
      <c r="J4" s="42"/>
      <c r="K4" s="10" t="s">
        <v>67</v>
      </c>
    </row>
    <row r="5" spans="1:11" ht="15.75">
      <c r="A5" s="159" t="s">
        <v>68</v>
      </c>
      <c r="B5" s="160">
        <v>1</v>
      </c>
      <c r="C5" s="161"/>
      <c r="D5" s="161" t="s">
        <v>69</v>
      </c>
      <c r="E5" s="161"/>
      <c r="F5" s="162">
        <v>1</v>
      </c>
      <c r="G5" s="163"/>
      <c r="H5" s="164"/>
      <c r="I5" s="42"/>
      <c r="J5" s="42"/>
      <c r="K5" s="10" t="s">
        <v>70</v>
      </c>
    </row>
    <row r="6" spans="1:11">
      <c r="A6" s="3"/>
      <c r="B6" s="49"/>
      <c r="C6" s="49"/>
      <c r="D6" s="49"/>
      <c r="E6" s="49"/>
      <c r="F6" s="49"/>
      <c r="H6" s="153"/>
      <c r="I6" s="42"/>
      <c r="J6" s="42"/>
      <c r="K6" s="58" t="s">
        <v>71</v>
      </c>
    </row>
    <row r="7" spans="1:11" ht="15.75">
      <c r="A7" s="6" t="s">
        <v>72</v>
      </c>
      <c r="B7" s="165" t="s">
        <v>73</v>
      </c>
      <c r="C7" s="166" t="s">
        <v>74</v>
      </c>
      <c r="D7" s="166" t="s">
        <v>75</v>
      </c>
      <c r="E7" s="166" t="s">
        <v>76</v>
      </c>
      <c r="F7" s="166" t="s">
        <v>77</v>
      </c>
      <c r="G7" s="167" t="s">
        <v>78</v>
      </c>
      <c r="H7" s="168" t="s">
        <v>79</v>
      </c>
      <c r="I7" s="42"/>
      <c r="J7" s="42"/>
      <c r="K7" s="58"/>
    </row>
    <row r="8" spans="1:11" ht="15.75" customHeight="1">
      <c r="A8" s="169" t="s">
        <v>80</v>
      </c>
      <c r="B8" s="170" t="s">
        <v>81</v>
      </c>
      <c r="C8" s="171"/>
      <c r="D8" s="171"/>
      <c r="E8" s="171"/>
      <c r="F8" s="171"/>
      <c r="G8" s="172">
        <f>SUM(C8:F8)</f>
        <v>0</v>
      </c>
      <c r="H8" s="173" t="str">
        <f t="shared" ref="H8:H15" si="0">IF(G8&gt;0,G8/$G$18,"-")</f>
        <v>-</v>
      </c>
      <c r="I8" s="42"/>
      <c r="J8" s="42"/>
      <c r="K8" s="59" t="s">
        <v>82</v>
      </c>
    </row>
    <row r="9" spans="1:11">
      <c r="A9" s="174" t="s">
        <v>83</v>
      </c>
      <c r="B9" s="175"/>
      <c r="C9" s="176"/>
      <c r="D9" s="176"/>
      <c r="E9" s="176"/>
      <c r="F9" s="176"/>
      <c r="G9" s="41">
        <f t="shared" ref="G9:G15" si="1">SUM(C9:F9)</f>
        <v>0</v>
      </c>
      <c r="H9" s="177" t="str">
        <f t="shared" si="0"/>
        <v>-</v>
      </c>
      <c r="I9" s="42"/>
      <c r="J9" s="42"/>
      <c r="K9" s="59"/>
    </row>
    <row r="10" spans="1:11">
      <c r="A10" s="174" t="s">
        <v>84</v>
      </c>
      <c r="B10" s="175"/>
      <c r="C10" s="176"/>
      <c r="D10" s="176"/>
      <c r="E10" s="176"/>
      <c r="F10" s="176"/>
      <c r="G10" s="41">
        <f t="shared" si="1"/>
        <v>0</v>
      </c>
      <c r="H10" s="177" t="str">
        <f t="shared" si="0"/>
        <v>-</v>
      </c>
      <c r="I10" s="42"/>
      <c r="J10" s="42"/>
      <c r="K10" s="59"/>
    </row>
    <row r="11" spans="1:11">
      <c r="A11" s="174" t="s">
        <v>85</v>
      </c>
      <c r="B11" s="175"/>
      <c r="C11" s="176"/>
      <c r="D11" s="176"/>
      <c r="E11" s="176"/>
      <c r="F11" s="176"/>
      <c r="G11" s="41">
        <f t="shared" si="1"/>
        <v>0</v>
      </c>
      <c r="H11" s="177" t="str">
        <f t="shared" si="0"/>
        <v>-</v>
      </c>
      <c r="I11" s="42"/>
      <c r="J11" s="42"/>
      <c r="K11" s="59"/>
    </row>
    <row r="12" spans="1:11">
      <c r="A12" s="174" t="s">
        <v>86</v>
      </c>
      <c r="B12" s="175"/>
      <c r="C12" s="176"/>
      <c r="D12" s="176"/>
      <c r="E12" s="176"/>
      <c r="F12" s="176"/>
      <c r="G12" s="41">
        <f t="shared" si="1"/>
        <v>0</v>
      </c>
      <c r="H12" s="177" t="str">
        <f t="shared" si="0"/>
        <v>-</v>
      </c>
      <c r="I12" s="42"/>
      <c r="J12" s="42"/>
      <c r="K12" s="59"/>
    </row>
    <row r="13" spans="1:11">
      <c r="A13" s="174" t="s">
        <v>87</v>
      </c>
      <c r="B13" s="175"/>
      <c r="C13" s="176"/>
      <c r="D13" s="176"/>
      <c r="E13" s="176"/>
      <c r="F13" s="176"/>
      <c r="G13" s="41">
        <f t="shared" ref="G13" si="2">SUM(C13:F13)</f>
        <v>0</v>
      </c>
      <c r="H13" s="177" t="str">
        <f t="shared" si="0"/>
        <v>-</v>
      </c>
      <c r="I13" s="42"/>
      <c r="J13" s="42"/>
      <c r="K13" s="59"/>
    </row>
    <row r="14" spans="1:11">
      <c r="A14" s="174" t="s">
        <v>88</v>
      </c>
      <c r="B14" s="175"/>
      <c r="C14" s="176">
        <v>20463</v>
      </c>
      <c r="D14" s="176">
        <v>14136</v>
      </c>
      <c r="E14" s="176">
        <v>15199.79</v>
      </c>
      <c r="F14" s="176">
        <v>5486.34</v>
      </c>
      <c r="G14" s="41">
        <f t="shared" si="1"/>
        <v>55285.130000000005</v>
      </c>
      <c r="H14" s="177">
        <f t="shared" si="0"/>
        <v>1</v>
      </c>
      <c r="I14" s="42"/>
      <c r="J14" s="42"/>
      <c r="K14" s="59"/>
    </row>
    <row r="15" spans="1:11">
      <c r="A15" s="178" t="s">
        <v>89</v>
      </c>
      <c r="B15" s="175"/>
      <c r="C15" s="176"/>
      <c r="D15" s="176"/>
      <c r="E15" s="176"/>
      <c r="F15" s="176"/>
      <c r="G15" s="41">
        <f t="shared" si="1"/>
        <v>0</v>
      </c>
      <c r="H15" s="177" t="str">
        <f t="shared" si="0"/>
        <v>-</v>
      </c>
      <c r="I15" s="42"/>
      <c r="J15" s="42"/>
      <c r="K15" s="59"/>
    </row>
    <row r="16" spans="1:11">
      <c r="A16" s="178" t="s">
        <v>89</v>
      </c>
      <c r="B16" s="175"/>
      <c r="C16" s="176"/>
      <c r="D16" s="176"/>
      <c r="E16" s="176"/>
      <c r="F16" s="176"/>
      <c r="G16" s="41"/>
      <c r="H16" s="177"/>
      <c r="I16" s="42"/>
      <c r="J16" s="42"/>
      <c r="K16" s="59"/>
    </row>
    <row r="17" spans="1:12">
      <c r="A17" s="178" t="s">
        <v>89</v>
      </c>
      <c r="B17" s="175"/>
      <c r="C17" s="176"/>
      <c r="D17" s="176"/>
      <c r="E17" s="176"/>
      <c r="F17" s="176"/>
      <c r="G17" s="41"/>
      <c r="H17" s="177"/>
      <c r="I17" s="42"/>
      <c r="J17" s="42"/>
      <c r="K17" s="59"/>
      <c r="L17" s="42"/>
    </row>
    <row r="18" spans="1:12">
      <c r="A18" s="179" t="s">
        <v>90</v>
      </c>
      <c r="B18" s="175"/>
      <c r="C18" s="41">
        <f>SUM(C8:C17)</f>
        <v>20463</v>
      </c>
      <c r="D18" s="41">
        <f>SUM(D8:D17)</f>
        <v>14136</v>
      </c>
      <c r="E18" s="41">
        <f>SUM(E8:E17)</f>
        <v>15199.79</v>
      </c>
      <c r="F18" s="41">
        <f>SUM(F8:F17)</f>
        <v>5486.34</v>
      </c>
      <c r="G18" s="41">
        <f>SUM(G8:G17)</f>
        <v>55285.130000000005</v>
      </c>
      <c r="H18" s="180">
        <v>1</v>
      </c>
      <c r="I18" s="42"/>
      <c r="J18" s="42"/>
      <c r="K18" s="59"/>
      <c r="L18" s="42"/>
    </row>
    <row r="19" spans="1:12">
      <c r="A19" s="174" t="s">
        <v>91</v>
      </c>
      <c r="B19" s="175"/>
      <c r="C19" s="176">
        <v>528</v>
      </c>
      <c r="D19" s="176">
        <v>340</v>
      </c>
      <c r="E19" s="176">
        <v>971</v>
      </c>
      <c r="F19" s="176">
        <v>787.38</v>
      </c>
      <c r="G19" s="41">
        <f t="shared" ref="G19" si="3">SUM(C19:F19)</f>
        <v>2626.38</v>
      </c>
      <c r="H19" s="177">
        <f t="shared" ref="H19" si="4">IF(G19&gt;0,G19/$G$18,"-")</f>
        <v>4.7506083462225734E-2</v>
      </c>
      <c r="I19" s="42"/>
      <c r="J19" s="42"/>
      <c r="K19" s="59"/>
      <c r="L19" s="42"/>
    </row>
    <row r="20" spans="1:12">
      <c r="A20" s="174" t="s">
        <v>92</v>
      </c>
      <c r="B20" s="175"/>
      <c r="C20" s="176"/>
      <c r="D20" s="176"/>
      <c r="E20" s="176"/>
      <c r="F20" s="176">
        <v>724.14</v>
      </c>
      <c r="G20" s="41">
        <f t="shared" ref="G20" si="5">SUM(C20:F20)</f>
        <v>724.14</v>
      </c>
      <c r="H20" s="177">
        <f>IF(G20&gt;0,G20/$G$18,"-")</f>
        <v>1.3098277963712846E-2</v>
      </c>
      <c r="I20" s="42"/>
      <c r="J20" s="42"/>
      <c r="K20" s="42"/>
      <c r="L20" s="42"/>
    </row>
    <row r="21" spans="1:12">
      <c r="A21" s="181" t="s">
        <v>93</v>
      </c>
      <c r="B21" s="182"/>
      <c r="C21" s="183">
        <f>C18-SUM(C19:C20)</f>
        <v>19935</v>
      </c>
      <c r="D21" s="183">
        <f t="shared" ref="D21:F21" si="6">D18-SUM(D19:D20)</f>
        <v>13796</v>
      </c>
      <c r="E21" s="183">
        <f t="shared" si="6"/>
        <v>14228.79</v>
      </c>
      <c r="F21" s="183">
        <f t="shared" si="6"/>
        <v>3974.82</v>
      </c>
      <c r="G21" s="184">
        <f>SUM(C21:F21)</f>
        <v>51934.61</v>
      </c>
      <c r="H21" s="185">
        <f>IF(G21&gt;0,G21/$G$18,"-")</f>
        <v>0.93939563857406139</v>
      </c>
      <c r="I21" s="42"/>
      <c r="J21" s="42"/>
      <c r="K21" s="42"/>
      <c r="L21" s="42"/>
    </row>
    <row r="22" spans="1:12">
      <c r="A22" s="3"/>
      <c r="B22" s="49"/>
      <c r="C22" s="153"/>
      <c r="D22" s="153"/>
      <c r="E22" s="153"/>
      <c r="F22" s="153"/>
      <c r="G22" s="12"/>
      <c r="H22" s="153"/>
      <c r="I22" s="42"/>
      <c r="J22" s="42"/>
      <c r="K22" s="42"/>
      <c r="L22" s="42"/>
    </row>
    <row r="23" spans="1:12" ht="15.75">
      <c r="A23" s="6" t="s">
        <v>94</v>
      </c>
      <c r="B23" s="165" t="s">
        <v>73</v>
      </c>
      <c r="C23" s="186" t="s">
        <v>74</v>
      </c>
      <c r="D23" s="186" t="s">
        <v>75</v>
      </c>
      <c r="E23" s="186" t="s">
        <v>76</v>
      </c>
      <c r="F23" s="186" t="s">
        <v>77</v>
      </c>
      <c r="G23" s="187" t="s">
        <v>78</v>
      </c>
      <c r="H23" s="188" t="s">
        <v>95</v>
      </c>
      <c r="I23" s="42"/>
      <c r="J23" s="42"/>
      <c r="K23" s="42"/>
      <c r="L23" s="42"/>
    </row>
    <row r="24" spans="1:12" ht="15" customHeight="1">
      <c r="A24" s="189" t="s">
        <v>96</v>
      </c>
      <c r="B24" s="170" t="s">
        <v>97</v>
      </c>
      <c r="C24" s="190">
        <v>20664</v>
      </c>
      <c r="D24" s="171">
        <v>12950</v>
      </c>
      <c r="E24" s="171">
        <v>17683.3</v>
      </c>
      <c r="F24" s="171">
        <v>7414.5</v>
      </c>
      <c r="G24" s="172">
        <f t="shared" ref="G24:G27" si="7">SUM(C24:F24)</f>
        <v>58711.8</v>
      </c>
      <c r="H24" s="191">
        <f>IF(G24&gt;0,G24*1000/$G$21,"-")</f>
        <v>1130.4946739756012</v>
      </c>
      <c r="I24" s="42"/>
      <c r="J24" s="42"/>
      <c r="K24" s="42"/>
      <c r="L24" s="42"/>
    </row>
    <row r="25" spans="1:12">
      <c r="A25" s="192" t="s">
        <v>98</v>
      </c>
      <c r="B25" s="175"/>
      <c r="C25" s="193">
        <v>19685</v>
      </c>
      <c r="D25" s="193">
        <v>10959</v>
      </c>
      <c r="E25" s="193">
        <v>14774.4</v>
      </c>
      <c r="F25" s="193">
        <v>6301.2</v>
      </c>
      <c r="G25" s="11">
        <f>SUM(C25:F25)</f>
        <v>51719.6</v>
      </c>
      <c r="H25" s="194">
        <f>IF(G25&gt;0,G25*1000/$G$21,"-")</f>
        <v>995.85998624038962</v>
      </c>
      <c r="I25" s="42"/>
      <c r="J25" s="42"/>
      <c r="K25" s="42"/>
      <c r="L25" s="42"/>
    </row>
    <row r="26" spans="1:12">
      <c r="A26" s="192" t="s">
        <v>99</v>
      </c>
      <c r="B26" s="175"/>
      <c r="C26" s="193">
        <v>1702</v>
      </c>
      <c r="D26" s="193">
        <v>3512</v>
      </c>
      <c r="E26" s="193">
        <v>4379.5819000000001</v>
      </c>
      <c r="F26" s="193">
        <v>2151.6999999999998</v>
      </c>
      <c r="G26" s="11">
        <f>SUM(C26:F26)</f>
        <v>11745.281900000002</v>
      </c>
      <c r="H26" s="194">
        <f>IF(G26&gt;0,G26*1000/$G$21,"-")</f>
        <v>226.1551959281104</v>
      </c>
      <c r="I26" s="42"/>
      <c r="J26" s="42"/>
      <c r="K26" s="42"/>
      <c r="L26" s="42"/>
    </row>
    <row r="27" spans="1:12">
      <c r="A27" s="192" t="s">
        <v>100</v>
      </c>
      <c r="B27" s="175"/>
      <c r="C27" s="193">
        <v>1198</v>
      </c>
      <c r="D27" s="193">
        <v>1521</v>
      </c>
      <c r="E27" s="193">
        <v>1470.7249999999999</v>
      </c>
      <c r="F27" s="193">
        <v>1038.4000000000001</v>
      </c>
      <c r="G27" s="11">
        <f t="shared" si="7"/>
        <v>5228.125</v>
      </c>
      <c r="H27" s="194">
        <f>IF(G27&gt;0,G27*1000/$G$21,"-")</f>
        <v>100.66745470891183</v>
      </c>
      <c r="I27" s="42"/>
      <c r="J27" s="42"/>
      <c r="K27" s="42"/>
      <c r="L27" s="42"/>
    </row>
    <row r="28" spans="1:12">
      <c r="A28" s="192" t="s">
        <v>101</v>
      </c>
      <c r="B28" s="195" t="s">
        <v>79</v>
      </c>
      <c r="C28" s="196">
        <f>IF(C24&gt;0,1-C25/(C24+C27),"-")</f>
        <v>9.9579178483212849E-2</v>
      </c>
      <c r="D28" s="196">
        <f>IF(D24&gt;0,1-D25/(D24+D27),"-")</f>
        <v>0.24269228111395202</v>
      </c>
      <c r="E28" s="196">
        <f>IF(E24&gt;0,1-E25/(E24+E27),"-")</f>
        <v>0.2286529854691115</v>
      </c>
      <c r="F28" s="196">
        <f>IF(F24&gt;0,1-F25/(F24+F27),"-")</f>
        <v>0.25455169231861252</v>
      </c>
      <c r="G28" s="196">
        <f>IF(G24&gt;0,1-G25/(G24+G27),"-")</f>
        <v>0.19112197895133598</v>
      </c>
      <c r="H28" s="194"/>
      <c r="I28" s="42"/>
      <c r="J28" s="42"/>
      <c r="K28" s="42"/>
      <c r="L28" s="42"/>
    </row>
    <row r="29" spans="1:12">
      <c r="A29" s="192" t="s">
        <v>102</v>
      </c>
      <c r="B29" s="197" t="s">
        <v>97</v>
      </c>
      <c r="C29" s="193"/>
      <c r="D29" s="193"/>
      <c r="E29" s="193"/>
      <c r="F29" s="193"/>
      <c r="G29" s="11">
        <f t="shared" ref="G29:G30" si="8">SUM(C29:F29)</f>
        <v>0</v>
      </c>
      <c r="H29" s="194" t="str">
        <f>IF(G29&gt;0,G29*1000/$G$21,"-")</f>
        <v>-</v>
      </c>
      <c r="I29" s="42"/>
      <c r="J29" s="42"/>
      <c r="K29" s="42"/>
      <c r="L29" s="42"/>
    </row>
    <row r="30" spans="1:12">
      <c r="A30" s="192" t="s">
        <v>103</v>
      </c>
      <c r="B30" s="197"/>
      <c r="C30" s="193"/>
      <c r="D30" s="193"/>
      <c r="E30" s="193"/>
      <c r="F30" s="193"/>
      <c r="G30" s="11">
        <f t="shared" si="8"/>
        <v>0</v>
      </c>
      <c r="H30" s="194" t="str">
        <f>IF(G30&gt;0,G30*1000/$G$21,"-")</f>
        <v>-</v>
      </c>
      <c r="I30" s="42"/>
      <c r="J30" s="42"/>
      <c r="K30" s="10"/>
      <c r="L30" s="10"/>
    </row>
    <row r="31" spans="1:12">
      <c r="A31" s="198" t="s">
        <v>104</v>
      </c>
      <c r="B31" s="199"/>
      <c r="C31" s="200"/>
      <c r="D31" s="200"/>
      <c r="E31" s="200"/>
      <c r="F31" s="200"/>
      <c r="G31" s="201"/>
      <c r="H31" s="202"/>
      <c r="I31" s="42"/>
      <c r="J31" s="42"/>
      <c r="K31" s="42"/>
      <c r="L31" s="10"/>
    </row>
    <row r="32" spans="1:12">
      <c r="A32" s="3"/>
      <c r="B32" s="49"/>
      <c r="C32" s="153"/>
      <c r="D32" s="153"/>
      <c r="E32" s="153"/>
      <c r="F32" s="153"/>
      <c r="G32" s="12"/>
      <c r="H32" s="153"/>
      <c r="I32" s="42"/>
      <c r="J32" s="42"/>
      <c r="K32" s="42"/>
      <c r="L32" s="10"/>
    </row>
    <row r="33" spans="1:16" ht="15.75">
      <c r="A33" s="6" t="s">
        <v>105</v>
      </c>
      <c r="B33" s="203" t="s">
        <v>73</v>
      </c>
      <c r="C33" s="186" t="s">
        <v>74</v>
      </c>
      <c r="D33" s="186" t="s">
        <v>75</v>
      </c>
      <c r="E33" s="186" t="s">
        <v>76</v>
      </c>
      <c r="F33" s="186" t="s">
        <v>77</v>
      </c>
      <c r="G33" s="187" t="s">
        <v>78</v>
      </c>
      <c r="H33" s="204" t="s">
        <v>106</v>
      </c>
      <c r="I33" s="42"/>
      <c r="J33" s="42"/>
      <c r="K33" s="42"/>
      <c r="L33" s="10"/>
      <c r="M33" s="42"/>
      <c r="N33" s="42"/>
      <c r="O33" s="42"/>
      <c r="P33" s="42"/>
    </row>
    <row r="34" spans="1:16" ht="15" customHeight="1">
      <c r="A34" s="189" t="s">
        <v>107</v>
      </c>
      <c r="B34" s="170" t="s">
        <v>81</v>
      </c>
      <c r="C34" s="171">
        <f>2214.36</f>
        <v>2214.36</v>
      </c>
      <c r="D34" s="171">
        <v>1274.5</v>
      </c>
      <c r="E34" s="171">
        <f>1712.42+17.7</f>
        <v>1730.1200000000001</v>
      </c>
      <c r="F34" s="171">
        <f>662.85+49.78</f>
        <v>712.63</v>
      </c>
      <c r="G34" s="172">
        <f t="shared" ref="G34:G35" si="9">SUM(C34:F34)</f>
        <v>5931.6100000000006</v>
      </c>
      <c r="H34" s="173">
        <f>IF(G34&gt;0,G34/$G$21,"-")</f>
        <v>0.11421304598224576</v>
      </c>
      <c r="I34" s="42"/>
      <c r="J34" s="42"/>
      <c r="K34" s="10"/>
      <c r="L34" s="10"/>
      <c r="M34" s="42"/>
      <c r="N34" s="42"/>
      <c r="O34" s="42"/>
      <c r="P34" s="42"/>
    </row>
    <row r="35" spans="1:16" ht="15" customHeight="1">
      <c r="A35" s="192" t="s">
        <v>108</v>
      </c>
      <c r="B35" s="175"/>
      <c r="C35" s="193">
        <v>160.41999999999999</v>
      </c>
      <c r="D35" s="193">
        <v>163.74</v>
      </c>
      <c r="E35" s="193">
        <f>219.02</f>
        <v>219.02</v>
      </c>
      <c r="F35" s="193">
        <f>35</f>
        <v>35</v>
      </c>
      <c r="G35" s="11">
        <f t="shared" si="9"/>
        <v>578.17999999999995</v>
      </c>
      <c r="H35" s="177">
        <f t="shared" ref="H35:H39" si="10">IF(G35&gt;0,G35/$G$21,"-")</f>
        <v>1.1132845707323112E-2</v>
      </c>
      <c r="I35" s="42"/>
      <c r="J35" s="42"/>
      <c r="K35" s="10"/>
      <c r="L35" s="10"/>
      <c r="M35" s="42"/>
      <c r="N35" s="42"/>
      <c r="O35" s="42"/>
      <c r="P35" s="42"/>
    </row>
    <row r="36" spans="1:16" ht="15" customHeight="1">
      <c r="A36" s="192" t="s">
        <v>109</v>
      </c>
      <c r="B36" s="175"/>
      <c r="C36" s="193">
        <v>812.48</v>
      </c>
      <c r="D36" s="193">
        <f>453.04+222+26.22</f>
        <v>701.26</v>
      </c>
      <c r="E36" s="193">
        <v>822.8</v>
      </c>
      <c r="F36" s="193">
        <f>357.72</f>
        <v>357.72</v>
      </c>
      <c r="G36" s="11">
        <f t="shared" ref="G36:G39" si="11">SUM(C36:F36)</f>
        <v>2694.26</v>
      </c>
      <c r="H36" s="177">
        <f t="shared" si="10"/>
        <v>5.187792880316229E-2</v>
      </c>
      <c r="I36" s="42"/>
      <c r="J36" s="42"/>
      <c r="K36" s="42"/>
      <c r="L36" s="42"/>
      <c r="M36" s="42"/>
      <c r="N36" s="42"/>
      <c r="O36" s="42"/>
      <c r="P36" s="42"/>
    </row>
    <row r="37" spans="1:16">
      <c r="A37" s="192" t="s">
        <v>110</v>
      </c>
      <c r="B37" s="175"/>
      <c r="C37" s="193">
        <f>402.08</f>
        <v>402.08</v>
      </c>
      <c r="D37" s="52">
        <f>378.16+24.66</f>
        <v>402.82000000000005</v>
      </c>
      <c r="E37" s="193">
        <f>278.08+3.06+17.76</f>
        <v>298.89999999999998</v>
      </c>
      <c r="F37" s="193">
        <v>239.22</v>
      </c>
      <c r="G37" s="11">
        <f t="shared" ref="G37" si="12">SUM(C37:F37)</f>
        <v>1343.0200000000002</v>
      </c>
      <c r="H37" s="177">
        <f t="shared" si="10"/>
        <v>2.585982642403592E-2</v>
      </c>
      <c r="I37" s="42"/>
      <c r="J37" s="42"/>
      <c r="K37" s="42"/>
      <c r="L37" s="42"/>
      <c r="M37" s="42"/>
      <c r="N37" s="42"/>
      <c r="O37" s="42"/>
      <c r="P37" s="42"/>
    </row>
    <row r="38" spans="1:16">
      <c r="A38" s="192" t="s">
        <v>111</v>
      </c>
      <c r="B38" s="175"/>
      <c r="C38" s="193">
        <f>86.72</f>
        <v>86.72</v>
      </c>
      <c r="D38" s="193">
        <f>59.64</f>
        <v>59.64</v>
      </c>
      <c r="E38" s="193">
        <f>54.36+9.26+10.46</f>
        <v>74.08</v>
      </c>
      <c r="F38" s="193">
        <v>29.2</v>
      </c>
      <c r="G38" s="11">
        <f t="shared" si="11"/>
        <v>249.64</v>
      </c>
      <c r="H38" s="177">
        <f t="shared" si="10"/>
        <v>4.8068137991216257E-3</v>
      </c>
      <c r="I38" s="42"/>
      <c r="J38" s="42"/>
      <c r="K38" s="42"/>
      <c r="L38" s="42"/>
      <c r="M38" s="42"/>
      <c r="N38" s="42"/>
      <c r="O38" s="42"/>
      <c r="P38" s="42"/>
    </row>
    <row r="39" spans="1:16">
      <c r="A39" s="198" t="s">
        <v>112</v>
      </c>
      <c r="B39" s="205"/>
      <c r="C39" s="206">
        <f>106.78</f>
        <v>106.78</v>
      </c>
      <c r="D39" s="206">
        <f>35.78</f>
        <v>35.78</v>
      </c>
      <c r="E39" s="206">
        <f>85.88</f>
        <v>85.88</v>
      </c>
      <c r="F39" s="206">
        <v>67</v>
      </c>
      <c r="G39" s="184">
        <f t="shared" si="11"/>
        <v>295.44</v>
      </c>
      <c r="H39" s="185">
        <f t="shared" si="10"/>
        <v>5.6886919917180472E-3</v>
      </c>
      <c r="I39" s="42"/>
      <c r="J39" s="42"/>
      <c r="K39" s="42"/>
      <c r="L39" s="42"/>
      <c r="M39" s="42"/>
      <c r="N39" s="42"/>
      <c r="O39" s="42"/>
      <c r="P39" s="42"/>
    </row>
    <row r="40" spans="1:16">
      <c r="A40" s="49"/>
      <c r="B40" s="49"/>
      <c r="C40" s="153"/>
      <c r="D40" s="153"/>
      <c r="E40" s="153"/>
      <c r="F40" s="153"/>
      <c r="G40" s="12"/>
      <c r="H40" s="153"/>
      <c r="I40" s="42"/>
      <c r="J40" s="42"/>
      <c r="K40" s="42"/>
      <c r="L40" s="42"/>
      <c r="M40" s="42"/>
      <c r="N40" s="42"/>
      <c r="O40" s="42"/>
      <c r="P40" s="42"/>
    </row>
    <row r="41" spans="1:16" ht="15.75">
      <c r="A41" s="6" t="s">
        <v>113</v>
      </c>
      <c r="B41" s="207" t="s">
        <v>73</v>
      </c>
      <c r="C41" s="166" t="s">
        <v>74</v>
      </c>
      <c r="D41" s="166" t="s">
        <v>75</v>
      </c>
      <c r="E41" s="166" t="s">
        <v>76</v>
      </c>
      <c r="F41" s="166" t="s">
        <v>77</v>
      </c>
      <c r="G41" s="167" t="s">
        <v>78</v>
      </c>
      <c r="H41" s="168" t="s">
        <v>114</v>
      </c>
      <c r="I41" s="42"/>
      <c r="J41" s="42"/>
      <c r="K41" s="42"/>
      <c r="L41" s="42"/>
      <c r="M41" s="42"/>
      <c r="N41" s="42"/>
      <c r="O41" s="42"/>
      <c r="P41" s="42"/>
    </row>
    <row r="42" spans="1:16" ht="15.6" customHeight="1">
      <c r="A42" s="189" t="s">
        <v>115</v>
      </c>
      <c r="B42" s="195" t="s">
        <v>116</v>
      </c>
      <c r="C42" s="171">
        <f>(6341.95+5658.7+9370.35)*1000</f>
        <v>21371000</v>
      </c>
      <c r="D42" s="171">
        <f>(3148.36+5581.64+5930.44)*1000</f>
        <v>14660439.999999998</v>
      </c>
      <c r="E42" s="171">
        <f>(7248.58+11239.24+11114.54)*1000</f>
        <v>29602360</v>
      </c>
      <c r="F42" s="171">
        <f>(11707.2+11926.2+2627.1)*1000</f>
        <v>26260500</v>
      </c>
      <c r="G42" s="172">
        <f t="shared" ref="G42:G50" si="13">SUM(C42:F42)</f>
        <v>91894300</v>
      </c>
      <c r="H42" s="208">
        <f>IF(G42&gt;0,G42/$G$21,"-")</f>
        <v>1769.4231265046565</v>
      </c>
      <c r="I42" s="42"/>
      <c r="J42" s="42"/>
      <c r="K42" s="42"/>
      <c r="L42" s="42"/>
      <c r="M42" s="42"/>
      <c r="N42" s="42"/>
      <c r="O42" s="42"/>
      <c r="P42" s="42"/>
    </row>
    <row r="43" spans="1:16">
      <c r="A43" s="192" t="s">
        <v>117</v>
      </c>
      <c r="B43" s="195" t="s">
        <v>116</v>
      </c>
      <c r="C43" s="193"/>
      <c r="D43" s="193"/>
      <c r="E43" s="193"/>
      <c r="F43" s="193"/>
      <c r="G43" s="11">
        <f t="shared" si="13"/>
        <v>0</v>
      </c>
      <c r="H43" s="208" t="str">
        <f t="shared" ref="H43:H48" si="14">IF(G43&gt;0,G43/$G$21,"-")</f>
        <v>-</v>
      </c>
      <c r="I43" s="42"/>
      <c r="J43" s="42"/>
      <c r="K43" s="42"/>
      <c r="L43" s="42"/>
      <c r="M43" s="42"/>
      <c r="N43" s="42"/>
      <c r="O43" s="42"/>
      <c r="P43" s="42"/>
    </row>
    <row r="44" spans="1:16" ht="15.6" customHeight="1">
      <c r="A44" s="192" t="s">
        <v>118</v>
      </c>
      <c r="B44" s="195" t="s">
        <v>119</v>
      </c>
      <c r="C44" s="193"/>
      <c r="D44" s="193"/>
      <c r="E44" s="193"/>
      <c r="F44" s="193"/>
      <c r="G44" s="11">
        <f t="shared" si="13"/>
        <v>0</v>
      </c>
      <c r="H44" s="208" t="str">
        <f t="shared" si="14"/>
        <v>-</v>
      </c>
      <c r="I44" s="42"/>
      <c r="J44" s="42"/>
      <c r="K44" s="42"/>
      <c r="L44" s="42"/>
      <c r="M44" s="42"/>
      <c r="N44" s="42"/>
      <c r="O44" s="42"/>
      <c r="P44" s="42"/>
    </row>
    <row r="45" spans="1:16" ht="15.6" customHeight="1">
      <c r="A45" s="192" t="s">
        <v>120</v>
      </c>
      <c r="B45" s="195" t="s">
        <v>119</v>
      </c>
      <c r="C45" s="193">
        <f>(14.36+0.895+0.475)*1000</f>
        <v>15729.999999999998</v>
      </c>
      <c r="D45" s="193">
        <f>(0.07+0.29+0.024)*1000</f>
        <v>384</v>
      </c>
      <c r="E45" s="193">
        <f>(1.8+0+3.5)*1000</f>
        <v>5300</v>
      </c>
      <c r="F45" s="193">
        <f>(0.8+0.6+0)*1000</f>
        <v>1400</v>
      </c>
      <c r="G45" s="11">
        <f t="shared" ref="G45" si="15">SUM(C45:F45)</f>
        <v>22814</v>
      </c>
      <c r="H45" s="208">
        <f t="shared" si="14"/>
        <v>0.43928316781429572</v>
      </c>
      <c r="I45" s="42"/>
      <c r="J45" s="42"/>
      <c r="K45" s="42"/>
      <c r="L45" s="42"/>
      <c r="M45" s="42"/>
      <c r="N45" s="42"/>
      <c r="O45" s="42"/>
      <c r="P45" s="42"/>
    </row>
    <row r="46" spans="1:16">
      <c r="A46" s="192" t="s">
        <v>121</v>
      </c>
      <c r="B46" s="195" t="s">
        <v>119</v>
      </c>
      <c r="C46" s="193">
        <v>0</v>
      </c>
      <c r="D46" s="193">
        <f>(0+0+10.9)*1000</f>
        <v>10900</v>
      </c>
      <c r="E46" s="193">
        <f>(17.08+26.79+8.29)*1000</f>
        <v>52160</v>
      </c>
      <c r="F46" s="193">
        <f>(14.212+15.63+0)*1000</f>
        <v>29842</v>
      </c>
      <c r="G46" s="11">
        <f t="shared" si="13"/>
        <v>92902</v>
      </c>
      <c r="H46" s="208">
        <f t="shared" si="14"/>
        <v>1.7888263722400148</v>
      </c>
      <c r="I46" s="42"/>
      <c r="J46" s="42"/>
      <c r="K46" s="42"/>
      <c r="L46" s="42"/>
      <c r="M46" s="42"/>
      <c r="N46" s="42"/>
      <c r="O46" s="42"/>
      <c r="P46" s="42"/>
    </row>
    <row r="47" spans="1:16">
      <c r="A47" s="192" t="s">
        <v>122</v>
      </c>
      <c r="B47" s="195" t="s">
        <v>119</v>
      </c>
      <c r="C47" s="193">
        <f>(247.09506+63.19799+242.81913)*1000</f>
        <v>553112.17999999993</v>
      </c>
      <c r="D47" s="193">
        <f>(94.91+189.34+109.4)*1000</f>
        <v>393650</v>
      </c>
      <c r="E47" s="193">
        <f>(153.68+241.11+74.65)*1000</f>
        <v>469440.00000000006</v>
      </c>
      <c r="F47" s="193">
        <f>(127.91+140.67+0)*1000</f>
        <v>268580</v>
      </c>
      <c r="G47" s="11">
        <f t="shared" si="13"/>
        <v>1684782.18</v>
      </c>
      <c r="H47" s="208">
        <f t="shared" si="14"/>
        <v>32.440451175044927</v>
      </c>
      <c r="I47" s="42"/>
      <c r="J47" s="42"/>
      <c r="K47" s="42"/>
      <c r="L47" s="42"/>
      <c r="M47" s="42"/>
      <c r="N47" s="42"/>
      <c r="O47" s="42"/>
      <c r="P47" s="42"/>
    </row>
    <row r="48" spans="1:16">
      <c r="A48" s="192" t="s">
        <v>123</v>
      </c>
      <c r="B48" s="195" t="s">
        <v>116</v>
      </c>
      <c r="C48" s="193">
        <f>((144.46+50.03+106.39)/0.000001)/820</f>
        <v>366926.8292682927</v>
      </c>
      <c r="D48" s="193">
        <f>(6.48+119.58+150.24)/0.000001/820</f>
        <v>336951.21951219509</v>
      </c>
      <c r="E48" s="193">
        <f>(127.85+238.08+197.91)/0.000001/820</f>
        <v>687609.75609756098</v>
      </c>
      <c r="F48" s="193">
        <f>(334.32+202.01+0)/0.000001/820</f>
        <v>654060.97560975607</v>
      </c>
      <c r="G48" s="11">
        <f t="shared" si="13"/>
        <v>2045548.7804878049</v>
      </c>
      <c r="H48" s="208">
        <f t="shared" si="14"/>
        <v>39.387005707519606</v>
      </c>
      <c r="I48" s="42"/>
      <c r="J48" s="42"/>
      <c r="K48" s="42"/>
      <c r="L48" s="42"/>
      <c r="M48" s="42"/>
      <c r="N48" s="42"/>
      <c r="O48" s="42"/>
      <c r="P48" s="42"/>
    </row>
    <row r="49" spans="1:16" ht="15.75">
      <c r="A49" s="192" t="s">
        <v>124</v>
      </c>
      <c r="B49" s="195" t="s">
        <v>125</v>
      </c>
      <c r="C49" s="193">
        <v>0</v>
      </c>
      <c r="D49" s="193">
        <v>0</v>
      </c>
      <c r="E49" s="193">
        <v>0</v>
      </c>
      <c r="F49" s="193">
        <v>0</v>
      </c>
      <c r="G49" s="11">
        <f t="shared" si="13"/>
        <v>0</v>
      </c>
      <c r="H49" s="209"/>
      <c r="I49" s="42"/>
      <c r="J49" s="42"/>
      <c r="K49" s="42"/>
      <c r="L49" s="1"/>
      <c r="M49" s="42"/>
      <c r="N49" s="42"/>
      <c r="O49" s="42"/>
      <c r="P49" s="42"/>
    </row>
    <row r="50" spans="1:16">
      <c r="A50" s="198" t="s">
        <v>126</v>
      </c>
      <c r="B50" s="210"/>
      <c r="C50" s="206">
        <v>0</v>
      </c>
      <c r="D50" s="206">
        <v>0</v>
      </c>
      <c r="E50" s="206">
        <v>0</v>
      </c>
      <c r="F50" s="206">
        <v>0</v>
      </c>
      <c r="G50" s="184">
        <f t="shared" si="13"/>
        <v>0</v>
      </c>
      <c r="H50" s="211"/>
      <c r="I50" s="42"/>
      <c r="J50" s="42"/>
      <c r="K50" s="42"/>
      <c r="L50" s="42"/>
      <c r="M50" s="42"/>
      <c r="N50" s="42"/>
      <c r="O50" s="42"/>
      <c r="P50" s="42"/>
    </row>
    <row r="51" spans="1:16">
      <c r="A51" s="49"/>
      <c r="B51" s="49"/>
      <c r="C51" s="153"/>
      <c r="D51" s="153"/>
      <c r="E51" s="153"/>
      <c r="F51" s="153"/>
      <c r="G51" s="12"/>
      <c r="H51" s="153"/>
      <c r="I51" s="42"/>
      <c r="J51" s="42"/>
      <c r="K51" s="42"/>
      <c r="L51" s="42"/>
      <c r="M51" s="42"/>
      <c r="N51" s="42"/>
      <c r="O51" s="42"/>
      <c r="P51" s="42"/>
    </row>
    <row r="52" spans="1:16" ht="15.75">
      <c r="A52" s="6" t="s">
        <v>127</v>
      </c>
      <c r="B52" s="212" t="s">
        <v>128</v>
      </c>
      <c r="C52" s="166" t="s">
        <v>74</v>
      </c>
      <c r="D52" s="166" t="s">
        <v>75</v>
      </c>
      <c r="E52" s="166" t="s">
        <v>76</v>
      </c>
      <c r="F52" s="166" t="s">
        <v>77</v>
      </c>
      <c r="G52" s="187" t="s">
        <v>78</v>
      </c>
      <c r="H52" s="188"/>
      <c r="I52" s="42"/>
      <c r="J52" s="39" t="s">
        <v>129</v>
      </c>
      <c r="K52" s="42"/>
      <c r="L52" s="42"/>
      <c r="M52" s="42"/>
      <c r="N52" s="42"/>
      <c r="O52" s="42"/>
      <c r="P52" s="42"/>
    </row>
    <row r="53" spans="1:16" ht="14.25" customHeight="1">
      <c r="A53" s="213" t="s">
        <v>130</v>
      </c>
      <c r="B53" s="186">
        <f>+B5</f>
        <v>1</v>
      </c>
      <c r="C53" s="176">
        <f>386+181+556</f>
        <v>1123</v>
      </c>
      <c r="D53" s="176">
        <f>69+387+227</f>
        <v>683</v>
      </c>
      <c r="E53" s="176">
        <f>310+402+192</f>
        <v>904</v>
      </c>
      <c r="F53" s="176">
        <f>201+146</f>
        <v>347</v>
      </c>
      <c r="G53" s="172">
        <f t="shared" ref="G53:G65" si="16">SUM(C53:F53)</f>
        <v>3057</v>
      </c>
      <c r="H53" s="173">
        <f>G53/J53</f>
        <v>0.34897260273972602</v>
      </c>
      <c r="I53" s="42"/>
      <c r="J53" s="40">
        <v>8760</v>
      </c>
      <c r="K53" s="214"/>
      <c r="L53" s="42"/>
      <c r="M53" s="42"/>
      <c r="N53" s="42"/>
      <c r="O53" s="42"/>
      <c r="P53" s="42"/>
    </row>
    <row r="54" spans="1:16" ht="14.25" customHeight="1">
      <c r="A54" s="215"/>
      <c r="B54" s="153">
        <v>2</v>
      </c>
      <c r="C54" s="176"/>
      <c r="D54" s="176"/>
      <c r="E54" s="176"/>
      <c r="F54" s="176"/>
      <c r="G54" s="11">
        <f t="shared" si="16"/>
        <v>0</v>
      </c>
      <c r="H54" s="177" t="s">
        <v>131</v>
      </c>
      <c r="I54" s="42"/>
      <c r="J54" s="42"/>
      <c r="K54" s="42"/>
      <c r="L54" s="42"/>
      <c r="M54" s="42"/>
      <c r="N54" s="42"/>
      <c r="O54" s="42"/>
      <c r="P54" s="42"/>
    </row>
    <row r="55" spans="1:16" ht="14.25" customHeight="1">
      <c r="A55" s="215"/>
      <c r="B55" s="153">
        <v>3</v>
      </c>
      <c r="C55" s="176"/>
      <c r="D55" s="176"/>
      <c r="E55" s="176"/>
      <c r="F55" s="176"/>
      <c r="G55" s="11">
        <f t="shared" si="16"/>
        <v>0</v>
      </c>
      <c r="H55" s="177" t="s">
        <v>131</v>
      </c>
      <c r="I55" s="42"/>
      <c r="J55" s="42"/>
      <c r="K55" s="42"/>
      <c r="L55" s="42"/>
      <c r="M55" s="42"/>
      <c r="N55" s="42"/>
      <c r="O55" s="42"/>
      <c r="P55" s="42"/>
    </row>
    <row r="56" spans="1:16" ht="14.25" customHeight="1">
      <c r="A56" s="215"/>
      <c r="B56" s="153">
        <v>4</v>
      </c>
      <c r="C56" s="176"/>
      <c r="D56" s="176"/>
      <c r="E56" s="176"/>
      <c r="F56" s="176"/>
      <c r="G56" s="11">
        <f t="shared" si="16"/>
        <v>0</v>
      </c>
      <c r="H56" s="177" t="s">
        <v>131</v>
      </c>
      <c r="I56" s="42"/>
      <c r="J56" s="42"/>
      <c r="K56" s="42"/>
      <c r="L56" s="42"/>
      <c r="M56" s="42"/>
      <c r="N56" s="42"/>
      <c r="O56" s="42"/>
      <c r="P56" s="42"/>
    </row>
    <row r="57" spans="1:16" ht="14.25" customHeight="1">
      <c r="A57" s="215"/>
      <c r="B57" s="153">
        <v>5</v>
      </c>
      <c r="C57" s="176"/>
      <c r="D57" s="176"/>
      <c r="E57" s="176"/>
      <c r="F57" s="176"/>
      <c r="G57" s="11">
        <f t="shared" ref="G57" si="17">SUM(C57:F57)</f>
        <v>0</v>
      </c>
      <c r="H57" s="177" t="s">
        <v>131</v>
      </c>
      <c r="I57" s="42"/>
      <c r="J57" s="42"/>
      <c r="K57" s="42"/>
      <c r="L57" s="42"/>
      <c r="M57" s="42"/>
      <c r="N57" s="42"/>
      <c r="O57" s="42"/>
      <c r="P57" s="42"/>
    </row>
    <row r="58" spans="1:16" ht="14.25" customHeight="1">
      <c r="A58" s="192" t="s">
        <v>132</v>
      </c>
      <c r="B58" s="153"/>
      <c r="C58" s="176"/>
      <c r="D58" s="176"/>
      <c r="E58" s="176"/>
      <c r="F58" s="176"/>
      <c r="G58" s="11">
        <f>AVERAGE(G53)</f>
        <v>3057</v>
      </c>
      <c r="H58" s="216">
        <f>G58/J53</f>
        <v>0.34897260273972602</v>
      </c>
      <c r="I58" s="42"/>
      <c r="J58" s="42"/>
      <c r="K58" s="42"/>
      <c r="L58" s="42"/>
      <c r="M58" s="42"/>
      <c r="N58" s="42"/>
      <c r="O58" s="42"/>
      <c r="P58" s="42"/>
    </row>
    <row r="59" spans="1:16" ht="14.25" customHeight="1">
      <c r="A59" s="192" t="s">
        <v>133</v>
      </c>
      <c r="B59" s="153">
        <v>1</v>
      </c>
      <c r="C59" s="176">
        <v>1143</v>
      </c>
      <c r="D59" s="176">
        <v>693</v>
      </c>
      <c r="E59" s="176">
        <v>954</v>
      </c>
      <c r="F59" s="176">
        <v>396</v>
      </c>
      <c r="G59" s="11">
        <f t="shared" si="16"/>
        <v>3186</v>
      </c>
      <c r="H59" s="177">
        <f>G59/J53</f>
        <v>0.36369863013698628</v>
      </c>
      <c r="I59" s="42"/>
      <c r="J59" s="42"/>
      <c r="K59" s="42"/>
      <c r="L59" s="42"/>
      <c r="M59" s="42"/>
      <c r="N59" s="42"/>
      <c r="O59" s="42"/>
      <c r="P59" s="42"/>
    </row>
    <row r="60" spans="1:16">
      <c r="A60" s="192" t="s">
        <v>133</v>
      </c>
      <c r="B60" s="153">
        <v>2</v>
      </c>
      <c r="C60" s="193"/>
      <c r="D60" s="193"/>
      <c r="E60" s="193"/>
      <c r="F60" s="193"/>
      <c r="G60" s="11">
        <f t="shared" si="16"/>
        <v>0</v>
      </c>
      <c r="H60" s="177" t="s">
        <v>131</v>
      </c>
      <c r="I60" s="42"/>
      <c r="J60" s="42"/>
      <c r="K60" s="42"/>
      <c r="L60" s="42"/>
      <c r="M60" s="42"/>
      <c r="N60" s="42"/>
      <c r="O60" s="42"/>
      <c r="P60" s="42"/>
    </row>
    <row r="61" spans="1:16">
      <c r="A61" s="192" t="s">
        <v>134</v>
      </c>
      <c r="B61" s="153"/>
      <c r="C61" s="193"/>
      <c r="D61" s="193"/>
      <c r="E61" s="193"/>
      <c r="F61" s="193"/>
      <c r="G61" s="11">
        <f t="shared" si="16"/>
        <v>0</v>
      </c>
      <c r="H61" s="177" t="str">
        <f>IF(B61&gt;0,G60/J53,"n/a")</f>
        <v>n/a</v>
      </c>
      <c r="I61" s="42"/>
      <c r="J61" s="42"/>
      <c r="K61" s="42"/>
      <c r="L61" s="42"/>
      <c r="M61" s="42"/>
      <c r="N61" s="42"/>
      <c r="O61" s="42"/>
      <c r="P61" s="42"/>
    </row>
    <row r="62" spans="1:16">
      <c r="A62" s="192" t="s">
        <v>135</v>
      </c>
      <c r="B62" s="153" t="s">
        <v>136</v>
      </c>
      <c r="C62" s="217">
        <v>15.64</v>
      </c>
      <c r="D62" s="217">
        <v>16.73</v>
      </c>
      <c r="E62" s="217">
        <v>15.93</v>
      </c>
      <c r="F62" s="217">
        <v>15.26</v>
      </c>
      <c r="G62" s="11"/>
      <c r="H62" s="218" t="s">
        <v>137</v>
      </c>
      <c r="I62" s="42"/>
      <c r="J62" s="42"/>
      <c r="K62" s="42"/>
      <c r="L62" s="42"/>
      <c r="M62" s="42"/>
      <c r="N62" s="42"/>
      <c r="O62" s="42"/>
      <c r="P62" s="42"/>
    </row>
    <row r="63" spans="1:16">
      <c r="A63" s="192" t="s">
        <v>138</v>
      </c>
      <c r="B63" s="153" t="s">
        <v>139</v>
      </c>
      <c r="C63" s="193">
        <v>0</v>
      </c>
      <c r="D63" s="193">
        <v>0</v>
      </c>
      <c r="E63" s="193">
        <v>1</v>
      </c>
      <c r="F63" s="193">
        <v>0</v>
      </c>
      <c r="G63" s="11">
        <f t="shared" si="16"/>
        <v>1</v>
      </c>
      <c r="H63" s="194" t="str">
        <f>IF(G63&gt;0,"yes","no")</f>
        <v>yes</v>
      </c>
      <c r="I63" s="42"/>
      <c r="J63" s="42"/>
      <c r="K63" s="42"/>
      <c r="L63" s="42"/>
      <c r="M63" s="42"/>
      <c r="N63" s="42"/>
      <c r="O63" s="42"/>
      <c r="P63" s="42"/>
    </row>
    <row r="64" spans="1:16">
      <c r="A64" s="192" t="s">
        <v>140</v>
      </c>
      <c r="B64" s="153" t="s">
        <v>141</v>
      </c>
      <c r="C64" s="193">
        <v>0</v>
      </c>
      <c r="D64" s="193">
        <v>0</v>
      </c>
      <c r="E64" s="219">
        <v>0.5</v>
      </c>
      <c r="F64" s="193">
        <v>0</v>
      </c>
      <c r="G64" s="45">
        <f t="shared" si="16"/>
        <v>0.5</v>
      </c>
      <c r="H64" s="220">
        <f>+(G64)/J53</f>
        <v>5.7077625570776254E-5</v>
      </c>
      <c r="I64" s="42"/>
      <c r="J64" s="42"/>
      <c r="K64" s="42"/>
      <c r="L64" s="42"/>
      <c r="M64" s="42"/>
      <c r="N64" s="42"/>
      <c r="O64" s="42"/>
      <c r="P64" s="42"/>
    </row>
    <row r="65" spans="1:8">
      <c r="A65" s="198" t="s">
        <v>142</v>
      </c>
      <c r="B65" s="221" t="s">
        <v>139</v>
      </c>
      <c r="C65" s="206">
        <v>2</v>
      </c>
      <c r="D65" s="206">
        <v>1</v>
      </c>
      <c r="E65" s="206">
        <v>2</v>
      </c>
      <c r="F65" s="206">
        <v>0</v>
      </c>
      <c r="G65" s="184">
        <f t="shared" si="16"/>
        <v>5</v>
      </c>
      <c r="H65" s="222" t="str">
        <f>IF(G65&gt;0,"yes","no")</f>
        <v>yes</v>
      </c>
    </row>
    <row r="78" spans="1:8">
      <c r="A78" s="42"/>
      <c r="B78" s="49"/>
      <c r="C78" s="49"/>
      <c r="D78" s="49"/>
      <c r="E78" s="49"/>
      <c r="F78" s="3"/>
      <c r="H78" s="153"/>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K45" sqref="K4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42" t="str">
        <f>+'Cover Page'!$B$29</f>
        <v>Annual Performance Report 2022</v>
      </c>
      <c r="B1" s="42"/>
      <c r="C1" s="42"/>
      <c r="D1" s="42"/>
      <c r="E1" s="42" t="str">
        <f>+'Cover Page'!$B$33</f>
        <v>Energy Works Hull</v>
      </c>
      <c r="F1" s="42"/>
      <c r="G1" s="42"/>
      <c r="H1" s="42"/>
      <c r="I1" s="42"/>
      <c r="J1" s="42"/>
      <c r="K1" s="42"/>
      <c r="L1" s="42"/>
      <c r="M1" s="42"/>
      <c r="N1" s="42"/>
    </row>
    <row r="3" spans="1:14" ht="15.75">
      <c r="A3" s="129" t="s">
        <v>143</v>
      </c>
      <c r="B3" s="130"/>
      <c r="C3" s="130"/>
      <c r="D3" s="130"/>
      <c r="E3" s="130"/>
      <c r="F3" s="130"/>
      <c r="G3" s="130"/>
      <c r="H3" s="130"/>
      <c r="I3" s="131"/>
      <c r="J3" s="42"/>
      <c r="K3" s="37" t="s">
        <v>2</v>
      </c>
      <c r="L3" s="42"/>
      <c r="M3" s="42"/>
      <c r="N3" s="42"/>
    </row>
    <row r="4" spans="1:14">
      <c r="A4" s="132"/>
      <c r="B4" s="133"/>
      <c r="C4" s="133"/>
      <c r="D4" s="133"/>
      <c r="E4" s="133"/>
      <c r="F4" s="133"/>
      <c r="G4" s="133"/>
      <c r="H4" s="133"/>
      <c r="I4" s="134"/>
      <c r="J4" s="42"/>
      <c r="K4" s="42"/>
      <c r="L4" s="42"/>
      <c r="M4" s="42"/>
      <c r="N4" s="42"/>
    </row>
    <row r="5" spans="1:14" ht="15.75" customHeight="1">
      <c r="A5" s="60" t="s">
        <v>144</v>
      </c>
      <c r="B5" s="61"/>
      <c r="C5" s="61"/>
      <c r="D5" s="61"/>
      <c r="E5" s="61"/>
      <c r="F5" s="61"/>
      <c r="G5" s="61"/>
      <c r="H5" s="61"/>
      <c r="I5" s="62"/>
      <c r="J5" s="42"/>
      <c r="K5" s="80" t="s">
        <v>145</v>
      </c>
      <c r="L5" s="80"/>
      <c r="M5" s="80"/>
      <c r="N5" s="80"/>
    </row>
    <row r="6" spans="1:14">
      <c r="A6" s="63"/>
      <c r="B6" s="64"/>
      <c r="C6" s="64"/>
      <c r="D6" s="64"/>
      <c r="E6" s="64"/>
      <c r="F6" s="64"/>
      <c r="G6" s="64"/>
      <c r="H6" s="64"/>
      <c r="I6" s="65"/>
      <c r="J6" s="42"/>
      <c r="K6" s="80"/>
      <c r="L6" s="80"/>
      <c r="M6" s="80"/>
      <c r="N6" s="80"/>
    </row>
    <row r="7" spans="1:14">
      <c r="A7" s="63"/>
      <c r="B7" s="64"/>
      <c r="C7" s="64"/>
      <c r="D7" s="64"/>
      <c r="E7" s="64"/>
      <c r="F7" s="64"/>
      <c r="G7" s="64"/>
      <c r="H7" s="64"/>
      <c r="I7" s="65"/>
      <c r="J7" s="42"/>
      <c r="K7" s="80"/>
      <c r="L7" s="80"/>
      <c r="M7" s="80"/>
      <c r="N7" s="80"/>
    </row>
    <row r="8" spans="1:14" ht="15.75" customHeight="1">
      <c r="A8" s="63"/>
      <c r="B8" s="64"/>
      <c r="C8" s="64"/>
      <c r="D8" s="64"/>
      <c r="E8" s="64"/>
      <c r="F8" s="64"/>
      <c r="G8" s="64"/>
      <c r="H8" s="64"/>
      <c r="I8" s="65"/>
      <c r="J8" s="42"/>
      <c r="K8" s="80"/>
      <c r="L8" s="80"/>
      <c r="M8" s="80"/>
      <c r="N8" s="80"/>
    </row>
    <row r="9" spans="1:14" ht="15.75" customHeight="1">
      <c r="A9" s="63"/>
      <c r="B9" s="64"/>
      <c r="C9" s="64"/>
      <c r="D9" s="64"/>
      <c r="E9" s="64"/>
      <c r="F9" s="64"/>
      <c r="G9" s="64"/>
      <c r="H9" s="64"/>
      <c r="I9" s="65"/>
      <c r="J9" s="42"/>
      <c r="K9" s="80"/>
      <c r="L9" s="80"/>
      <c r="M9" s="80"/>
      <c r="N9" s="80"/>
    </row>
    <row r="10" spans="1:14" ht="15.75" customHeight="1">
      <c r="A10" s="63"/>
      <c r="B10" s="64"/>
      <c r="C10" s="64"/>
      <c r="D10" s="64"/>
      <c r="E10" s="64"/>
      <c r="F10" s="64"/>
      <c r="G10" s="64"/>
      <c r="H10" s="64"/>
      <c r="I10" s="65"/>
      <c r="J10" s="42"/>
      <c r="K10" s="80"/>
      <c r="L10" s="80"/>
      <c r="M10" s="80"/>
      <c r="N10" s="80"/>
    </row>
    <row r="11" spans="1:14" ht="15.75" customHeight="1">
      <c r="A11" s="63"/>
      <c r="B11" s="64"/>
      <c r="C11" s="64"/>
      <c r="D11" s="64"/>
      <c r="E11" s="64"/>
      <c r="F11" s="64"/>
      <c r="G11" s="64"/>
      <c r="H11" s="64"/>
      <c r="I11" s="65"/>
      <c r="J11" s="42"/>
      <c r="K11" s="80"/>
      <c r="L11" s="80"/>
      <c r="M11" s="80"/>
      <c r="N11" s="80"/>
    </row>
    <row r="12" spans="1:14" ht="15.75" customHeight="1">
      <c r="A12" s="63"/>
      <c r="B12" s="64"/>
      <c r="C12" s="64"/>
      <c r="D12" s="64"/>
      <c r="E12" s="64"/>
      <c r="F12" s="64"/>
      <c r="G12" s="64"/>
      <c r="H12" s="64"/>
      <c r="I12" s="65"/>
      <c r="J12" s="42"/>
      <c r="K12" s="80"/>
      <c r="L12" s="80"/>
      <c r="M12" s="80"/>
      <c r="N12" s="80"/>
    </row>
    <row r="13" spans="1:14" ht="15.75" customHeight="1">
      <c r="A13" s="63"/>
      <c r="B13" s="64"/>
      <c r="C13" s="64"/>
      <c r="D13" s="64"/>
      <c r="E13" s="64"/>
      <c r="F13" s="64"/>
      <c r="G13" s="64"/>
      <c r="H13" s="64"/>
      <c r="I13" s="65"/>
      <c r="J13" s="42"/>
      <c r="K13" s="80"/>
      <c r="L13" s="80"/>
      <c r="M13" s="80"/>
      <c r="N13" s="80"/>
    </row>
    <row r="14" spans="1:14" ht="15.75" customHeight="1">
      <c r="A14" s="63"/>
      <c r="B14" s="64"/>
      <c r="C14" s="64"/>
      <c r="D14" s="64"/>
      <c r="E14" s="64"/>
      <c r="F14" s="64"/>
      <c r="G14" s="64"/>
      <c r="H14" s="64"/>
      <c r="I14" s="65"/>
      <c r="J14" s="42"/>
      <c r="K14" s="80"/>
      <c r="L14" s="80"/>
      <c r="M14" s="80"/>
      <c r="N14" s="80"/>
    </row>
    <row r="15" spans="1:14" ht="15.75" customHeight="1">
      <c r="A15" s="63"/>
      <c r="B15" s="64"/>
      <c r="C15" s="64"/>
      <c r="D15" s="64"/>
      <c r="E15" s="64"/>
      <c r="F15" s="64"/>
      <c r="G15" s="64"/>
      <c r="H15" s="64"/>
      <c r="I15" s="65"/>
      <c r="J15" s="42"/>
      <c r="K15" s="42"/>
      <c r="L15" s="42"/>
      <c r="M15" s="42"/>
      <c r="N15" s="42"/>
    </row>
    <row r="16" spans="1:14" ht="15.75" customHeight="1">
      <c r="A16" s="63"/>
      <c r="B16" s="64"/>
      <c r="C16" s="64"/>
      <c r="D16" s="64"/>
      <c r="E16" s="64"/>
      <c r="F16" s="64"/>
      <c r="G16" s="64"/>
      <c r="H16" s="64"/>
      <c r="I16" s="65"/>
      <c r="J16" s="42"/>
      <c r="K16" s="42"/>
      <c r="L16" s="42"/>
      <c r="M16" s="42"/>
      <c r="N16" s="42"/>
    </row>
    <row r="17" spans="1:14" ht="15.75" customHeight="1">
      <c r="A17" s="63"/>
      <c r="B17" s="64"/>
      <c r="C17" s="64"/>
      <c r="D17" s="64"/>
      <c r="E17" s="64"/>
      <c r="F17" s="64"/>
      <c r="G17" s="64"/>
      <c r="H17" s="64"/>
      <c r="I17" s="65"/>
      <c r="J17" s="42"/>
      <c r="K17" s="42"/>
      <c r="L17" s="42"/>
      <c r="M17" s="42"/>
      <c r="N17" s="42"/>
    </row>
    <row r="18" spans="1:14">
      <c r="A18" s="63"/>
      <c r="B18" s="64"/>
      <c r="C18" s="64"/>
      <c r="D18" s="64"/>
      <c r="E18" s="64"/>
      <c r="F18" s="64"/>
      <c r="G18" s="64"/>
      <c r="H18" s="64"/>
      <c r="I18" s="65"/>
      <c r="J18" s="42"/>
      <c r="K18" s="42"/>
      <c r="L18" s="42"/>
      <c r="M18" s="42"/>
      <c r="N18" s="42"/>
    </row>
    <row r="19" spans="1:14">
      <c r="A19" s="63"/>
      <c r="B19" s="64"/>
      <c r="C19" s="64"/>
      <c r="D19" s="64"/>
      <c r="E19" s="64"/>
      <c r="F19" s="64"/>
      <c r="G19" s="64"/>
      <c r="H19" s="64"/>
      <c r="I19" s="65"/>
      <c r="J19" s="42"/>
      <c r="K19" s="42"/>
      <c r="L19" s="42"/>
      <c r="M19" s="42"/>
      <c r="N19" s="42"/>
    </row>
    <row r="20" spans="1:14">
      <c r="A20" s="63"/>
      <c r="B20" s="64"/>
      <c r="C20" s="64"/>
      <c r="D20" s="64"/>
      <c r="E20" s="64"/>
      <c r="F20" s="64"/>
      <c r="G20" s="64"/>
      <c r="H20" s="64"/>
      <c r="I20" s="65"/>
      <c r="J20" s="42"/>
      <c r="K20" s="42"/>
      <c r="L20" s="42"/>
      <c r="M20" s="42"/>
      <c r="N20" s="42"/>
    </row>
    <row r="21" spans="1:14">
      <c r="A21" s="63"/>
      <c r="B21" s="64"/>
      <c r="C21" s="64"/>
      <c r="D21" s="64"/>
      <c r="E21" s="64"/>
      <c r="F21" s="64"/>
      <c r="G21" s="64"/>
      <c r="H21" s="64"/>
      <c r="I21" s="65"/>
      <c r="J21" s="42"/>
      <c r="K21" s="42"/>
      <c r="L21" s="42"/>
      <c r="M21" s="42"/>
      <c r="N21" s="42"/>
    </row>
    <row r="22" spans="1:14" ht="15.4" customHeight="1">
      <c r="A22" s="63"/>
      <c r="B22" s="64"/>
      <c r="C22" s="64"/>
      <c r="D22" s="64"/>
      <c r="E22" s="64"/>
      <c r="F22" s="64"/>
      <c r="G22" s="64"/>
      <c r="H22" s="64"/>
      <c r="I22" s="65"/>
      <c r="J22" s="42"/>
      <c r="K22" s="43"/>
      <c r="L22" s="43"/>
      <c r="M22" s="43"/>
      <c r="N22" s="43"/>
    </row>
    <row r="23" spans="1:14">
      <c r="A23" s="63"/>
      <c r="B23" s="64"/>
      <c r="C23" s="64"/>
      <c r="D23" s="64"/>
      <c r="E23" s="64"/>
      <c r="F23" s="64"/>
      <c r="G23" s="64"/>
      <c r="H23" s="64"/>
      <c r="I23" s="65"/>
      <c r="J23" s="42"/>
      <c r="K23" s="43"/>
      <c r="L23" s="43"/>
      <c r="M23" s="43"/>
      <c r="N23" s="43"/>
    </row>
    <row r="24" spans="1:14">
      <c r="A24" s="63"/>
      <c r="B24" s="64"/>
      <c r="C24" s="64"/>
      <c r="D24" s="64"/>
      <c r="E24" s="64"/>
      <c r="F24" s="64"/>
      <c r="G24" s="64"/>
      <c r="H24" s="64"/>
      <c r="I24" s="65"/>
      <c r="J24" s="42"/>
      <c r="K24" s="43"/>
      <c r="L24" s="43"/>
      <c r="M24" s="43"/>
      <c r="N24" s="43"/>
    </row>
    <row r="25" spans="1:14">
      <c r="A25" s="63"/>
      <c r="B25" s="64"/>
      <c r="C25" s="64"/>
      <c r="D25" s="64"/>
      <c r="E25" s="64"/>
      <c r="F25" s="64"/>
      <c r="G25" s="64"/>
      <c r="H25" s="64"/>
      <c r="I25" s="65"/>
      <c r="J25" s="42"/>
      <c r="K25" s="43"/>
      <c r="L25" s="43"/>
      <c r="M25" s="43"/>
      <c r="N25" s="43"/>
    </row>
    <row r="26" spans="1:14">
      <c r="A26" s="63"/>
      <c r="B26" s="64"/>
      <c r="C26" s="64"/>
      <c r="D26" s="64"/>
      <c r="E26" s="64"/>
      <c r="F26" s="64"/>
      <c r="G26" s="64"/>
      <c r="H26" s="64"/>
      <c r="I26" s="65"/>
      <c r="J26" s="42"/>
      <c r="K26" s="43"/>
      <c r="L26" s="43"/>
      <c r="M26" s="43"/>
      <c r="N26" s="43"/>
    </row>
    <row r="27" spans="1:14">
      <c r="A27" s="66"/>
      <c r="B27" s="67"/>
      <c r="C27" s="67"/>
      <c r="D27" s="67"/>
      <c r="E27" s="67"/>
      <c r="F27" s="67"/>
      <c r="G27" s="67"/>
      <c r="H27" s="67"/>
      <c r="I27" s="68"/>
      <c r="J27" s="42"/>
      <c r="K27" s="43"/>
      <c r="L27" s="43"/>
      <c r="M27" s="43"/>
      <c r="N27" s="43"/>
    </row>
    <row r="28" spans="1:14">
      <c r="A28" s="42"/>
      <c r="B28" s="42"/>
      <c r="C28" s="42"/>
      <c r="D28" s="42"/>
      <c r="E28" s="42"/>
      <c r="F28" s="42"/>
      <c r="G28" s="42"/>
      <c r="H28" s="42"/>
      <c r="I28" s="42"/>
      <c r="J28" s="42"/>
      <c r="K28" s="43"/>
      <c r="L28" s="43"/>
      <c r="M28" s="43"/>
      <c r="N28" s="43"/>
    </row>
    <row r="29" spans="1:14" ht="15.75">
      <c r="A29" s="129" t="s">
        <v>146</v>
      </c>
      <c r="B29" s="130"/>
      <c r="C29" s="130"/>
      <c r="D29" s="130"/>
      <c r="E29" s="130"/>
      <c r="F29" s="130"/>
      <c r="G29" s="130"/>
      <c r="H29" s="130"/>
      <c r="I29" s="131"/>
      <c r="J29" s="42"/>
      <c r="K29" s="43"/>
      <c r="L29" s="43"/>
      <c r="M29" s="43"/>
      <c r="N29" s="43"/>
    </row>
    <row r="30" spans="1:14">
      <c r="A30" s="132"/>
      <c r="B30" s="133"/>
      <c r="C30" s="133"/>
      <c r="D30" s="133"/>
      <c r="E30" s="133"/>
      <c r="F30" s="133"/>
      <c r="G30" s="133"/>
      <c r="H30" s="133"/>
      <c r="I30" s="134"/>
      <c r="J30" s="42"/>
      <c r="K30" s="43"/>
      <c r="L30" s="43"/>
      <c r="M30" s="43"/>
      <c r="N30" s="43"/>
    </row>
    <row r="31" spans="1:14" ht="15" customHeight="1">
      <c r="A31" s="60" t="s">
        <v>147</v>
      </c>
      <c r="B31" s="61"/>
      <c r="C31" s="61"/>
      <c r="D31" s="61"/>
      <c r="E31" s="61"/>
      <c r="F31" s="61"/>
      <c r="G31" s="61"/>
      <c r="H31" s="61"/>
      <c r="I31" s="62"/>
      <c r="J31" s="42"/>
      <c r="K31" s="80" t="s">
        <v>148</v>
      </c>
      <c r="L31" s="80"/>
      <c r="M31" s="80"/>
      <c r="N31" s="80"/>
    </row>
    <row r="32" spans="1:14">
      <c r="A32" s="63"/>
      <c r="B32" s="64"/>
      <c r="C32" s="64"/>
      <c r="D32" s="64"/>
      <c r="E32" s="64"/>
      <c r="F32" s="64"/>
      <c r="G32" s="64"/>
      <c r="H32" s="64"/>
      <c r="I32" s="65"/>
      <c r="J32" s="42"/>
      <c r="K32" s="80"/>
      <c r="L32" s="80"/>
      <c r="M32" s="80"/>
      <c r="N32" s="80"/>
    </row>
    <row r="33" spans="1:14">
      <c r="A33" s="63"/>
      <c r="B33" s="64"/>
      <c r="C33" s="64"/>
      <c r="D33" s="64"/>
      <c r="E33" s="64"/>
      <c r="F33" s="64"/>
      <c r="G33" s="64"/>
      <c r="H33" s="64"/>
      <c r="I33" s="65"/>
      <c r="J33" s="42"/>
      <c r="K33" s="80"/>
      <c r="L33" s="80"/>
      <c r="M33" s="80"/>
      <c r="N33" s="80"/>
    </row>
    <row r="34" spans="1:14">
      <c r="A34" s="63"/>
      <c r="B34" s="64"/>
      <c r="C34" s="64"/>
      <c r="D34" s="64"/>
      <c r="E34" s="64"/>
      <c r="F34" s="64"/>
      <c r="G34" s="64"/>
      <c r="H34" s="64"/>
      <c r="I34" s="65"/>
      <c r="J34" s="42"/>
      <c r="K34" s="80"/>
      <c r="L34" s="80"/>
      <c r="M34" s="80"/>
      <c r="N34" s="80"/>
    </row>
    <row r="35" spans="1:14">
      <c r="A35" s="63"/>
      <c r="B35" s="64"/>
      <c r="C35" s="64"/>
      <c r="D35" s="64"/>
      <c r="E35" s="64"/>
      <c r="F35" s="64"/>
      <c r="G35" s="64"/>
      <c r="H35" s="64"/>
      <c r="I35" s="65"/>
      <c r="J35" s="42"/>
      <c r="K35" s="80"/>
      <c r="L35" s="80"/>
      <c r="M35" s="80"/>
      <c r="N35" s="80"/>
    </row>
    <row r="36" spans="1:14">
      <c r="A36" s="63"/>
      <c r="B36" s="64"/>
      <c r="C36" s="64"/>
      <c r="D36" s="64"/>
      <c r="E36" s="64"/>
      <c r="F36" s="64"/>
      <c r="G36" s="64"/>
      <c r="H36" s="64"/>
      <c r="I36" s="65"/>
      <c r="J36" s="42"/>
      <c r="K36" s="80"/>
      <c r="L36" s="80"/>
      <c r="M36" s="80"/>
      <c r="N36" s="80"/>
    </row>
    <row r="37" spans="1:14">
      <c r="A37" s="63"/>
      <c r="B37" s="64"/>
      <c r="C37" s="64"/>
      <c r="D37" s="64"/>
      <c r="E37" s="64"/>
      <c r="F37" s="64"/>
      <c r="G37" s="64"/>
      <c r="H37" s="64"/>
      <c r="I37" s="65"/>
      <c r="J37" s="42"/>
      <c r="K37" s="80"/>
      <c r="L37" s="80"/>
      <c r="M37" s="80"/>
      <c r="N37" s="80"/>
    </row>
    <row r="38" spans="1:14" ht="14.25" customHeight="1">
      <c r="A38" s="63"/>
      <c r="B38" s="64"/>
      <c r="C38" s="64"/>
      <c r="D38" s="64"/>
      <c r="E38" s="64"/>
      <c r="F38" s="64"/>
      <c r="G38" s="64"/>
      <c r="H38" s="64"/>
      <c r="I38" s="65"/>
      <c r="J38" s="42"/>
      <c r="K38" s="80"/>
      <c r="L38" s="80"/>
      <c r="M38" s="80"/>
      <c r="N38" s="80"/>
    </row>
    <row r="39" spans="1:14">
      <c r="A39" s="63"/>
      <c r="B39" s="64"/>
      <c r="C39" s="64"/>
      <c r="D39" s="64"/>
      <c r="E39" s="64"/>
      <c r="F39" s="64"/>
      <c r="G39" s="64"/>
      <c r="H39" s="64"/>
      <c r="I39" s="65"/>
      <c r="J39" s="42"/>
      <c r="K39" s="80"/>
      <c r="L39" s="80"/>
      <c r="M39" s="80"/>
      <c r="N39" s="80"/>
    </row>
    <row r="40" spans="1:14">
      <c r="A40" s="63"/>
      <c r="B40" s="64"/>
      <c r="C40" s="64"/>
      <c r="D40" s="64"/>
      <c r="E40" s="64"/>
      <c r="F40" s="64"/>
      <c r="G40" s="64"/>
      <c r="H40" s="64"/>
      <c r="I40" s="65"/>
      <c r="J40" s="42"/>
      <c r="K40" s="80"/>
      <c r="L40" s="80"/>
      <c r="M40" s="80"/>
      <c r="N40" s="80"/>
    </row>
    <row r="41" spans="1:14">
      <c r="A41" s="63"/>
      <c r="B41" s="64"/>
      <c r="C41" s="64"/>
      <c r="D41" s="64"/>
      <c r="E41" s="64"/>
      <c r="F41" s="64"/>
      <c r="G41" s="64"/>
      <c r="H41" s="64"/>
      <c r="I41" s="65"/>
      <c r="J41" s="42"/>
      <c r="K41" s="42"/>
      <c r="L41" s="42"/>
      <c r="M41" s="42"/>
      <c r="N41" s="42"/>
    </row>
    <row r="42" spans="1:14">
      <c r="A42" s="63"/>
      <c r="B42" s="64"/>
      <c r="C42" s="64"/>
      <c r="D42" s="64"/>
      <c r="E42" s="64"/>
      <c r="F42" s="64"/>
      <c r="G42" s="64"/>
      <c r="H42" s="64"/>
      <c r="I42" s="65"/>
      <c r="J42" s="42"/>
      <c r="K42" s="42"/>
      <c r="L42" s="42"/>
      <c r="M42" s="42"/>
      <c r="N42" s="42"/>
    </row>
    <row r="43" spans="1:14">
      <c r="A43" s="63"/>
      <c r="B43" s="64"/>
      <c r="C43" s="64"/>
      <c r="D43" s="64"/>
      <c r="E43" s="64"/>
      <c r="F43" s="64"/>
      <c r="G43" s="64"/>
      <c r="H43" s="64"/>
      <c r="I43" s="65"/>
      <c r="J43" s="42"/>
      <c r="K43" s="42"/>
      <c r="L43" s="42"/>
      <c r="M43" s="42"/>
      <c r="N43" s="42"/>
    </row>
    <row r="44" spans="1:14">
      <c r="A44" s="63"/>
      <c r="B44" s="64"/>
      <c r="C44" s="64"/>
      <c r="D44" s="64"/>
      <c r="E44" s="64"/>
      <c r="F44" s="64"/>
      <c r="G44" s="64"/>
      <c r="H44" s="64"/>
      <c r="I44" s="65"/>
      <c r="J44" s="42"/>
      <c r="K44" s="42"/>
      <c r="L44" s="42"/>
      <c r="M44" s="42"/>
      <c r="N44" s="42"/>
    </row>
    <row r="45" spans="1:14">
      <c r="A45" s="63"/>
      <c r="B45" s="64"/>
      <c r="C45" s="64"/>
      <c r="D45" s="64"/>
      <c r="E45" s="64"/>
      <c r="F45" s="64"/>
      <c r="G45" s="64"/>
      <c r="H45" s="64"/>
      <c r="I45" s="65"/>
      <c r="J45" s="42"/>
      <c r="K45" s="42"/>
      <c r="L45" s="42"/>
      <c r="M45" s="42"/>
      <c r="N45" s="42"/>
    </row>
    <row r="46" spans="1:14">
      <c r="A46" s="63"/>
      <c r="B46" s="64"/>
      <c r="C46" s="64"/>
      <c r="D46" s="64"/>
      <c r="E46" s="64"/>
      <c r="F46" s="64"/>
      <c r="G46" s="64"/>
      <c r="H46" s="64"/>
      <c r="I46" s="65"/>
      <c r="J46" s="42"/>
      <c r="K46" s="42"/>
      <c r="L46" s="42"/>
      <c r="M46" s="42"/>
      <c r="N46" s="42"/>
    </row>
    <row r="47" spans="1:14">
      <c r="A47" s="63"/>
      <c r="B47" s="64"/>
      <c r="C47" s="64"/>
      <c r="D47" s="64"/>
      <c r="E47" s="64"/>
      <c r="F47" s="64"/>
      <c r="G47" s="64"/>
      <c r="H47" s="64"/>
      <c r="I47" s="65"/>
      <c r="J47" s="42"/>
      <c r="K47" s="42"/>
      <c r="L47" s="42"/>
      <c r="M47" s="42"/>
      <c r="N47" s="42"/>
    </row>
    <row r="48" spans="1:14">
      <c r="A48" s="63"/>
      <c r="B48" s="64"/>
      <c r="C48" s="64"/>
      <c r="D48" s="64"/>
      <c r="E48" s="64"/>
      <c r="F48" s="64"/>
      <c r="G48" s="64"/>
      <c r="H48" s="64"/>
      <c r="I48" s="65"/>
      <c r="J48" s="42"/>
      <c r="K48" s="42"/>
      <c r="L48" s="42"/>
      <c r="M48" s="42"/>
      <c r="N48" s="42"/>
    </row>
    <row r="49" spans="1:9">
      <c r="A49" s="63"/>
      <c r="B49" s="64"/>
      <c r="C49" s="64"/>
      <c r="D49" s="64"/>
      <c r="E49" s="64"/>
      <c r="F49" s="64"/>
      <c r="G49" s="64"/>
      <c r="H49" s="64"/>
      <c r="I49" s="65"/>
    </row>
    <row r="50" spans="1:9">
      <c r="A50" s="63"/>
      <c r="B50" s="64"/>
      <c r="C50" s="64"/>
      <c r="D50" s="64"/>
      <c r="E50" s="64"/>
      <c r="F50" s="64"/>
      <c r="G50" s="64"/>
      <c r="H50" s="64"/>
      <c r="I50" s="65"/>
    </row>
    <row r="51" spans="1:9">
      <c r="A51" s="63"/>
      <c r="B51" s="64"/>
      <c r="C51" s="64"/>
      <c r="D51" s="64"/>
      <c r="E51" s="64"/>
      <c r="F51" s="64"/>
      <c r="G51" s="64"/>
      <c r="H51" s="64"/>
      <c r="I51" s="65"/>
    </row>
    <row r="52" spans="1:9">
      <c r="A52" s="66"/>
      <c r="B52" s="67"/>
      <c r="C52" s="67"/>
      <c r="D52" s="67"/>
      <c r="E52" s="67"/>
      <c r="F52" s="67"/>
      <c r="G52" s="67"/>
      <c r="H52" s="67"/>
      <c r="I52" s="68"/>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25" workbookViewId="0">
      <selection activeCell="Q46" sqref="Q46"/>
    </sheetView>
  </sheetViews>
  <sheetFormatPr defaultColWidth="9.28515625" defaultRowHeight="15"/>
  <cols>
    <col min="1" max="7" width="9.28515625" style="2"/>
    <col min="8" max="8" width="11.28515625" style="2" bestFit="1" customWidth="1"/>
    <col min="9" max="16384" width="9.28515625" style="2"/>
  </cols>
  <sheetData>
    <row r="1" spans="1:10" ht="15.75">
      <c r="A1" s="13">
        <f>+'Cover Page'!C39</f>
        <v>2022</v>
      </c>
      <c r="B1" s="14" t="s">
        <v>149</v>
      </c>
      <c r="C1" s="14"/>
      <c r="D1" s="14"/>
      <c r="E1" s="14"/>
      <c r="F1" s="14"/>
      <c r="G1" s="14"/>
      <c r="H1" s="14"/>
      <c r="I1" s="14"/>
      <c r="J1" s="14"/>
    </row>
    <row r="2" spans="1:10" ht="8.25" customHeight="1">
      <c r="A2" s="42"/>
      <c r="B2" s="42"/>
      <c r="C2" s="42"/>
      <c r="D2" s="42"/>
      <c r="E2" s="42"/>
      <c r="F2" s="42"/>
      <c r="G2" s="42"/>
      <c r="H2" s="42"/>
      <c r="I2" s="42"/>
      <c r="J2" s="42"/>
    </row>
    <row r="3" spans="1:10" s="3" customFormat="1" ht="14.25">
      <c r="A3" s="70" t="str">
        <f>+'Cover Page'!B31</f>
        <v>Permit EPR/NP3837NV</v>
      </c>
      <c r="B3" s="70"/>
      <c r="C3" s="70"/>
      <c r="D3" s="70"/>
      <c r="E3" s="70"/>
      <c r="F3" s="3" t="s">
        <v>150</v>
      </c>
      <c r="G3" s="71">
        <f>+'Cover Page'!B37:I37</f>
        <v>0</v>
      </c>
      <c r="H3" s="71"/>
      <c r="I3" s="71"/>
    </row>
    <row r="4" spans="1:10" s="3" customFormat="1" ht="14.25">
      <c r="A4" s="3" t="s">
        <v>151</v>
      </c>
      <c r="B4" s="70" t="str">
        <f>+'Cover Page'!B33:I33</f>
        <v>Energy Works Hull</v>
      </c>
      <c r="C4" s="70"/>
      <c r="D4" s="70"/>
      <c r="E4" s="70"/>
      <c r="F4" s="3" t="s">
        <v>152</v>
      </c>
      <c r="G4" s="3" t="s">
        <v>153</v>
      </c>
    </row>
    <row r="5" spans="1:10" s="3" customFormat="1" ht="6.75" customHeight="1"/>
    <row r="6" spans="1:10" s="3" customFormat="1" ht="15.75" customHeight="1">
      <c r="A6" s="3" t="s">
        <v>154</v>
      </c>
      <c r="D6" s="72">
        <v>44562</v>
      </c>
      <c r="E6" s="72"/>
      <c r="F6" s="15" t="s">
        <v>155</v>
      </c>
      <c r="G6" s="72">
        <v>44926</v>
      </c>
      <c r="H6" s="72"/>
    </row>
    <row r="7" spans="1:10" s="3" customFormat="1" ht="7.5" customHeight="1"/>
    <row r="8" spans="1:10" s="3" customFormat="1" ht="15.75">
      <c r="A8" s="6">
        <f>+A1</f>
        <v>2022</v>
      </c>
      <c r="B8" s="14" t="s">
        <v>156</v>
      </c>
      <c r="C8"/>
      <c r="D8"/>
      <c r="E8"/>
      <c r="F8"/>
      <c r="G8"/>
    </row>
    <row r="9" spans="1:10" s="3" customFormat="1" ht="28.5" customHeight="1">
      <c r="A9" s="223" t="s">
        <v>157</v>
      </c>
      <c r="B9" s="223"/>
      <c r="C9" s="223" t="s">
        <v>158</v>
      </c>
      <c r="D9" s="223"/>
      <c r="E9" s="223" t="s">
        <v>159</v>
      </c>
      <c r="F9" s="223"/>
      <c r="G9" s="223" t="s">
        <v>160</v>
      </c>
      <c r="H9" s="223"/>
      <c r="I9" s="223" t="s">
        <v>161</v>
      </c>
      <c r="J9" s="223"/>
    </row>
    <row r="10" spans="1:10" s="3" customFormat="1" ht="14.25" customHeight="1">
      <c r="A10" s="224" t="s">
        <v>162</v>
      </c>
      <c r="B10" s="224"/>
      <c r="C10" s="224"/>
      <c r="D10" s="224"/>
      <c r="E10" s="224"/>
      <c r="F10" s="224"/>
      <c r="G10" s="224"/>
      <c r="H10" s="224"/>
      <c r="I10" s="224"/>
      <c r="J10" s="224"/>
    </row>
    <row r="11" spans="1:10" s="3" customFormat="1" ht="14.25" customHeight="1">
      <c r="A11" s="224" t="s">
        <v>163</v>
      </c>
      <c r="B11" s="224"/>
      <c r="C11" s="225" t="s">
        <v>164</v>
      </c>
      <c r="D11" s="225"/>
      <c r="E11" s="226"/>
      <c r="F11" s="226"/>
      <c r="G11" s="226">
        <f>'Operational Data'!G34</f>
        <v>5931.6100000000006</v>
      </c>
      <c r="H11" s="226"/>
      <c r="I11" s="227">
        <f>IF((E11+G11)&gt;0,(E11+G11)/'Operational Data'!$G$21, "-")</f>
        <v>0.11421304598224576</v>
      </c>
      <c r="J11" s="227"/>
    </row>
    <row r="12" spans="1:10" s="3" customFormat="1" ht="14.25" customHeight="1">
      <c r="A12" s="224" t="s">
        <v>165</v>
      </c>
      <c r="B12" s="224"/>
      <c r="C12" s="225" t="s">
        <v>166</v>
      </c>
      <c r="D12" s="225"/>
      <c r="E12" s="226"/>
      <c r="F12" s="226"/>
      <c r="G12" s="226">
        <f>'Operational Data'!G35</f>
        <v>578.17999999999995</v>
      </c>
      <c r="H12" s="226"/>
      <c r="I12" s="227">
        <f>IF((E12+G12)&gt;0,(E12+G12)/'Operational Data'!$G$21, "-")</f>
        <v>1.1132845707323112E-2</v>
      </c>
      <c r="J12" s="227"/>
    </row>
    <row r="13" spans="1:10" s="3" customFormat="1" ht="14.25" customHeight="1">
      <c r="A13" s="224" t="s">
        <v>167</v>
      </c>
      <c r="B13" s="224"/>
      <c r="C13" s="225" t="s">
        <v>168</v>
      </c>
      <c r="D13" s="225"/>
      <c r="E13" s="226"/>
      <c r="F13" s="226"/>
      <c r="G13" s="226">
        <f>'Operational Data'!G37</f>
        <v>1343.0200000000002</v>
      </c>
      <c r="H13" s="226"/>
      <c r="I13" s="227">
        <f>IF((E13+G13)&gt;0,(E13+G13)/'Operational Data'!$G$21, "-")</f>
        <v>2.585982642403592E-2</v>
      </c>
      <c r="J13" s="227"/>
    </row>
    <row r="14" spans="1:10" s="3" customFormat="1" ht="14.25" customHeight="1">
      <c r="A14" s="228"/>
      <c r="B14" s="228"/>
      <c r="C14" s="225"/>
      <c r="D14" s="225"/>
      <c r="E14" s="226"/>
      <c r="F14" s="226"/>
      <c r="G14" s="226"/>
      <c r="H14" s="226"/>
      <c r="I14" s="227" t="str">
        <f>IF((E14+G14)&gt;0,(E14+G14)/'Operational Data'!$G$21, "-")</f>
        <v>-</v>
      </c>
      <c r="J14" s="227"/>
    </row>
    <row r="15" spans="1:10" s="3" customFormat="1" ht="14.25" customHeight="1">
      <c r="A15" s="229" t="s">
        <v>169</v>
      </c>
      <c r="B15" s="229"/>
      <c r="C15" s="229"/>
      <c r="D15" s="229"/>
      <c r="E15" s="230">
        <f>SUM(E11:F14)</f>
        <v>0</v>
      </c>
      <c r="F15" s="230"/>
      <c r="G15" s="230">
        <f>SUM(G11:H14)</f>
        <v>7852.8100000000013</v>
      </c>
      <c r="H15" s="230"/>
      <c r="I15" s="227">
        <f>IF((E15+G15)&gt;0,(E15+G15)/'Operational Data'!$G$21, "-")</f>
        <v>0.15120571811360481</v>
      </c>
      <c r="J15" s="227"/>
    </row>
    <row r="16" spans="1:10" s="3" customFormat="1" ht="14.25" customHeight="1">
      <c r="A16" s="231"/>
      <c r="B16" s="232"/>
      <c r="C16" s="232"/>
      <c r="D16" s="232"/>
      <c r="E16" s="233"/>
      <c r="F16" s="233"/>
      <c r="G16" s="233"/>
      <c r="H16" s="233"/>
      <c r="I16" s="234"/>
      <c r="J16" s="235"/>
    </row>
    <row r="17" spans="1:10" s="3" customFormat="1" ht="14.25" customHeight="1">
      <c r="A17" s="236" t="s">
        <v>170</v>
      </c>
      <c r="B17" s="236"/>
      <c r="C17" s="236"/>
      <c r="D17" s="236"/>
      <c r="E17" s="236"/>
      <c r="F17" s="236"/>
      <c r="G17" s="236"/>
      <c r="H17" s="236"/>
      <c r="I17" s="236"/>
      <c r="J17" s="236"/>
    </row>
    <row r="18" spans="1:10" ht="14.25" customHeight="1">
      <c r="A18" s="224" t="s">
        <v>171</v>
      </c>
      <c r="B18" s="224"/>
      <c r="C18" s="225" t="s">
        <v>164</v>
      </c>
      <c r="D18" s="225"/>
      <c r="E18" s="226">
        <f>'Operational Data'!G36</f>
        <v>2694.26</v>
      </c>
      <c r="F18" s="226"/>
      <c r="G18" s="226"/>
      <c r="H18" s="226"/>
      <c r="I18" s="227">
        <f>IF((E18+G18)&gt;0,(E18+G18)/'Operational Data'!$G$21, "-")</f>
        <v>5.187792880316229E-2</v>
      </c>
      <c r="J18" s="227"/>
    </row>
    <row r="19" spans="1:10" s="3" customFormat="1" ht="14.25" customHeight="1">
      <c r="A19" s="224" t="s">
        <v>172</v>
      </c>
      <c r="B19" s="224"/>
      <c r="C19" s="225" t="s">
        <v>166</v>
      </c>
      <c r="D19" s="225"/>
      <c r="E19" s="226"/>
      <c r="F19" s="226"/>
      <c r="G19" s="226">
        <f>'Operational Data'!G38</f>
        <v>249.64</v>
      </c>
      <c r="H19" s="226"/>
      <c r="I19" s="227">
        <f>IF((E19+G19)&gt;0,(E19+G19)/'Operational Data'!$G$21, "-")</f>
        <v>4.8068137991216257E-3</v>
      </c>
      <c r="J19" s="227"/>
    </row>
    <row r="20" spans="1:10" s="3" customFormat="1" ht="14.25" customHeight="1">
      <c r="A20" s="224" t="s">
        <v>173</v>
      </c>
      <c r="B20" s="224"/>
      <c r="C20" s="225" t="s">
        <v>166</v>
      </c>
      <c r="D20" s="225"/>
      <c r="E20" s="226"/>
      <c r="F20" s="226"/>
      <c r="G20" s="226">
        <f>'Operational Data'!G39</f>
        <v>295.44</v>
      </c>
      <c r="H20" s="226"/>
      <c r="I20" s="227">
        <f>IF((E20+G20)&gt;0,(E20+G20)/'Operational Data'!$G$21, "-")</f>
        <v>5.6886919917180472E-3</v>
      </c>
      <c r="J20" s="227"/>
    </row>
    <row r="21" spans="1:10" s="3" customFormat="1" ht="14.25" customHeight="1">
      <c r="A21" s="237" t="s">
        <v>174</v>
      </c>
      <c r="B21" s="237"/>
      <c r="C21" s="225" t="s">
        <v>175</v>
      </c>
      <c r="D21" s="225"/>
      <c r="E21" s="226">
        <f>318.44+15.72+262.31+594.56+236.2+490.26+200.92</f>
        <v>2118.41</v>
      </c>
      <c r="F21" s="226"/>
      <c r="G21" s="226"/>
      <c r="H21" s="226"/>
      <c r="I21" s="227">
        <f>IF((E21+G21)&gt;0,(E21+G21)/'Operational Data'!$G$21, "-")</f>
        <v>4.0789947204763831E-2</v>
      </c>
      <c r="J21" s="227"/>
    </row>
    <row r="22" spans="1:10" s="3" customFormat="1" ht="14.25" customHeight="1">
      <c r="A22" s="237" t="s">
        <v>176</v>
      </c>
      <c r="B22" s="237"/>
      <c r="C22" s="225" t="s">
        <v>177</v>
      </c>
      <c r="D22" s="225"/>
      <c r="E22" s="226">
        <f>18.82+19.6+24.28+60.24</f>
        <v>122.94</v>
      </c>
      <c r="F22" s="226"/>
      <c r="G22" s="226"/>
      <c r="H22" s="226"/>
      <c r="I22" s="227">
        <f>IF((E22+G22)&gt;0,(E22+G22)/'Operational Data'!$G$21, "-")</f>
        <v>2.3672075327031434E-3</v>
      </c>
      <c r="J22" s="227"/>
    </row>
    <row r="23" spans="1:10" s="3" customFormat="1" ht="14.25" customHeight="1">
      <c r="A23" s="237" t="s">
        <v>178</v>
      </c>
      <c r="B23" s="237"/>
      <c r="C23" s="237"/>
      <c r="D23" s="237"/>
      <c r="E23" s="230">
        <f>SUM(E18:F22)</f>
        <v>4935.6099999999997</v>
      </c>
      <c r="F23" s="230"/>
      <c r="G23" s="230">
        <f>SUM(G18:H22)</f>
        <v>545.07999999999993</v>
      </c>
      <c r="H23" s="230"/>
      <c r="I23" s="227">
        <f>IF((E23+G23)&gt;0,(E23+G23)/'Operational Data'!$G$21, "-")</f>
        <v>0.10553058933146893</v>
      </c>
      <c r="J23" s="227"/>
    </row>
    <row r="24" spans="1:10" s="3" customFormat="1" ht="14.25" customHeight="1">
      <c r="A24" s="238" t="s">
        <v>179</v>
      </c>
      <c r="B24" s="238"/>
      <c r="C24" s="238"/>
      <c r="D24" s="238"/>
      <c r="E24" s="239">
        <f>+E23+E15</f>
        <v>4935.6099999999997</v>
      </c>
      <c r="F24" s="239"/>
      <c r="G24" s="239">
        <f>+G23+G15</f>
        <v>8397.8900000000012</v>
      </c>
      <c r="H24" s="239"/>
      <c r="I24" s="240">
        <f>IF((E24+G24)&gt;0,(E24+G24)/'Operational Data'!$G$21, "-")</f>
        <v>0.2567363074450737</v>
      </c>
      <c r="J24" s="240"/>
    </row>
    <row r="25" spans="1:10" s="3" customFormat="1" ht="8.25" customHeight="1">
      <c r="A25" s="241"/>
      <c r="B25"/>
      <c r="C25"/>
      <c r="D25"/>
      <c r="E25"/>
      <c r="F25"/>
      <c r="G25"/>
    </row>
    <row r="26" spans="1:10" s="3" customFormat="1" ht="14.25" customHeight="1">
      <c r="A26" s="242" t="s">
        <v>180</v>
      </c>
      <c r="B26" s="242"/>
      <c r="C26" s="242"/>
      <c r="D26" s="242"/>
      <c r="E26" s="242"/>
      <c r="F26" s="242"/>
      <c r="G26" s="242"/>
      <c r="H26" s="242"/>
      <c r="I26" s="242"/>
      <c r="J26" s="242"/>
    </row>
    <row r="27" spans="1:10" s="3" customFormat="1" ht="14.25" customHeight="1">
      <c r="A27" s="243"/>
      <c r="B27" s="243"/>
      <c r="C27" s="243"/>
      <c r="D27" s="243"/>
      <c r="E27" s="243"/>
      <c r="F27" s="243"/>
      <c r="G27" s="243"/>
      <c r="H27" s="243"/>
      <c r="I27" s="243"/>
      <c r="J27" s="243"/>
    </row>
    <row r="28" spans="1:10" s="3" customFormat="1" ht="14.25" customHeight="1">
      <c r="A28" s="243"/>
      <c r="B28" s="243"/>
      <c r="C28" s="243"/>
      <c r="D28" s="243"/>
      <c r="E28" s="243"/>
      <c r="F28" s="243"/>
      <c r="G28" s="243"/>
      <c r="H28" s="243"/>
      <c r="I28" s="243"/>
      <c r="J28" s="243"/>
    </row>
    <row r="29" spans="1:10" s="3" customFormat="1" ht="14.25" customHeight="1">
      <c r="A29" s="243"/>
      <c r="B29" s="243"/>
      <c r="C29" s="243"/>
      <c r="D29" s="243"/>
      <c r="E29" s="243"/>
      <c r="F29" s="243"/>
      <c r="G29" s="243"/>
      <c r="H29" s="243"/>
      <c r="I29" s="243"/>
      <c r="J29" s="243"/>
    </row>
    <row r="30" spans="1:10" s="3" customFormat="1" ht="14.25" customHeight="1">
      <c r="A30" s="241"/>
      <c r="B30"/>
      <c r="C30"/>
      <c r="D30"/>
      <c r="E30"/>
      <c r="F30"/>
      <c r="G30"/>
    </row>
    <row r="31" spans="1:10" s="3" customFormat="1" ht="14.25" customHeight="1">
      <c r="A31" s="1">
        <f>+A1</f>
        <v>2022</v>
      </c>
      <c r="B31" s="14" t="s">
        <v>181</v>
      </c>
      <c r="C31" s="14"/>
      <c r="D31" s="14"/>
      <c r="E31" s="14"/>
      <c r="F31" s="14"/>
    </row>
    <row r="32" spans="1:10" s="3" customFormat="1" ht="24.75" customHeight="1">
      <c r="A32" s="244" t="s">
        <v>182</v>
      </c>
      <c r="B32" s="69"/>
      <c r="C32" s="69"/>
      <c r="D32" s="245"/>
      <c r="E32" s="246" t="s">
        <v>183</v>
      </c>
      <c r="F32" s="247"/>
      <c r="G32" s="17" t="s">
        <v>73</v>
      </c>
      <c r="H32" s="248" t="s">
        <v>184</v>
      </c>
      <c r="I32" s="249"/>
      <c r="J32" s="18" t="s">
        <v>73</v>
      </c>
    </row>
    <row r="33" spans="1:10" s="3" customFormat="1" ht="14.25" customHeight="1">
      <c r="A33" s="231" t="s">
        <v>115</v>
      </c>
      <c r="B33" s="232"/>
      <c r="C33" s="232"/>
      <c r="D33" s="250"/>
      <c r="E33" s="251">
        <f>+'Operational Data'!G42/1000</f>
        <v>91894.3</v>
      </c>
      <c r="F33" s="252"/>
      <c r="G33" s="253" t="s">
        <v>185</v>
      </c>
      <c r="H33" s="254">
        <f>IF(E33&gt;0,E33/'Operational Data'!$G$21,"-")</f>
        <v>1.7694231265046565</v>
      </c>
      <c r="I33" s="255"/>
      <c r="J33" s="253" t="s">
        <v>186</v>
      </c>
    </row>
    <row r="34" spans="1:10" s="3" customFormat="1" ht="14.25" customHeight="1">
      <c r="A34" s="231" t="s">
        <v>187</v>
      </c>
      <c r="B34" s="232"/>
      <c r="C34" s="232"/>
      <c r="D34" s="250"/>
      <c r="E34" s="251">
        <f>(+'Operational Data'!G43+'Operational Data'!G42)/1000</f>
        <v>91894.3</v>
      </c>
      <c r="F34" s="252"/>
      <c r="G34" s="253" t="s">
        <v>185</v>
      </c>
      <c r="H34" s="254">
        <f>IF(E34&gt;0,E34/'Operational Data'!$G$21,"-")</f>
        <v>1.7694231265046565</v>
      </c>
      <c r="I34" s="255"/>
      <c r="J34" s="253" t="s">
        <v>186</v>
      </c>
    </row>
    <row r="35" spans="1:10" s="3" customFormat="1" ht="14.25" customHeight="1">
      <c r="A35" s="231" t="s">
        <v>188</v>
      </c>
      <c r="B35" s="232"/>
      <c r="C35" s="232"/>
      <c r="D35" s="250"/>
      <c r="E35" s="251">
        <f>+'Operational Data'!G44</f>
        <v>0</v>
      </c>
      <c r="F35" s="252"/>
      <c r="G35" s="253" t="s">
        <v>189</v>
      </c>
      <c r="H35" s="254" t="str">
        <f>IF(E35&gt;0,E35/'Operational Data'!$G$21,"-")</f>
        <v>-</v>
      </c>
      <c r="I35" s="255"/>
      <c r="J35" s="253" t="s">
        <v>190</v>
      </c>
    </row>
    <row r="36" spans="1:10" s="3" customFormat="1" ht="14.25" customHeight="1">
      <c r="A36" s="231" t="s">
        <v>121</v>
      </c>
      <c r="B36" s="232"/>
      <c r="C36" s="232"/>
      <c r="D36" s="250"/>
      <c r="E36" s="251">
        <f>+'Operational Data'!G46</f>
        <v>92902</v>
      </c>
      <c r="F36" s="252"/>
      <c r="G36" s="253" t="s">
        <v>189</v>
      </c>
      <c r="H36" s="254">
        <f>IF(E36&gt;0,E36/'Operational Data'!$G$21,"-")</f>
        <v>1.7888263722400148</v>
      </c>
      <c r="I36" s="255"/>
      <c r="J36" s="253" t="s">
        <v>190</v>
      </c>
    </row>
    <row r="37" spans="1:10" s="3" customFormat="1" ht="14.25" customHeight="1">
      <c r="A37" s="231" t="s">
        <v>191</v>
      </c>
      <c r="B37" s="232"/>
      <c r="C37" s="232"/>
      <c r="D37" s="250"/>
      <c r="E37" s="251">
        <f>+'Operational Data'!G47</f>
        <v>1684782.18</v>
      </c>
      <c r="F37" s="252"/>
      <c r="G37" s="253" t="s">
        <v>189</v>
      </c>
      <c r="H37" s="254">
        <f>IF(E37&gt;0,E37/'Operational Data'!$G$21,"-")</f>
        <v>32.440451175044927</v>
      </c>
      <c r="I37" s="255"/>
      <c r="J37" s="253" t="s">
        <v>190</v>
      </c>
    </row>
    <row r="38" spans="1:10" s="3" customFormat="1" ht="14.25" customHeight="1">
      <c r="A38" s="256"/>
      <c r="B38" s="257"/>
      <c r="C38" s="257"/>
      <c r="D38" s="258"/>
      <c r="E38" s="259"/>
      <c r="F38" s="260"/>
      <c r="G38" s="261"/>
      <c r="H38" s="262"/>
      <c r="I38" s="263"/>
      <c r="J38" s="261"/>
    </row>
    <row r="39" spans="1:10" s="3" customFormat="1" ht="14.25" customHeight="1">
      <c r="A39" s="242" t="s">
        <v>180</v>
      </c>
      <c r="B39" s="242"/>
      <c r="C39" s="242"/>
      <c r="D39" s="242"/>
      <c r="E39" s="242"/>
      <c r="F39" s="242"/>
      <c r="G39" s="242"/>
      <c r="H39" s="242"/>
      <c r="I39" s="242"/>
      <c r="J39" s="242"/>
    </row>
    <row r="40" spans="1:10" s="3" customFormat="1" ht="14.25" customHeight="1">
      <c r="A40" s="243"/>
      <c r="B40" s="243"/>
      <c r="C40" s="243"/>
      <c r="D40" s="243"/>
      <c r="E40" s="243"/>
      <c r="F40" s="243"/>
      <c r="G40" s="243"/>
      <c r="H40" s="243"/>
      <c r="I40" s="243"/>
      <c r="J40" s="243"/>
    </row>
    <row r="41" spans="1:10" s="3" customFormat="1" ht="14.25" customHeight="1">
      <c r="A41" s="243"/>
      <c r="B41" s="243"/>
      <c r="C41" s="243"/>
      <c r="D41" s="243"/>
      <c r="E41" s="243"/>
      <c r="F41" s="243"/>
      <c r="G41" s="243"/>
      <c r="H41" s="243"/>
      <c r="I41" s="243"/>
      <c r="J41" s="243"/>
    </row>
    <row r="42" spans="1:10" s="3" customFormat="1" ht="14.25" customHeight="1">
      <c r="A42" s="19"/>
      <c r="B42" s="19"/>
      <c r="C42" s="19"/>
      <c r="D42" s="19"/>
      <c r="E42" s="19"/>
      <c r="F42" s="19"/>
      <c r="G42" s="19"/>
      <c r="H42" s="19"/>
      <c r="I42" s="19"/>
      <c r="J42" s="19"/>
    </row>
    <row r="43" spans="1:10" s="3" customFormat="1" ht="14.25" customHeight="1">
      <c r="A43" s="14">
        <f>+A31</f>
        <v>2022</v>
      </c>
      <c r="B43" s="14" t="s">
        <v>192</v>
      </c>
      <c r="C43" s="14"/>
      <c r="D43" s="14"/>
      <c r="E43" s="14"/>
      <c r="F43" s="14"/>
      <c r="G43" s="42"/>
    </row>
    <row r="44" spans="1:10" ht="14.25" customHeight="1">
      <c r="A44" s="264" t="s">
        <v>193</v>
      </c>
      <c r="B44" s="264"/>
      <c r="C44" s="264" t="s">
        <v>194</v>
      </c>
      <c r="D44" s="264"/>
      <c r="E44" s="264"/>
      <c r="F44" s="264"/>
      <c r="G44" s="264"/>
      <c r="H44" s="264"/>
      <c r="I44" s="264"/>
      <c r="J44" s="264"/>
    </row>
    <row r="45" spans="1:10" ht="14.25" customHeight="1">
      <c r="A45" s="265"/>
      <c r="B45" s="265"/>
      <c r="C45" s="266" t="s">
        <v>195</v>
      </c>
      <c r="D45" s="266" t="s">
        <v>196</v>
      </c>
      <c r="E45" s="266" t="s">
        <v>197</v>
      </c>
      <c r="F45" s="266" t="s">
        <v>198</v>
      </c>
      <c r="G45" s="266" t="s">
        <v>199</v>
      </c>
      <c r="H45" s="266"/>
      <c r="I45" s="266" t="s">
        <v>200</v>
      </c>
      <c r="J45" s="266" t="s">
        <v>201</v>
      </c>
    </row>
    <row r="46" spans="1:10" ht="31.5" customHeight="1">
      <c r="A46" s="224" t="s">
        <v>202</v>
      </c>
      <c r="B46" s="224"/>
      <c r="C46" s="267">
        <f>'Operational Data'!G58</f>
        <v>3057</v>
      </c>
      <c r="D46" s="267"/>
      <c r="E46" s="267"/>
      <c r="F46" s="268"/>
      <c r="G46" s="268"/>
      <c r="H46" s="268"/>
      <c r="I46" s="268">
        <f>'Operational Data'!G59</f>
        <v>3186</v>
      </c>
      <c r="J46" s="268"/>
    </row>
    <row r="47" spans="1:10" ht="43.5" customHeight="1">
      <c r="A47" s="224" t="s">
        <v>203</v>
      </c>
      <c r="B47" s="224"/>
      <c r="C47" s="267">
        <f>'Operational Data'!G63</f>
        <v>1</v>
      </c>
      <c r="D47" s="267"/>
      <c r="E47" s="267"/>
      <c r="F47" s="268"/>
      <c r="G47" s="268"/>
      <c r="H47" s="268"/>
      <c r="I47" s="268"/>
      <c r="J47" s="268"/>
    </row>
    <row r="48" spans="1:10" ht="42.75" customHeight="1">
      <c r="A48" s="224" t="s">
        <v>204</v>
      </c>
      <c r="B48" s="224"/>
      <c r="C48" s="267">
        <f>'Operational Data'!G64</f>
        <v>0.5</v>
      </c>
      <c r="D48" s="267"/>
      <c r="E48" s="267"/>
      <c r="F48" s="268"/>
      <c r="G48" s="268"/>
      <c r="H48" s="268"/>
      <c r="I48" s="268"/>
      <c r="J48" s="268"/>
    </row>
    <row r="49" spans="1:10" ht="8.25" customHeight="1">
      <c r="A49" s="42"/>
      <c r="B49" s="42"/>
      <c r="C49" s="42"/>
      <c r="D49" s="42"/>
      <c r="E49" s="42"/>
      <c r="F49" s="42"/>
      <c r="G49" s="42"/>
      <c r="H49" s="42"/>
      <c r="I49" s="42"/>
      <c r="J49" s="42"/>
    </row>
    <row r="50" spans="1:10">
      <c r="A50" s="242" t="s">
        <v>180</v>
      </c>
      <c r="B50" s="242"/>
      <c r="C50" s="242"/>
      <c r="D50" s="242"/>
      <c r="E50" s="242"/>
      <c r="F50" s="242"/>
      <c r="G50" s="242"/>
      <c r="H50" s="242"/>
      <c r="I50" s="242"/>
      <c r="J50" s="242"/>
    </row>
    <row r="51" spans="1:10">
      <c r="A51" s="243"/>
      <c r="B51" s="243"/>
      <c r="C51" s="243"/>
      <c r="D51" s="243"/>
      <c r="E51" s="243"/>
      <c r="F51" s="243"/>
      <c r="G51" s="243"/>
      <c r="H51" s="243"/>
      <c r="I51" s="243"/>
      <c r="J51" s="243"/>
    </row>
    <row r="52" spans="1:10">
      <c r="A52" s="243"/>
      <c r="B52" s="243"/>
      <c r="C52" s="243"/>
      <c r="D52" s="243"/>
      <c r="E52" s="243"/>
      <c r="F52" s="243"/>
      <c r="G52" s="243"/>
      <c r="H52" s="243"/>
      <c r="I52" s="243"/>
      <c r="J52" s="243"/>
    </row>
    <row r="54" spans="1:10">
      <c r="A54" s="3" t="s">
        <v>205</v>
      </c>
      <c r="B54" s="269"/>
      <c r="C54" s="269" t="str">
        <f>'Cover Page'!C47</f>
        <v>Anna Whitelegg</v>
      </c>
      <c r="D54" s="269"/>
      <c r="E54" s="269"/>
      <c r="F54" s="3"/>
      <c r="G54" s="3" t="s">
        <v>206</v>
      </c>
      <c r="H54" s="270">
        <f>'Cover Page'!C53</f>
        <v>44957</v>
      </c>
      <c r="I54" s="269"/>
      <c r="J54" s="42"/>
    </row>
    <row r="62" spans="1:10">
      <c r="A62" s="42"/>
      <c r="B62" s="42"/>
      <c r="C62" s="42"/>
      <c r="D62" s="42"/>
      <c r="E62" s="42"/>
      <c r="F62" s="3"/>
      <c r="G62" s="42"/>
      <c r="H62" s="42"/>
      <c r="I62" s="42"/>
      <c r="J62" s="42"/>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O15" sqref="O15"/>
    </sheetView>
  </sheetViews>
  <sheetFormatPr defaultColWidth="9.28515625" defaultRowHeight="15"/>
  <cols>
    <col min="1" max="1" width="9.42578125" style="2" bestFit="1" customWidth="1"/>
    <col min="2" max="7" width="9.28515625" style="2"/>
    <col min="8" max="8" width="11.28515625" style="2" bestFit="1" customWidth="1"/>
    <col min="9" max="16384" width="9.28515625" style="2"/>
  </cols>
  <sheetData>
    <row r="1" spans="1:10" ht="15.75">
      <c r="A1" s="13">
        <f>+'Cover Page'!C39</f>
        <v>2022</v>
      </c>
      <c r="B1" s="14" t="s">
        <v>207</v>
      </c>
      <c r="C1" s="14"/>
      <c r="D1" s="14"/>
      <c r="E1" s="14"/>
      <c r="F1" s="14"/>
      <c r="G1" s="14"/>
      <c r="H1" s="14"/>
      <c r="I1" s="14"/>
      <c r="J1" s="14"/>
    </row>
    <row r="3" spans="1:10" s="3" customFormat="1" ht="15" customHeight="1">
      <c r="A3" s="3" t="str">
        <f>+'Cover Page'!B31</f>
        <v>Permit EPR/NP3837NV</v>
      </c>
      <c r="F3" s="3" t="s">
        <v>150</v>
      </c>
      <c r="G3" s="73">
        <f>+'Cover Page'!B37:I37</f>
        <v>0</v>
      </c>
      <c r="H3" s="73"/>
      <c r="I3" s="73"/>
    </row>
    <row r="4" spans="1:10" s="3" customFormat="1" ht="14.25"/>
    <row r="5" spans="1:10" s="3" customFormat="1" ht="14.25">
      <c r="A5" s="3" t="s">
        <v>151</v>
      </c>
      <c r="B5" s="70" t="str">
        <f>+'Cover Page'!B33:I33</f>
        <v>Energy Works Hull</v>
      </c>
      <c r="C5" s="70"/>
      <c r="D5" s="70"/>
      <c r="E5" s="70"/>
      <c r="F5" s="3" t="s">
        <v>152</v>
      </c>
      <c r="G5" s="3" t="s">
        <v>208</v>
      </c>
    </row>
    <row r="6" spans="1:10" s="3" customFormat="1" ht="14.25"/>
    <row r="7" spans="1:10" s="3" customFormat="1" ht="15.75" customHeight="1">
      <c r="A7" s="3" t="s">
        <v>154</v>
      </c>
      <c r="D7" s="74">
        <f>+'Perf. Form 1'!D6:E6</f>
        <v>44562</v>
      </c>
      <c r="E7" s="74"/>
      <c r="F7" s="15" t="s">
        <v>155</v>
      </c>
      <c r="G7" s="74">
        <f>+'Perf. Form 1'!G6:H6</f>
        <v>44926</v>
      </c>
      <c r="H7" s="74"/>
    </row>
    <row r="8" spans="1:10" s="3" customFormat="1">
      <c r="B8"/>
      <c r="C8"/>
      <c r="D8"/>
    </row>
    <row r="9" spans="1:10" s="3" customFormat="1" ht="37.5" customHeight="1">
      <c r="A9" s="264" t="s">
        <v>209</v>
      </c>
      <c r="B9" s="264"/>
      <c r="C9" s="264"/>
      <c r="D9" s="223" t="s">
        <v>210</v>
      </c>
      <c r="E9" s="223"/>
      <c r="F9" s="266" t="s">
        <v>73</v>
      </c>
      <c r="G9" s="264" t="s">
        <v>211</v>
      </c>
      <c r="H9" s="264"/>
      <c r="I9" s="264"/>
    </row>
    <row r="10" spans="1:10" s="3" customFormat="1" ht="24.75" customHeight="1">
      <c r="A10" s="224" t="s">
        <v>212</v>
      </c>
      <c r="B10" s="224"/>
      <c r="C10" s="224"/>
      <c r="D10" s="271">
        <f>+'Operational Data'!G24</f>
        <v>58711.8</v>
      </c>
      <c r="E10" s="271"/>
      <c r="F10" s="272" t="s">
        <v>97</v>
      </c>
      <c r="G10" s="273">
        <f>+'Operational Data'!H24</f>
        <v>1130.4946739756012</v>
      </c>
      <c r="H10" s="273"/>
      <c r="I10" s="273"/>
    </row>
    <row r="11" spans="1:10" s="3" customFormat="1" ht="24.75" customHeight="1">
      <c r="A11" s="224" t="s">
        <v>213</v>
      </c>
      <c r="B11" s="224"/>
      <c r="C11" s="224"/>
      <c r="D11" s="271">
        <f>+'Operational Data'!G27</f>
        <v>5228.125</v>
      </c>
      <c r="E11" s="271"/>
      <c r="F11" s="272" t="s">
        <v>97</v>
      </c>
      <c r="G11" s="273">
        <f>+'Operational Data'!H27</f>
        <v>100.66745470891183</v>
      </c>
      <c r="H11" s="273"/>
      <c r="I11" s="273"/>
    </row>
    <row r="12" spans="1:10" s="3" customFormat="1" ht="24.75" customHeight="1">
      <c r="A12" s="224" t="s">
        <v>214</v>
      </c>
      <c r="B12" s="224"/>
      <c r="C12" s="224"/>
      <c r="D12" s="271">
        <f>+'Operational Data'!G25</f>
        <v>51719.6</v>
      </c>
      <c r="E12" s="271"/>
      <c r="F12" s="272" t="s">
        <v>97</v>
      </c>
      <c r="G12" s="273">
        <f>+'Operational Data'!H25</f>
        <v>995.85998624038962</v>
      </c>
      <c r="H12" s="273"/>
      <c r="I12" s="273"/>
    </row>
    <row r="13" spans="1:10" s="3" customFormat="1" ht="24.75" customHeight="1">
      <c r="A13" s="224" t="s">
        <v>215</v>
      </c>
      <c r="B13" s="224"/>
      <c r="C13" s="224"/>
      <c r="D13" s="271">
        <f>'Operational Data'!G48</f>
        <v>2045548.7804878049</v>
      </c>
      <c r="E13" s="271"/>
      <c r="F13" s="272" t="s">
        <v>216</v>
      </c>
      <c r="G13" s="274"/>
      <c r="H13" s="274"/>
      <c r="I13" s="274"/>
    </row>
    <row r="14" spans="1:10" s="3" customFormat="1" ht="24.75" customHeight="1">
      <c r="A14" s="224" t="s">
        <v>217</v>
      </c>
      <c r="B14" s="224"/>
      <c r="C14" s="224"/>
      <c r="D14" s="271">
        <f>+'Operational Data'!G30</f>
        <v>0</v>
      </c>
      <c r="E14" s="271"/>
      <c r="F14" s="272" t="s">
        <v>218</v>
      </c>
      <c r="G14" s="275" t="str">
        <f>+'Operational Data'!H30</f>
        <v>-</v>
      </c>
      <c r="H14" s="275"/>
      <c r="I14" s="275"/>
    </row>
    <row r="15" spans="1:10" s="3" customFormat="1" ht="24.75" customHeight="1">
      <c r="A15" s="228"/>
      <c r="B15" s="228"/>
      <c r="C15" s="228"/>
      <c r="D15" s="228"/>
      <c r="E15" s="228"/>
      <c r="F15" s="276"/>
      <c r="G15" s="114"/>
      <c r="H15" s="114"/>
      <c r="I15" s="114"/>
    </row>
    <row r="16" spans="1:10" s="3" customFormat="1" ht="24.75" customHeight="1">
      <c r="A16" s="228"/>
      <c r="B16" s="228"/>
      <c r="C16" s="228"/>
      <c r="D16" s="228"/>
      <c r="E16" s="228"/>
      <c r="F16" s="276"/>
      <c r="G16" s="114"/>
      <c r="H16" s="114"/>
      <c r="I16" s="114"/>
    </row>
    <row r="17" spans="1:9" s="3" customFormat="1">
      <c r="A17" s="20"/>
      <c r="B17"/>
      <c r="C17"/>
      <c r="D17"/>
    </row>
    <row r="18" spans="1:9" s="3" customFormat="1" ht="24" customHeight="1">
      <c r="A18" s="242" t="s">
        <v>180</v>
      </c>
      <c r="B18" s="242"/>
      <c r="C18" s="242"/>
      <c r="D18" s="242"/>
      <c r="E18" s="242"/>
      <c r="F18" s="242"/>
      <c r="G18" s="242"/>
      <c r="H18" s="242"/>
      <c r="I18" s="242"/>
    </row>
    <row r="19" spans="1:9" s="3" customFormat="1" ht="14.25">
      <c r="A19" s="277"/>
      <c r="B19" s="277"/>
      <c r="C19" s="277"/>
      <c r="D19" s="277"/>
      <c r="E19" s="277"/>
      <c r="F19" s="277"/>
      <c r="G19" s="277"/>
      <c r="H19" s="277"/>
      <c r="I19" s="277"/>
    </row>
    <row r="20" spans="1:9" s="3" customFormat="1" ht="14.25">
      <c r="A20" s="277"/>
      <c r="B20" s="277"/>
      <c r="C20" s="277"/>
      <c r="D20" s="277"/>
      <c r="E20" s="277"/>
      <c r="F20" s="277"/>
      <c r="G20" s="277"/>
      <c r="H20" s="277"/>
      <c r="I20" s="277"/>
    </row>
    <row r="21" spans="1:9" s="3" customFormat="1" ht="14.25">
      <c r="A21" s="277"/>
      <c r="B21" s="277"/>
      <c r="C21" s="277"/>
      <c r="D21" s="277"/>
      <c r="E21" s="277"/>
      <c r="F21" s="277"/>
      <c r="G21" s="277"/>
      <c r="H21" s="277"/>
      <c r="I21" s="277"/>
    </row>
    <row r="22" spans="1:9" s="3" customFormat="1" ht="14.25">
      <c r="A22" s="277"/>
      <c r="B22" s="277"/>
      <c r="C22" s="277"/>
      <c r="D22" s="277"/>
      <c r="E22" s="277"/>
      <c r="F22" s="277"/>
      <c r="G22" s="277"/>
      <c r="H22" s="277"/>
      <c r="I22" s="277"/>
    </row>
    <row r="23" spans="1:9" s="3" customFormat="1" ht="14.25">
      <c r="A23" s="277"/>
      <c r="B23" s="277"/>
      <c r="C23" s="277"/>
      <c r="D23" s="277"/>
      <c r="E23" s="277"/>
      <c r="F23" s="277"/>
      <c r="G23" s="277"/>
      <c r="H23" s="277"/>
      <c r="I23" s="277"/>
    </row>
    <row r="24" spans="1:9" s="3" customFormat="1" ht="14.25">
      <c r="A24" s="277"/>
      <c r="B24" s="277"/>
      <c r="C24" s="277"/>
      <c r="D24" s="277"/>
      <c r="E24" s="277"/>
      <c r="F24" s="277"/>
      <c r="G24" s="277"/>
      <c r="H24" s="277"/>
      <c r="I24" s="277"/>
    </row>
    <row r="25" spans="1:9" s="3" customFormat="1" ht="14.25">
      <c r="A25" s="277"/>
      <c r="B25" s="277"/>
      <c r="C25" s="277"/>
      <c r="D25" s="277"/>
      <c r="E25" s="277"/>
      <c r="F25" s="277"/>
      <c r="G25" s="277"/>
      <c r="H25" s="277"/>
      <c r="I25" s="277"/>
    </row>
    <row r="26" spans="1:9" s="3" customFormat="1" ht="14.25">
      <c r="A26" s="19"/>
      <c r="B26" s="19"/>
      <c r="C26" s="19"/>
      <c r="D26" s="19"/>
      <c r="E26" s="19"/>
      <c r="F26" s="19"/>
      <c r="G26" s="19"/>
      <c r="H26" s="19"/>
      <c r="I26" s="19"/>
    </row>
    <row r="27" spans="1:9" s="3" customFormat="1" ht="14.25"/>
    <row r="28" spans="1:9" s="3" customFormat="1" ht="14.25"/>
    <row r="29" spans="1:9" s="3" customFormat="1" ht="14.25">
      <c r="A29" s="3" t="s">
        <v>205</v>
      </c>
      <c r="B29" s="269"/>
      <c r="C29" s="269" t="str">
        <f>'Cover Page'!C47</f>
        <v>Anna Whitelegg</v>
      </c>
      <c r="D29" s="269"/>
      <c r="E29" s="269"/>
      <c r="G29" s="3" t="s">
        <v>206</v>
      </c>
      <c r="H29" s="270">
        <f>'Cover Page'!C53</f>
        <v>44957</v>
      </c>
      <c r="I29" s="269"/>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42"/>
      <c r="B34" s="42"/>
      <c r="C34" s="42"/>
      <c r="D34" s="42"/>
      <c r="E34" s="42"/>
      <c r="F34" s="42"/>
      <c r="G34" s="42"/>
      <c r="H34" s="42"/>
      <c r="I34" s="42"/>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S69"/>
  <sheetViews>
    <sheetView workbookViewId="0">
      <selection activeCell="L33" sqref="L33"/>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9">
      <c r="A1" s="42" t="str">
        <f>+'Cover Page'!$B$29</f>
        <v>Annual Performance Report 2022</v>
      </c>
      <c r="B1" s="42"/>
      <c r="C1" s="42"/>
      <c r="D1" s="42"/>
      <c r="E1" s="42" t="str">
        <f>+'Cover Page'!$B$33</f>
        <v>Energy Works Hull</v>
      </c>
      <c r="F1" s="42"/>
      <c r="G1" s="42"/>
      <c r="H1" s="42"/>
      <c r="I1" s="42"/>
      <c r="J1" s="42"/>
      <c r="K1" s="42"/>
      <c r="L1" s="42"/>
      <c r="M1" s="42"/>
      <c r="N1" s="42"/>
      <c r="O1" s="42"/>
      <c r="P1" s="42"/>
      <c r="Q1" s="42"/>
      <c r="R1" s="42"/>
      <c r="S1" s="42"/>
    </row>
    <row r="3" spans="1:19" ht="15.75">
      <c r="A3" s="1" t="s">
        <v>219</v>
      </c>
      <c r="B3" s="42"/>
      <c r="C3" s="42"/>
      <c r="D3" s="42"/>
      <c r="E3" s="42"/>
      <c r="F3" s="42"/>
      <c r="G3" s="42"/>
      <c r="H3" s="42"/>
      <c r="I3" s="42"/>
      <c r="J3" s="42"/>
      <c r="K3" s="42"/>
      <c r="L3" s="42"/>
      <c r="M3" s="42"/>
      <c r="N3" s="42"/>
      <c r="O3" s="42"/>
      <c r="P3" s="42"/>
      <c r="Q3" s="42"/>
      <c r="R3" s="42"/>
      <c r="S3" s="42"/>
    </row>
    <row r="4" spans="1:19" ht="15.75">
      <c r="A4" s="1"/>
      <c r="B4" s="42"/>
      <c r="C4" s="42"/>
      <c r="D4" s="42"/>
      <c r="E4" s="42"/>
      <c r="F4" s="42"/>
      <c r="G4" s="42"/>
      <c r="H4" s="42"/>
      <c r="I4" s="42"/>
      <c r="J4" s="42"/>
      <c r="K4" s="42"/>
      <c r="L4" s="42"/>
      <c r="M4" s="42"/>
      <c r="N4" s="42"/>
      <c r="O4" s="42"/>
      <c r="P4" s="42"/>
      <c r="Q4" s="42"/>
      <c r="R4" s="42"/>
      <c r="S4" s="42"/>
    </row>
    <row r="5" spans="1:19" ht="15.75">
      <c r="A5" s="6" t="s">
        <v>220</v>
      </c>
      <c r="B5" s="42"/>
      <c r="C5" s="42"/>
      <c r="D5" s="42"/>
      <c r="E5" s="42"/>
      <c r="F5" s="42"/>
      <c r="G5" s="42"/>
      <c r="H5" s="42"/>
      <c r="I5" s="42"/>
      <c r="J5" s="42"/>
      <c r="K5" s="42"/>
      <c r="L5" s="42"/>
      <c r="M5" s="42"/>
      <c r="N5" s="42"/>
      <c r="O5" s="42"/>
      <c r="P5" s="42"/>
      <c r="Q5" s="42"/>
      <c r="R5" s="42"/>
      <c r="S5" s="42"/>
    </row>
    <row r="6" spans="1:19" ht="15.75">
      <c r="A6" s="6"/>
      <c r="B6" s="42"/>
      <c r="C6" s="42"/>
      <c r="D6" s="42"/>
      <c r="E6" s="42"/>
      <c r="F6" s="42"/>
      <c r="G6" s="42"/>
      <c r="H6" s="42"/>
      <c r="I6" s="42"/>
      <c r="J6" s="42"/>
      <c r="K6" s="42"/>
      <c r="L6" s="42"/>
      <c r="M6" s="42"/>
      <c r="N6" s="42"/>
      <c r="O6" s="42"/>
      <c r="P6" s="42"/>
      <c r="Q6" s="42"/>
      <c r="R6" s="42"/>
      <c r="S6" s="42"/>
    </row>
    <row r="7" spans="1:19">
      <c r="A7" s="49" t="s">
        <v>221</v>
      </c>
      <c r="B7" s="42"/>
      <c r="C7" s="42"/>
      <c r="D7" s="42"/>
      <c r="E7" s="42"/>
      <c r="F7" s="42"/>
      <c r="G7" s="42"/>
      <c r="H7" s="42"/>
      <c r="I7" s="42"/>
      <c r="J7" s="42"/>
      <c r="K7" s="42"/>
      <c r="L7" s="42"/>
      <c r="M7" s="42"/>
      <c r="N7" s="42"/>
      <c r="O7" s="42"/>
      <c r="P7" s="42"/>
      <c r="Q7" s="42"/>
      <c r="R7" s="42"/>
      <c r="S7" s="42"/>
    </row>
    <row r="8" spans="1:19" s="3" customFormat="1" ht="25.5" customHeight="1">
      <c r="A8" s="278" t="s">
        <v>222</v>
      </c>
      <c r="B8" s="279"/>
      <c r="C8" s="278" t="s">
        <v>223</v>
      </c>
      <c r="D8" s="280"/>
      <c r="E8" s="280"/>
      <c r="F8" s="280"/>
      <c r="G8" s="280"/>
      <c r="H8" s="280"/>
      <c r="I8" s="279"/>
      <c r="L8" s="37" t="s">
        <v>2</v>
      </c>
    </row>
    <row r="9" spans="1:19" s="3" customFormat="1" ht="22.5" customHeight="1">
      <c r="A9" s="281"/>
      <c r="B9" s="282"/>
      <c r="C9" s="283" t="s">
        <v>224</v>
      </c>
      <c r="D9" s="283"/>
      <c r="E9" s="283"/>
      <c r="F9" s="283" t="s">
        <v>225</v>
      </c>
      <c r="G9" s="283"/>
      <c r="H9" s="283"/>
      <c r="I9" s="283"/>
      <c r="L9" s="80" t="s">
        <v>226</v>
      </c>
      <c r="M9" s="80"/>
      <c r="N9" s="80"/>
      <c r="O9" s="80"/>
    </row>
    <row r="10" spans="1:19" s="3" customFormat="1" ht="22.5" customHeight="1">
      <c r="A10" s="284" t="s">
        <v>227</v>
      </c>
      <c r="B10" s="284"/>
      <c r="C10" s="76">
        <f>(((31+28+31+30+31+30+31+31+30+31+30+31)*48))/((31+28+31+30+31+30+31+31+30+31+30+31)*48)</f>
        <v>1</v>
      </c>
      <c r="D10" s="77"/>
      <c r="E10" s="78"/>
      <c r="F10" s="76">
        <f>(31+28+31+30+31+30+31+31+30+31+30+31)/(31+28+31+30+31+30+31+31+30+31+30+31)</f>
        <v>1</v>
      </c>
      <c r="G10" s="77"/>
      <c r="H10" s="77"/>
      <c r="I10" s="78"/>
      <c r="L10" s="80"/>
      <c r="M10" s="80"/>
      <c r="N10" s="80"/>
      <c r="O10" s="80"/>
    </row>
    <row r="11" spans="1:19" s="3" customFormat="1" ht="22.5" customHeight="1">
      <c r="A11" s="284" t="s">
        <v>228</v>
      </c>
      <c r="B11" s="284"/>
      <c r="C11" s="76">
        <f>((31+28+31+30+31+30+31+31+30+31+30+31)*48)/((31+28+31+30+31+30+31+31+30+31+30+31)*48)</f>
        <v>1</v>
      </c>
      <c r="D11" s="77"/>
      <c r="E11" s="78"/>
      <c r="F11" s="76">
        <f>(31+28+31+30+31+30+31+31+30+31+30+31)/(31+28+31+30+31+30+31+31+30+31+30+31)</f>
        <v>1</v>
      </c>
      <c r="G11" s="77"/>
      <c r="H11" s="77"/>
      <c r="I11" s="78"/>
      <c r="L11" s="80"/>
      <c r="M11" s="80"/>
      <c r="N11" s="80"/>
      <c r="O11" s="80"/>
    </row>
    <row r="12" spans="1:19" s="3" customFormat="1" ht="22.5" customHeight="1">
      <c r="A12" s="284" t="s">
        <v>229</v>
      </c>
      <c r="B12" s="284"/>
      <c r="C12" s="76">
        <f>((31+28+31+30+31+30+31+31+30+31+30+31)*48)/((31+28+31+30+31+30+31+31+30+31+30+31)*48)</f>
        <v>1</v>
      </c>
      <c r="D12" s="77"/>
      <c r="E12" s="78"/>
      <c r="F12" s="76">
        <f>(31+28+31+30+31+30+31+31+30+31+30+31)/(31+28+31+30+31+30+31+31+30+31+30+31)</f>
        <v>1</v>
      </c>
      <c r="G12" s="77"/>
      <c r="H12" s="77"/>
      <c r="I12" s="78"/>
      <c r="L12" s="80"/>
      <c r="M12" s="80"/>
      <c r="N12" s="80"/>
      <c r="O12" s="80"/>
    </row>
    <row r="13" spans="1:19" s="3" customFormat="1" ht="22.5" customHeight="1">
      <c r="A13" s="284" t="s">
        <v>230</v>
      </c>
      <c r="B13" s="284"/>
      <c r="C13" s="76">
        <f>(((365*24)*S14)-3)/((365*24)*S14)</f>
        <v>0.99901864573110888</v>
      </c>
      <c r="D13" s="77"/>
      <c r="E13" s="78"/>
      <c r="F13" s="76">
        <f>(31+28+31+30+31+30+31+30+30+31+30+31)/(31+28+31+30+31+30+31+30+30+31+30+31)</f>
        <v>1</v>
      </c>
      <c r="G13" s="77"/>
      <c r="H13" s="77"/>
      <c r="I13" s="78"/>
      <c r="L13" s="80"/>
      <c r="M13" s="80"/>
      <c r="N13" s="80"/>
      <c r="O13" s="80"/>
    </row>
    <row r="14" spans="1:19" s="3" customFormat="1" ht="22.5" customHeight="1">
      <c r="A14" s="284" t="s">
        <v>231</v>
      </c>
      <c r="B14" s="284"/>
      <c r="C14" s="76">
        <f>(((365*48)*S14)-2)/((365*48)*S14)</f>
        <v>0.99967288191036963</v>
      </c>
      <c r="D14" s="77"/>
      <c r="E14" s="78"/>
      <c r="F14" s="76">
        <f>(31+28+31+30+31+30+31+31+30+31+30+31)/(31+28+31+30+31+30+31+31+30+31+30+31)</f>
        <v>1</v>
      </c>
      <c r="G14" s="77"/>
      <c r="H14" s="77"/>
      <c r="I14" s="78"/>
      <c r="L14" s="80"/>
      <c r="M14" s="80"/>
      <c r="N14" s="80"/>
      <c r="O14" s="80"/>
      <c r="S14" s="3">
        <f>'Operational Data'!G53/'Operational Data'!J53</f>
        <v>0.34897260273972602</v>
      </c>
    </row>
    <row r="15" spans="1:19" s="3" customFormat="1" ht="22.5" customHeight="1">
      <c r="A15" s="284" t="s">
        <v>232</v>
      </c>
      <c r="B15" s="284"/>
      <c r="C15" s="76">
        <f>((((31+28+31+30+31+30+31+31+30+31+30+31)*48))/((31+28+31+30+31+30+31+31+30+31+30+31)*48))</f>
        <v>1</v>
      </c>
      <c r="D15" s="77"/>
      <c r="E15" s="78"/>
      <c r="F15" s="76">
        <f>((31+28+31+30+31+30+31+30+30+31+30+31))/(31+28+31+30+31+30+31+30+30+31+30+31)</f>
        <v>1</v>
      </c>
      <c r="G15" s="77"/>
      <c r="H15" s="77"/>
      <c r="I15" s="78"/>
      <c r="L15" s="80"/>
      <c r="M15" s="80"/>
      <c r="N15" s="80"/>
      <c r="O15" s="80"/>
    </row>
    <row r="16" spans="1:19" s="3" customFormat="1" ht="22.5" customHeight="1">
      <c r="A16" s="284" t="s">
        <v>233</v>
      </c>
      <c r="B16" s="284"/>
      <c r="C16" s="285" t="s">
        <v>234</v>
      </c>
      <c r="D16" s="285"/>
      <c r="E16" s="285"/>
      <c r="F16" s="285" t="s">
        <v>234</v>
      </c>
      <c r="G16" s="285"/>
      <c r="H16" s="285"/>
      <c r="I16" s="285"/>
      <c r="L16" s="80"/>
      <c r="M16" s="80"/>
      <c r="N16" s="80"/>
      <c r="O16" s="80"/>
    </row>
    <row r="17" spans="1:15" s="3" customFormat="1" ht="22.5" customHeight="1">
      <c r="A17" s="286" t="s">
        <v>118</v>
      </c>
      <c r="B17" s="287"/>
      <c r="C17" s="285" t="s">
        <v>234</v>
      </c>
      <c r="D17" s="285"/>
      <c r="E17" s="285"/>
      <c r="F17" s="285" t="s">
        <v>234</v>
      </c>
      <c r="G17" s="285"/>
      <c r="H17" s="285"/>
      <c r="I17" s="285"/>
      <c r="L17" s="80"/>
      <c r="M17" s="80"/>
      <c r="N17" s="80"/>
      <c r="O17" s="80"/>
    </row>
    <row r="18" spans="1:15" s="3" customFormat="1" ht="14.25">
      <c r="L18" s="80"/>
      <c r="M18" s="80"/>
      <c r="N18" s="80"/>
      <c r="O18" s="80"/>
    </row>
    <row r="19" spans="1:15" s="20" customFormat="1" ht="21.75" customHeight="1">
      <c r="A19" s="288" t="s">
        <v>235</v>
      </c>
      <c r="B19" s="289"/>
      <c r="C19" s="289"/>
      <c r="D19" s="289"/>
      <c r="E19" s="289"/>
      <c r="F19" s="289"/>
      <c r="G19" s="289"/>
      <c r="H19" s="289"/>
      <c r="I19" s="289"/>
      <c r="J19" s="289"/>
      <c r="K19" s="75"/>
    </row>
    <row r="20" spans="1:15" s="3" customFormat="1" ht="38.25" customHeight="1">
      <c r="A20" s="290" t="s">
        <v>51</v>
      </c>
      <c r="B20" s="291" t="s">
        <v>236</v>
      </c>
      <c r="C20" s="291"/>
      <c r="D20" s="291"/>
      <c r="E20" s="291" t="s">
        <v>237</v>
      </c>
      <c r="F20" s="291"/>
      <c r="G20" s="291"/>
      <c r="H20" s="291" t="s">
        <v>238</v>
      </c>
      <c r="I20" s="291"/>
      <c r="J20" s="292"/>
      <c r="K20" s="293"/>
    </row>
    <row r="21" spans="1:15" s="3" customFormat="1" ht="43.5" customHeight="1">
      <c r="A21" s="294">
        <v>44588</v>
      </c>
      <c r="B21" s="119" t="s">
        <v>239</v>
      </c>
      <c r="C21" s="119"/>
      <c r="D21" s="119"/>
      <c r="E21" s="277" t="s">
        <v>240</v>
      </c>
      <c r="F21" s="277"/>
      <c r="G21" s="277"/>
      <c r="H21" s="277" t="s">
        <v>241</v>
      </c>
      <c r="I21" s="277"/>
      <c r="J21" s="295"/>
      <c r="K21" s="293"/>
    </row>
    <row r="22" spans="1:15" s="3" customFormat="1" ht="42.75" customHeight="1">
      <c r="A22" s="294">
        <v>44625</v>
      </c>
      <c r="B22" s="277" t="s">
        <v>242</v>
      </c>
      <c r="C22" s="277"/>
      <c r="D22" s="277"/>
      <c r="E22" s="119" t="s">
        <v>243</v>
      </c>
      <c r="F22" s="119"/>
      <c r="G22" s="119"/>
      <c r="H22" s="277" t="s">
        <v>244</v>
      </c>
      <c r="I22" s="277"/>
      <c r="J22" s="295"/>
      <c r="K22" s="293"/>
    </row>
    <row r="23" spans="1:15" s="3" customFormat="1" ht="29.25" customHeight="1">
      <c r="A23" s="294">
        <v>44708</v>
      </c>
      <c r="B23" s="277" t="s">
        <v>245</v>
      </c>
      <c r="C23" s="277"/>
      <c r="D23" s="277"/>
      <c r="E23" s="277" t="s">
        <v>246</v>
      </c>
      <c r="F23" s="277"/>
      <c r="G23" s="277"/>
      <c r="H23" s="277" t="s">
        <v>247</v>
      </c>
      <c r="I23" s="277"/>
      <c r="J23" s="295"/>
      <c r="K23" s="293"/>
    </row>
    <row r="24" spans="1:15" s="3" customFormat="1" ht="42.75" customHeight="1">
      <c r="A24" s="294">
        <v>44755</v>
      </c>
      <c r="B24" s="119" t="s">
        <v>239</v>
      </c>
      <c r="C24" s="119"/>
      <c r="D24" s="119"/>
      <c r="E24" s="119" t="s">
        <v>248</v>
      </c>
      <c r="F24" s="119"/>
      <c r="G24" s="119"/>
      <c r="H24" s="277" t="s">
        <v>249</v>
      </c>
      <c r="I24" s="277"/>
      <c r="J24" s="295"/>
      <c r="K24" s="293"/>
    </row>
    <row r="25" spans="1:15" s="3" customFormat="1" ht="42.75" customHeight="1">
      <c r="A25" s="294">
        <v>44798</v>
      </c>
      <c r="B25" s="296" t="s">
        <v>250</v>
      </c>
      <c r="C25" s="297"/>
      <c r="D25" s="298"/>
      <c r="E25" s="277" t="s">
        <v>240</v>
      </c>
      <c r="F25" s="277"/>
      <c r="G25" s="277"/>
      <c r="H25" s="295" t="s">
        <v>251</v>
      </c>
      <c r="I25" s="299"/>
      <c r="J25" s="300"/>
      <c r="K25" s="293"/>
    </row>
    <row r="26" spans="1:15" s="3" customFormat="1" ht="14.25">
      <c r="A26" s="294"/>
      <c r="B26" s="296"/>
      <c r="C26" s="297"/>
      <c r="D26" s="298"/>
      <c r="E26" s="296"/>
      <c r="F26" s="297"/>
      <c r="G26" s="298"/>
      <c r="H26" s="296"/>
      <c r="I26" s="298"/>
      <c r="J26" s="300"/>
      <c r="K26" s="293"/>
    </row>
    <row r="27" spans="1:15" s="3" customFormat="1" ht="14.25">
      <c r="A27" s="301"/>
      <c r="B27" s="119"/>
      <c r="C27" s="119"/>
      <c r="D27" s="119"/>
      <c r="E27" s="119"/>
      <c r="F27" s="119"/>
      <c r="G27" s="119"/>
      <c r="H27" s="119"/>
      <c r="I27" s="119"/>
      <c r="J27" s="296"/>
      <c r="K27" s="293"/>
    </row>
    <row r="28" spans="1:15" s="3" customFormat="1" ht="14.25"/>
    <row r="29" spans="1:15" s="20" customFormat="1" ht="22.5" customHeight="1">
      <c r="A29" s="288" t="s">
        <v>252</v>
      </c>
      <c r="B29" s="289"/>
      <c r="C29" s="289"/>
      <c r="D29" s="289"/>
      <c r="E29" s="289"/>
      <c r="F29" s="289"/>
      <c r="G29" s="289"/>
      <c r="H29" s="289"/>
      <c r="I29" s="289"/>
      <c r="J29" s="289"/>
      <c r="K29" s="75"/>
    </row>
    <row r="30" spans="1:15" s="3" customFormat="1" ht="39" customHeight="1">
      <c r="A30" s="290" t="s">
        <v>51</v>
      </c>
      <c r="B30" s="291" t="s">
        <v>253</v>
      </c>
      <c r="C30" s="291"/>
      <c r="D30" s="291"/>
      <c r="E30" s="291" t="s">
        <v>254</v>
      </c>
      <c r="F30" s="291"/>
      <c r="G30" s="291"/>
      <c r="H30" s="291" t="s">
        <v>238</v>
      </c>
      <c r="I30" s="291"/>
      <c r="J30" s="292"/>
      <c r="K30" s="293"/>
    </row>
    <row r="31" spans="1:15" s="3" customFormat="1" ht="38.25" customHeight="1">
      <c r="A31" s="294">
        <v>44731</v>
      </c>
      <c r="B31" s="119" t="s">
        <v>255</v>
      </c>
      <c r="C31" s="119"/>
      <c r="D31" s="119"/>
      <c r="E31" s="277" t="s">
        <v>256</v>
      </c>
      <c r="F31" s="277"/>
      <c r="G31" s="277"/>
      <c r="H31" s="302"/>
      <c r="I31" s="302"/>
      <c r="J31" s="302"/>
      <c r="K31" s="293"/>
    </row>
    <row r="32" spans="1:15" s="3" customFormat="1" ht="42" customHeight="1">
      <c r="A32" s="294">
        <v>44733</v>
      </c>
      <c r="B32" s="119" t="s">
        <v>257</v>
      </c>
      <c r="C32" s="119"/>
      <c r="D32" s="119"/>
      <c r="E32" s="277" t="s">
        <v>256</v>
      </c>
      <c r="F32" s="277"/>
      <c r="G32" s="277"/>
      <c r="H32" s="302"/>
      <c r="I32" s="302"/>
      <c r="J32" s="302"/>
      <c r="K32" s="293"/>
    </row>
    <row r="33" spans="1:11" ht="45.75" customHeight="1">
      <c r="A33" s="294">
        <v>44767</v>
      </c>
      <c r="B33" s="119" t="s">
        <v>258</v>
      </c>
      <c r="C33" s="119"/>
      <c r="D33" s="119"/>
      <c r="E33" s="277" t="s">
        <v>259</v>
      </c>
      <c r="F33" s="277"/>
      <c r="G33" s="277"/>
      <c r="H33" s="302"/>
      <c r="I33" s="302"/>
      <c r="J33" s="302"/>
      <c r="K33" s="293"/>
    </row>
    <row r="34" spans="1:11" s="3" customFormat="1" ht="44.25" customHeight="1">
      <c r="A34" s="294">
        <v>44774</v>
      </c>
      <c r="B34" s="277" t="s">
        <v>260</v>
      </c>
      <c r="C34" s="277"/>
      <c r="D34" s="277"/>
      <c r="E34" s="277" t="s">
        <v>261</v>
      </c>
      <c r="F34" s="277"/>
      <c r="G34" s="277"/>
      <c r="H34" s="302"/>
      <c r="I34" s="302"/>
      <c r="J34" s="302"/>
      <c r="K34" s="293"/>
    </row>
    <row r="35" spans="1:11" s="3" customFormat="1" ht="30.75" customHeight="1">
      <c r="A35" s="294"/>
      <c r="B35" s="277"/>
      <c r="C35" s="277"/>
      <c r="D35" s="277"/>
      <c r="E35" s="277"/>
      <c r="F35" s="277"/>
      <c r="G35" s="277"/>
      <c r="H35" s="302"/>
      <c r="I35" s="302"/>
      <c r="J35" s="302"/>
      <c r="K35" s="293"/>
    </row>
    <row r="36" spans="1:11" s="3" customFormat="1" ht="29.25" customHeight="1">
      <c r="A36" s="49"/>
      <c r="E36" s="303" t="s">
        <v>262</v>
      </c>
      <c r="F36" s="303"/>
      <c r="G36" s="303"/>
      <c r="H36" s="303"/>
      <c r="I36" s="303"/>
      <c r="J36" s="49"/>
    </row>
    <row r="69" spans="6:6">
      <c r="F69" s="3"/>
    </row>
  </sheetData>
  <mergeCells count="75">
    <mergeCell ref="L9:O18"/>
    <mergeCell ref="E36:I36"/>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7:J27"/>
    <mergeCell ref="B22:D22"/>
    <mergeCell ref="E22:G22"/>
    <mergeCell ref="H22:J22"/>
    <mergeCell ref="B23:D23"/>
    <mergeCell ref="E23:G23"/>
    <mergeCell ref="H23:J23"/>
    <mergeCell ref="B25:D25"/>
    <mergeCell ref="B26:D26"/>
    <mergeCell ref="E25:G25"/>
    <mergeCell ref="E26:G26"/>
    <mergeCell ref="H25:I25"/>
    <mergeCell ref="H26:I26"/>
    <mergeCell ref="B35:D35"/>
    <mergeCell ref="E35:G35"/>
    <mergeCell ref="H35:J35"/>
    <mergeCell ref="B32:D32"/>
    <mergeCell ref="E32:G32"/>
    <mergeCell ref="H32:J32"/>
    <mergeCell ref="B33:D33"/>
    <mergeCell ref="E33:G33"/>
    <mergeCell ref="H33:J33"/>
    <mergeCell ref="A29:K29"/>
    <mergeCell ref="A19:K19"/>
    <mergeCell ref="B34:D34"/>
    <mergeCell ref="E34:G34"/>
    <mergeCell ref="H34:J34"/>
    <mergeCell ref="B30:D30"/>
    <mergeCell ref="E30:G30"/>
    <mergeCell ref="H30:J30"/>
    <mergeCell ref="B31:D31"/>
    <mergeCell ref="E31:G31"/>
    <mergeCell ref="H31:J31"/>
    <mergeCell ref="B24:D24"/>
    <mergeCell ref="E24:G24"/>
    <mergeCell ref="H24:J24"/>
    <mergeCell ref="B27:D27"/>
    <mergeCell ref="E27:G27"/>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workbookViewId="0">
      <selection activeCell="K11" sqref="K11"/>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10">
      <c r="A1" s="42" t="str">
        <f>+'Cover Page'!$B$29</f>
        <v>Annual Performance Report 2022</v>
      </c>
      <c r="B1" s="42"/>
      <c r="C1" s="42"/>
      <c r="D1" s="42"/>
      <c r="E1" s="42" t="str">
        <f>+'Cover Page'!$B$33</f>
        <v>Energy Works Hull</v>
      </c>
      <c r="F1" s="42"/>
      <c r="G1" s="42"/>
      <c r="H1" s="42"/>
      <c r="I1" s="42"/>
      <c r="J1" s="42"/>
    </row>
    <row r="3" spans="1:10" ht="15.75">
      <c r="A3" s="1" t="s">
        <v>263</v>
      </c>
      <c r="B3" s="42"/>
      <c r="C3" s="42"/>
      <c r="D3" s="42"/>
      <c r="E3" s="42"/>
      <c r="F3" s="42"/>
      <c r="G3" s="42"/>
      <c r="H3" s="42"/>
      <c r="I3" s="42"/>
      <c r="J3" s="42"/>
    </row>
    <row r="4" spans="1:10" ht="15.75">
      <c r="A4" s="1"/>
      <c r="B4" s="42"/>
      <c r="C4" s="42"/>
      <c r="D4" s="42"/>
      <c r="E4" s="42"/>
      <c r="F4" s="42"/>
      <c r="G4" s="42"/>
      <c r="H4" s="42"/>
      <c r="I4" s="42"/>
      <c r="J4" s="42"/>
    </row>
    <row r="5" spans="1:10" s="3" customFormat="1">
      <c r="A5" s="286" t="s">
        <v>264</v>
      </c>
      <c r="B5" s="304"/>
      <c r="C5" s="304"/>
      <c r="D5" s="304"/>
      <c r="E5" s="304"/>
      <c r="F5" s="304"/>
      <c r="G5" s="304"/>
      <c r="H5" s="304"/>
      <c r="I5" s="287"/>
    </row>
    <row r="6" spans="1:10" s="3" customFormat="1" ht="15.75" customHeight="1">
      <c r="A6" s="305" t="s">
        <v>265</v>
      </c>
      <c r="B6" s="306"/>
      <c r="C6" s="306"/>
      <c r="D6" s="306"/>
      <c r="E6" s="306"/>
      <c r="F6" s="306"/>
      <c r="G6" s="306"/>
      <c r="H6" s="306"/>
      <c r="I6" s="307"/>
      <c r="J6" s="47"/>
    </row>
    <row r="7" spans="1:10" s="3" customFormat="1" ht="15.75" customHeight="1">
      <c r="A7" s="308"/>
      <c r="B7" s="79"/>
      <c r="C7" s="79"/>
      <c r="D7" s="79"/>
      <c r="E7" s="79"/>
      <c r="F7" s="79"/>
      <c r="G7" s="79"/>
      <c r="H7" s="79"/>
      <c r="I7" s="309"/>
      <c r="J7" s="46"/>
    </row>
    <row r="8" spans="1:10" s="3" customFormat="1" ht="15.75" customHeight="1">
      <c r="A8" s="308"/>
      <c r="B8" s="79"/>
      <c r="C8" s="79"/>
      <c r="D8" s="79"/>
      <c r="E8" s="79"/>
      <c r="F8" s="79"/>
      <c r="G8" s="79"/>
      <c r="H8" s="79"/>
      <c r="I8" s="309"/>
      <c r="J8" s="46"/>
    </row>
    <row r="9" spans="1:10" s="3" customFormat="1" ht="15.75" customHeight="1">
      <c r="A9" s="308"/>
      <c r="B9" s="79"/>
      <c r="C9" s="79"/>
      <c r="D9" s="79"/>
      <c r="E9" s="79"/>
      <c r="F9" s="79"/>
      <c r="G9" s="79"/>
      <c r="H9" s="79"/>
      <c r="I9" s="309"/>
      <c r="J9" s="46"/>
    </row>
    <row r="10" spans="1:10" s="3" customFormat="1" ht="15.75" customHeight="1">
      <c r="A10" s="308"/>
      <c r="B10" s="79"/>
      <c r="C10" s="79"/>
      <c r="D10" s="79"/>
      <c r="E10" s="79"/>
      <c r="F10" s="79"/>
      <c r="G10" s="79"/>
      <c r="H10" s="79"/>
      <c r="I10" s="309"/>
      <c r="J10" s="46"/>
    </row>
    <row r="11" spans="1:10" s="3" customFormat="1" ht="15.75" customHeight="1">
      <c r="A11" s="308"/>
      <c r="B11" s="79"/>
      <c r="C11" s="79"/>
      <c r="D11" s="79"/>
      <c r="E11" s="79"/>
      <c r="F11" s="79"/>
      <c r="G11" s="79"/>
      <c r="H11" s="79"/>
      <c r="I11" s="309"/>
      <c r="J11" s="46"/>
    </row>
    <row r="12" spans="1:10" s="3" customFormat="1" ht="15.75" customHeight="1">
      <c r="A12" s="308"/>
      <c r="B12" s="79"/>
      <c r="C12" s="79"/>
      <c r="D12" s="79"/>
      <c r="E12" s="79"/>
      <c r="F12" s="79"/>
      <c r="G12" s="79"/>
      <c r="H12" s="79"/>
      <c r="I12" s="309"/>
      <c r="J12" s="46"/>
    </row>
    <row r="13" spans="1:10" s="3" customFormat="1" ht="15.75" customHeight="1">
      <c r="A13" s="308"/>
      <c r="B13" s="79"/>
      <c r="C13" s="79"/>
      <c r="D13" s="79"/>
      <c r="E13" s="79"/>
      <c r="F13" s="79"/>
      <c r="G13" s="79"/>
      <c r="H13" s="79"/>
      <c r="I13" s="309"/>
      <c r="J13" s="46"/>
    </row>
    <row r="14" spans="1:10" s="3" customFormat="1" ht="15.75" customHeight="1">
      <c r="A14" s="310"/>
      <c r="B14" s="311"/>
      <c r="C14" s="311"/>
      <c r="D14" s="311"/>
      <c r="E14" s="311"/>
      <c r="F14" s="311"/>
      <c r="G14" s="311"/>
      <c r="H14" s="311"/>
      <c r="I14" s="312"/>
      <c r="J14" s="46"/>
    </row>
    <row r="15" spans="1:10" s="3" customFormat="1" ht="14.25"/>
    <row r="16" spans="1:10" s="21" customFormat="1" ht="33.75" customHeight="1">
      <c r="A16" s="313" t="s">
        <v>266</v>
      </c>
      <c r="B16" s="314"/>
      <c r="C16" s="314"/>
      <c r="D16" s="314"/>
      <c r="E16" s="314"/>
      <c r="F16" s="314"/>
      <c r="G16" s="314"/>
      <c r="H16" s="314"/>
      <c r="I16" s="315"/>
      <c r="J16" s="316"/>
    </row>
    <row r="17" spans="1:9" ht="15.75" customHeight="1">
      <c r="A17" s="135" t="s">
        <v>267</v>
      </c>
      <c r="B17" s="317"/>
      <c r="C17" s="317"/>
      <c r="D17" s="317"/>
      <c r="E17" s="317"/>
      <c r="F17" s="317"/>
      <c r="G17" s="317"/>
      <c r="H17" s="317"/>
      <c r="I17" s="318"/>
    </row>
    <row r="18" spans="1:9" ht="15.75" customHeight="1">
      <c r="A18" s="319"/>
      <c r="B18" s="320"/>
      <c r="C18" s="320"/>
      <c r="D18" s="320"/>
      <c r="E18" s="320"/>
      <c r="F18" s="320"/>
      <c r="G18" s="320"/>
      <c r="H18" s="320"/>
      <c r="I18" s="321"/>
    </row>
    <row r="19" spans="1:9" ht="15.75" customHeight="1">
      <c r="A19" s="319"/>
      <c r="B19" s="320"/>
      <c r="C19" s="320"/>
      <c r="D19" s="320"/>
      <c r="E19" s="320"/>
      <c r="F19" s="320"/>
      <c r="G19" s="320"/>
      <c r="H19" s="320"/>
      <c r="I19" s="321"/>
    </row>
    <row r="20" spans="1:9" ht="15.75" customHeight="1">
      <c r="A20" s="319"/>
      <c r="B20" s="320"/>
      <c r="C20" s="320"/>
      <c r="D20" s="320"/>
      <c r="E20" s="320"/>
      <c r="F20" s="320"/>
      <c r="G20" s="320"/>
      <c r="H20" s="320"/>
      <c r="I20" s="321"/>
    </row>
    <row r="21" spans="1:9" ht="15.75" customHeight="1">
      <c r="A21" s="319"/>
      <c r="B21" s="320"/>
      <c r="C21" s="320"/>
      <c r="D21" s="320"/>
      <c r="E21" s="320"/>
      <c r="F21" s="320"/>
      <c r="G21" s="320"/>
      <c r="H21" s="320"/>
      <c r="I21" s="321"/>
    </row>
    <row r="22" spans="1:9" ht="15.75" customHeight="1">
      <c r="A22" s="319"/>
      <c r="B22" s="320"/>
      <c r="C22" s="320"/>
      <c r="D22" s="320"/>
      <c r="E22" s="320"/>
      <c r="F22" s="320"/>
      <c r="G22" s="320"/>
      <c r="H22" s="320"/>
      <c r="I22" s="321"/>
    </row>
    <row r="23" spans="1:9" ht="15.75" customHeight="1">
      <c r="A23" s="319"/>
      <c r="B23" s="320"/>
      <c r="C23" s="320"/>
      <c r="D23" s="320"/>
      <c r="E23" s="320"/>
      <c r="F23" s="320"/>
      <c r="G23" s="320"/>
      <c r="H23" s="320"/>
      <c r="I23" s="321"/>
    </row>
    <row r="24" spans="1:9" ht="15.75" customHeight="1">
      <c r="A24" s="319"/>
      <c r="B24" s="320"/>
      <c r="C24" s="320"/>
      <c r="D24" s="320"/>
      <c r="E24" s="320"/>
      <c r="F24" s="320"/>
      <c r="G24" s="320"/>
      <c r="H24" s="320"/>
      <c r="I24" s="321"/>
    </row>
    <row r="25" spans="1:9" ht="15.75" customHeight="1">
      <c r="A25" s="322"/>
      <c r="B25" s="323"/>
      <c r="C25" s="323"/>
      <c r="D25" s="323"/>
      <c r="E25" s="323"/>
      <c r="F25" s="323"/>
      <c r="G25" s="323"/>
      <c r="H25" s="323"/>
      <c r="I25" s="324"/>
    </row>
    <row r="26" spans="1:9" ht="15.75">
      <c r="A26" s="1"/>
      <c r="B26" s="42"/>
      <c r="C26" s="42"/>
      <c r="D26" s="42"/>
      <c r="E26" s="42"/>
      <c r="F26" s="42"/>
      <c r="G26" s="42"/>
      <c r="H26" s="42"/>
      <c r="I26" s="42"/>
    </row>
    <row r="27" spans="1:9" ht="36.75" customHeight="1">
      <c r="A27" s="313" t="s">
        <v>268</v>
      </c>
      <c r="B27" s="314"/>
      <c r="C27" s="314"/>
      <c r="D27" s="314"/>
      <c r="E27" s="314"/>
      <c r="F27" s="314"/>
      <c r="G27" s="314"/>
      <c r="H27" s="314"/>
      <c r="I27" s="315"/>
    </row>
    <row r="28" spans="1:9" ht="15.75" customHeight="1">
      <c r="A28" s="144" t="s">
        <v>269</v>
      </c>
      <c r="B28" s="145"/>
      <c r="C28" s="145"/>
      <c r="D28" s="145"/>
      <c r="E28" s="145"/>
      <c r="F28" s="145"/>
      <c r="G28" s="145"/>
      <c r="H28" s="145"/>
      <c r="I28" s="146"/>
    </row>
    <row r="29" spans="1:9" ht="15.75" customHeight="1">
      <c r="A29" s="147"/>
      <c r="B29" s="148"/>
      <c r="C29" s="148"/>
      <c r="D29" s="148"/>
      <c r="E29" s="148"/>
      <c r="F29" s="148"/>
      <c r="G29" s="148"/>
      <c r="H29" s="148"/>
      <c r="I29" s="149"/>
    </row>
    <row r="30" spans="1:9" ht="15.75" customHeight="1">
      <c r="A30" s="147"/>
      <c r="B30" s="148"/>
      <c r="C30" s="148"/>
      <c r="D30" s="148"/>
      <c r="E30" s="148"/>
      <c r="F30" s="148"/>
      <c r="G30" s="148"/>
      <c r="H30" s="148"/>
      <c r="I30" s="149"/>
    </row>
    <row r="31" spans="1:9" ht="15.75" customHeight="1">
      <c r="A31" s="147"/>
      <c r="B31" s="148"/>
      <c r="C31" s="148"/>
      <c r="D31" s="148"/>
      <c r="E31" s="148"/>
      <c r="F31" s="148"/>
      <c r="G31" s="148"/>
      <c r="H31" s="148"/>
      <c r="I31" s="149"/>
    </row>
    <row r="32" spans="1:9" ht="15.75" customHeight="1">
      <c r="A32" s="147"/>
      <c r="B32" s="148"/>
      <c r="C32" s="148"/>
      <c r="D32" s="148"/>
      <c r="E32" s="148"/>
      <c r="F32" s="148"/>
      <c r="G32" s="148"/>
      <c r="H32" s="148"/>
      <c r="I32" s="149"/>
    </row>
    <row r="33" spans="1:9" ht="15.75" customHeight="1">
      <c r="A33" s="147"/>
      <c r="B33" s="148"/>
      <c r="C33" s="148"/>
      <c r="D33" s="148"/>
      <c r="E33" s="148"/>
      <c r="F33" s="148"/>
      <c r="G33" s="148"/>
      <c r="H33" s="148"/>
      <c r="I33" s="149"/>
    </row>
    <row r="34" spans="1:9" ht="15.75" customHeight="1">
      <c r="A34" s="147"/>
      <c r="B34" s="148"/>
      <c r="C34" s="148"/>
      <c r="D34" s="148"/>
      <c r="E34" s="148"/>
      <c r="F34" s="148"/>
      <c r="G34" s="148"/>
      <c r="H34" s="148"/>
      <c r="I34" s="149"/>
    </row>
    <row r="35" spans="1:9" ht="15.75" customHeight="1">
      <c r="A35" s="147"/>
      <c r="B35" s="148"/>
      <c r="C35" s="148"/>
      <c r="D35" s="148"/>
      <c r="E35" s="148"/>
      <c r="F35" s="148"/>
      <c r="G35" s="148"/>
      <c r="H35" s="148"/>
      <c r="I35" s="149"/>
    </row>
    <row r="36" spans="1:9" ht="15.75" customHeight="1">
      <c r="A36" s="150"/>
      <c r="B36" s="151"/>
      <c r="C36" s="151"/>
      <c r="D36" s="151"/>
      <c r="E36" s="151"/>
      <c r="F36" s="151"/>
      <c r="G36" s="151"/>
      <c r="H36" s="151"/>
      <c r="I36" s="152"/>
    </row>
    <row r="38" spans="1:9" ht="33" customHeight="1">
      <c r="A38" s="313" t="s">
        <v>270</v>
      </c>
      <c r="B38" s="314"/>
      <c r="C38" s="314"/>
      <c r="D38" s="314"/>
      <c r="E38" s="314"/>
      <c r="F38" s="314"/>
      <c r="G38" s="314"/>
      <c r="H38" s="314"/>
      <c r="I38" s="315"/>
    </row>
    <row r="39" spans="1:9" ht="15.75" customHeight="1">
      <c r="A39" s="325"/>
      <c r="B39" s="326"/>
      <c r="C39" s="326"/>
      <c r="D39" s="326"/>
      <c r="E39" s="326"/>
      <c r="F39" s="326"/>
      <c r="G39" s="326"/>
      <c r="H39" s="326"/>
      <c r="I39" s="327"/>
    </row>
    <row r="40" spans="1:9" ht="15.75" customHeight="1">
      <c r="A40" s="328"/>
      <c r="B40" s="329"/>
      <c r="C40" s="329"/>
      <c r="D40" s="329"/>
      <c r="E40" s="329"/>
      <c r="F40" s="329"/>
      <c r="G40" s="329"/>
      <c r="H40" s="329"/>
      <c r="I40" s="330"/>
    </row>
    <row r="41" spans="1:9" ht="15.75" customHeight="1">
      <c r="A41" s="328"/>
      <c r="B41" s="329"/>
      <c r="C41" s="329"/>
      <c r="D41" s="329"/>
      <c r="E41" s="329"/>
      <c r="F41" s="329"/>
      <c r="G41" s="329"/>
      <c r="H41" s="329"/>
      <c r="I41" s="330"/>
    </row>
    <row r="42" spans="1:9" ht="15.75" customHeight="1">
      <c r="A42" s="328"/>
      <c r="B42" s="329"/>
      <c r="C42" s="329"/>
      <c r="D42" s="329"/>
      <c r="E42" s="329"/>
      <c r="F42" s="329"/>
      <c r="G42" s="329"/>
      <c r="H42" s="329"/>
      <c r="I42" s="330"/>
    </row>
    <row r="43" spans="1:9" ht="15.75" customHeight="1">
      <c r="A43" s="328"/>
      <c r="B43" s="329"/>
      <c r="C43" s="329"/>
      <c r="D43" s="329"/>
      <c r="E43" s="329"/>
      <c r="F43" s="329"/>
      <c r="G43" s="329"/>
      <c r="H43" s="329"/>
      <c r="I43" s="330"/>
    </row>
    <row r="44" spans="1:9" ht="15.75" customHeight="1">
      <c r="A44" s="328"/>
      <c r="B44" s="329"/>
      <c r="C44" s="329"/>
      <c r="D44" s="329"/>
      <c r="E44" s="329"/>
      <c r="F44" s="329"/>
      <c r="G44" s="329"/>
      <c r="H44" s="329"/>
      <c r="I44" s="330"/>
    </row>
    <row r="45" spans="1:9" ht="15.75" customHeight="1">
      <c r="A45" s="328"/>
      <c r="B45" s="329"/>
      <c r="C45" s="329"/>
      <c r="D45" s="329"/>
      <c r="E45" s="329"/>
      <c r="F45" s="329"/>
      <c r="G45" s="329"/>
      <c r="H45" s="329"/>
      <c r="I45" s="330"/>
    </row>
    <row r="46" spans="1:9" ht="15.75" customHeight="1">
      <c r="A46" s="328"/>
      <c r="B46" s="329"/>
      <c r="C46" s="329"/>
      <c r="D46" s="329"/>
      <c r="E46" s="329"/>
      <c r="F46" s="329"/>
      <c r="G46" s="329"/>
      <c r="H46" s="329"/>
      <c r="I46" s="330"/>
    </row>
    <row r="47" spans="1:9" ht="15.75" customHeight="1">
      <c r="A47" s="328"/>
      <c r="B47" s="329"/>
      <c r="C47" s="329"/>
      <c r="D47" s="329"/>
      <c r="E47" s="329"/>
      <c r="F47" s="329"/>
      <c r="G47" s="329"/>
      <c r="H47" s="329"/>
      <c r="I47" s="330"/>
    </row>
    <row r="48" spans="1:9" ht="15.75" customHeight="1">
      <c r="A48" s="331"/>
      <c r="B48" s="332"/>
      <c r="C48" s="332"/>
      <c r="D48" s="332"/>
      <c r="E48" s="332"/>
      <c r="F48" s="332"/>
      <c r="G48" s="332"/>
      <c r="H48" s="332"/>
      <c r="I48" s="333"/>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L9" sqref="L9"/>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42" t="str">
        <f>+'Cover Page'!$B$29</f>
        <v>Annual Performance Report 2022</v>
      </c>
      <c r="B1" s="42"/>
      <c r="C1" s="42"/>
      <c r="D1" s="42"/>
      <c r="E1" s="42" t="str">
        <f>+'Cover Page'!$B$33</f>
        <v>Energy Works Hull</v>
      </c>
      <c r="F1" s="42"/>
      <c r="G1" s="42"/>
      <c r="H1" s="42"/>
      <c r="I1" s="42"/>
    </row>
    <row r="3" spans="1:9" ht="15.75">
      <c r="A3" s="1" t="s">
        <v>271</v>
      </c>
      <c r="B3" s="42"/>
      <c r="C3" s="42"/>
      <c r="D3" s="42"/>
      <c r="E3" s="42"/>
      <c r="F3" s="42"/>
      <c r="G3" s="42"/>
      <c r="H3" s="42"/>
      <c r="I3" s="42"/>
    </row>
    <row r="4" spans="1:9" ht="15.75">
      <c r="A4" s="1"/>
      <c r="B4" s="42"/>
      <c r="C4" s="42"/>
      <c r="D4" s="42"/>
      <c r="E4" s="42"/>
      <c r="F4" s="42"/>
      <c r="G4" s="42"/>
      <c r="H4" s="42"/>
      <c r="I4" s="42"/>
    </row>
    <row r="5" spans="1:9" s="3" customFormat="1" ht="28.5" customHeight="1">
      <c r="A5" s="334" t="s">
        <v>272</v>
      </c>
      <c r="B5" s="335"/>
      <c r="C5" s="335"/>
      <c r="D5" s="335"/>
      <c r="E5" s="335"/>
      <c r="F5" s="335"/>
      <c r="G5" s="335"/>
      <c r="H5" s="335"/>
      <c r="I5" s="336"/>
    </row>
    <row r="6" spans="1:9" s="3" customFormat="1" ht="15.75" customHeight="1">
      <c r="A6" s="286" t="s">
        <v>51</v>
      </c>
      <c r="B6" s="287"/>
      <c r="C6" s="286" t="s">
        <v>273</v>
      </c>
      <c r="D6" s="304"/>
      <c r="E6" s="304"/>
      <c r="F6" s="304"/>
      <c r="G6" s="304"/>
      <c r="H6" s="304"/>
      <c r="I6" s="287"/>
    </row>
    <row r="7" spans="1:9" s="3" customFormat="1" ht="15.75" customHeight="1">
      <c r="A7" s="337">
        <v>44875</v>
      </c>
      <c r="B7" s="318"/>
      <c r="C7" s="338" t="s">
        <v>274</v>
      </c>
      <c r="D7" s="317"/>
      <c r="E7" s="317"/>
      <c r="F7" s="317"/>
      <c r="G7" s="317"/>
      <c r="H7" s="317"/>
      <c r="I7" s="318"/>
    </row>
    <row r="8" spans="1:9" s="3" customFormat="1" ht="15.75" customHeight="1">
      <c r="A8" s="322"/>
      <c r="B8" s="324"/>
      <c r="C8" s="322"/>
      <c r="D8" s="323"/>
      <c r="E8" s="323"/>
      <c r="F8" s="323"/>
      <c r="G8" s="323"/>
      <c r="H8" s="323"/>
      <c r="I8" s="324"/>
    </row>
    <row r="9" spans="1:9" s="3" customFormat="1" ht="15.75" customHeight="1">
      <c r="A9" s="338"/>
      <c r="B9" s="318"/>
      <c r="C9" s="338"/>
      <c r="D9" s="317"/>
      <c r="E9" s="317"/>
      <c r="F9" s="317"/>
      <c r="G9" s="317"/>
      <c r="H9" s="317"/>
      <c r="I9" s="318"/>
    </row>
    <row r="10" spans="1:9" s="3" customFormat="1" ht="15.75" customHeight="1">
      <c r="A10" s="322"/>
      <c r="B10" s="324"/>
      <c r="C10" s="322"/>
      <c r="D10" s="323"/>
      <c r="E10" s="323"/>
      <c r="F10" s="323"/>
      <c r="G10" s="323"/>
      <c r="H10" s="323"/>
      <c r="I10" s="324"/>
    </row>
    <row r="11" spans="1:9" s="3" customFormat="1" ht="15.75" customHeight="1">
      <c r="A11" s="338"/>
      <c r="B11" s="318"/>
      <c r="C11" s="338"/>
      <c r="D11" s="317"/>
      <c r="E11" s="317"/>
      <c r="F11" s="317"/>
      <c r="G11" s="317"/>
      <c r="H11" s="317"/>
      <c r="I11" s="318"/>
    </row>
    <row r="12" spans="1:9" s="3" customFormat="1" ht="15.75" customHeight="1">
      <c r="A12" s="322"/>
      <c r="B12" s="324"/>
      <c r="C12" s="322"/>
      <c r="D12" s="323"/>
      <c r="E12" s="323"/>
      <c r="F12" s="323"/>
      <c r="G12" s="323"/>
      <c r="H12" s="323"/>
      <c r="I12" s="324"/>
    </row>
    <row r="13" spans="1:9" s="3" customFormat="1" ht="15.75" customHeight="1">
      <c r="A13" s="338"/>
      <c r="B13" s="318"/>
      <c r="C13" s="338"/>
      <c r="D13" s="317"/>
      <c r="E13" s="317"/>
      <c r="F13" s="317"/>
      <c r="G13" s="317"/>
      <c r="H13" s="317"/>
      <c r="I13" s="318"/>
    </row>
    <row r="14" spans="1:9" s="3" customFormat="1" ht="15.75" customHeight="1">
      <c r="A14" s="322"/>
      <c r="B14" s="324"/>
      <c r="C14" s="322"/>
      <c r="D14" s="323"/>
      <c r="E14" s="323"/>
      <c r="F14" s="323"/>
      <c r="G14" s="323"/>
      <c r="H14" s="323"/>
      <c r="I14" s="324"/>
    </row>
    <row r="15" spans="1:9" s="3" customFormat="1" ht="14.25"/>
    <row r="16" spans="1:9" s="21" customFormat="1" ht="33.75" customHeight="1">
      <c r="A16" s="313" t="s">
        <v>275</v>
      </c>
      <c r="B16" s="314"/>
      <c r="C16" s="314"/>
      <c r="D16" s="314"/>
      <c r="E16" s="314"/>
      <c r="F16" s="314"/>
      <c r="G16" s="314"/>
      <c r="H16" s="314"/>
      <c r="I16" s="315"/>
    </row>
    <row r="17" spans="1:9" ht="15.75" customHeight="1">
      <c r="A17" s="286" t="s">
        <v>51</v>
      </c>
      <c r="B17" s="287"/>
      <c r="C17" s="286" t="s">
        <v>273</v>
      </c>
      <c r="D17" s="304"/>
      <c r="E17" s="304"/>
      <c r="F17" s="304"/>
      <c r="G17" s="304"/>
      <c r="H17" s="304"/>
      <c r="I17" s="304"/>
    </row>
    <row r="18" spans="1:9" ht="15.75" customHeight="1">
      <c r="A18" s="338"/>
      <c r="B18" s="318"/>
      <c r="C18" s="338"/>
      <c r="D18" s="317"/>
      <c r="E18" s="317"/>
      <c r="F18" s="317"/>
      <c r="G18" s="317"/>
      <c r="H18" s="317"/>
      <c r="I18" s="318"/>
    </row>
    <row r="19" spans="1:9" ht="15.75" customHeight="1">
      <c r="A19" s="322"/>
      <c r="B19" s="324"/>
      <c r="C19" s="322"/>
      <c r="D19" s="323"/>
      <c r="E19" s="323"/>
      <c r="F19" s="323"/>
      <c r="G19" s="323"/>
      <c r="H19" s="323"/>
      <c r="I19" s="324"/>
    </row>
    <row r="20" spans="1:9" ht="15.75" customHeight="1">
      <c r="A20" s="338"/>
      <c r="B20" s="318"/>
      <c r="C20" s="338"/>
      <c r="D20" s="317"/>
      <c r="E20" s="317"/>
      <c r="F20" s="317"/>
      <c r="G20" s="317"/>
      <c r="H20" s="317"/>
      <c r="I20" s="318"/>
    </row>
    <row r="21" spans="1:9" ht="15.75" customHeight="1">
      <c r="A21" s="322"/>
      <c r="B21" s="324"/>
      <c r="C21" s="322"/>
      <c r="D21" s="323"/>
      <c r="E21" s="323"/>
      <c r="F21" s="323"/>
      <c r="G21" s="323"/>
      <c r="H21" s="323"/>
      <c r="I21" s="324"/>
    </row>
    <row r="22" spans="1:9" ht="15.75" customHeight="1">
      <c r="A22" s="338"/>
      <c r="B22" s="318"/>
      <c r="C22" s="338"/>
      <c r="D22" s="317"/>
      <c r="E22" s="317"/>
      <c r="F22" s="317"/>
      <c r="G22" s="317"/>
      <c r="H22" s="317"/>
      <c r="I22" s="318"/>
    </row>
    <row r="23" spans="1:9" ht="15.75" customHeight="1">
      <c r="A23" s="322"/>
      <c r="B23" s="324"/>
      <c r="C23" s="322"/>
      <c r="D23" s="323"/>
      <c r="E23" s="323"/>
      <c r="F23" s="323"/>
      <c r="G23" s="323"/>
      <c r="H23" s="323"/>
      <c r="I23" s="324"/>
    </row>
    <row r="24" spans="1:9" ht="15.75" customHeight="1">
      <c r="A24" s="338"/>
      <c r="B24" s="318"/>
      <c r="C24" s="338"/>
      <c r="D24" s="317"/>
      <c r="E24" s="317"/>
      <c r="F24" s="317"/>
      <c r="G24" s="317"/>
      <c r="H24" s="317"/>
      <c r="I24" s="318"/>
    </row>
    <row r="25" spans="1:9" ht="15.75" customHeight="1">
      <c r="A25" s="322"/>
      <c r="B25" s="324"/>
      <c r="C25" s="322"/>
      <c r="D25" s="323"/>
      <c r="E25" s="323"/>
      <c r="F25" s="323"/>
      <c r="G25" s="323"/>
      <c r="H25" s="323"/>
      <c r="I25" s="324"/>
    </row>
    <row r="26" spans="1:9" ht="15.75" customHeight="1">
      <c r="A26" s="338"/>
      <c r="B26" s="318"/>
      <c r="C26" s="338"/>
      <c r="D26" s="317"/>
      <c r="E26" s="317"/>
      <c r="F26" s="317"/>
      <c r="G26" s="317"/>
      <c r="H26" s="317"/>
      <c r="I26" s="318"/>
    </row>
    <row r="27" spans="1:9" ht="15.75" customHeight="1">
      <c r="A27" s="322"/>
      <c r="B27" s="324"/>
      <c r="C27" s="322"/>
      <c r="D27" s="323"/>
      <c r="E27" s="323"/>
      <c r="F27" s="323"/>
      <c r="G27" s="323"/>
      <c r="H27" s="323"/>
      <c r="I27" s="324"/>
    </row>
    <row r="28" spans="1:9" ht="15.75">
      <c r="A28" s="1"/>
      <c r="B28" s="42"/>
      <c r="C28" s="42"/>
      <c r="D28" s="42"/>
      <c r="E28" s="42"/>
      <c r="F28" s="42"/>
      <c r="G28" s="42"/>
      <c r="H28" s="42"/>
      <c r="I28" s="42"/>
    </row>
    <row r="29" spans="1:9" ht="36.75" customHeight="1">
      <c r="A29" s="313" t="s">
        <v>276</v>
      </c>
      <c r="B29" s="314"/>
      <c r="C29" s="314"/>
      <c r="D29" s="314"/>
      <c r="E29" s="314"/>
      <c r="F29" s="314"/>
      <c r="G29" s="314"/>
      <c r="H29" s="314"/>
      <c r="I29" s="315"/>
    </row>
    <row r="66" spans="6:6">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13" workbookViewId="0">
      <selection activeCell="G19" sqref="G19"/>
    </sheetView>
  </sheetViews>
  <sheetFormatPr defaultColWidth="8.85546875" defaultRowHeight="15"/>
  <cols>
    <col min="1" max="1" width="36.7109375" style="42" customWidth="1"/>
    <col min="2" max="2" width="17.7109375" style="42" customWidth="1"/>
    <col min="3" max="3" width="37.28515625" style="42" customWidth="1"/>
    <col min="4" max="14" width="8.85546875" style="42"/>
    <col min="15" max="15" width="9" style="42" customWidth="1"/>
    <col min="16" max="16384" width="8.85546875" style="42"/>
  </cols>
  <sheetData>
    <row r="1" spans="1:15">
      <c r="A1" s="42" t="str">
        <f>+'Cover Page'!$B$29</f>
        <v>Annual Performance Report 2022</v>
      </c>
      <c r="C1" s="42" t="str">
        <f>+'Cover Page'!$B$33</f>
        <v>Energy Works Hull</v>
      </c>
    </row>
    <row r="2" spans="1:15" ht="10.15" customHeight="1"/>
    <row r="3" spans="1:15" ht="15.75">
      <c r="A3" s="1" t="s">
        <v>277</v>
      </c>
      <c r="E3" s="37" t="s">
        <v>2</v>
      </c>
    </row>
    <row r="4" spans="1:15" ht="9.4" customHeight="1"/>
    <row r="5" spans="1:15">
      <c r="A5" s="339" t="s">
        <v>278</v>
      </c>
      <c r="B5" s="340"/>
      <c r="C5" s="340"/>
    </row>
    <row r="6" spans="1:15" ht="30">
      <c r="A6" s="341" t="s">
        <v>279</v>
      </c>
      <c r="B6" s="342">
        <v>74740.842629999999</v>
      </c>
      <c r="C6" s="343" t="s">
        <v>280</v>
      </c>
    </row>
    <row r="7" spans="1:15" ht="45">
      <c r="A7" s="341" t="s">
        <v>281</v>
      </c>
      <c r="B7" s="344">
        <f>B6/'Operational Data'!G21</f>
        <v>1.4391336072418759</v>
      </c>
      <c r="C7" s="343" t="s">
        <v>280</v>
      </c>
    </row>
    <row r="8" spans="1:15" ht="45">
      <c r="A8" s="341" t="s">
        <v>282</v>
      </c>
      <c r="B8" s="344">
        <f>B6/'Operational Data'!G25</f>
        <v>1.4451164090596216</v>
      </c>
      <c r="C8" s="343" t="s">
        <v>283</v>
      </c>
    </row>
    <row r="9" spans="1:15" ht="89.45" customHeight="1">
      <c r="A9" s="341" t="s">
        <v>284</v>
      </c>
      <c r="B9" s="345" t="s">
        <v>285</v>
      </c>
      <c r="C9" s="346"/>
      <c r="E9" s="82" t="s">
        <v>286</v>
      </c>
      <c r="F9" s="81"/>
      <c r="G9" s="81"/>
      <c r="H9" s="81"/>
      <c r="I9" s="81"/>
      <c r="J9" s="81"/>
      <c r="K9" s="81"/>
      <c r="L9" s="81"/>
      <c r="M9" s="81"/>
      <c r="N9" s="81"/>
      <c r="O9" s="81"/>
    </row>
    <row r="10" spans="1:15" ht="8.65" customHeight="1">
      <c r="A10" s="43"/>
      <c r="B10" s="44"/>
      <c r="C10" s="44"/>
    </row>
    <row r="11" spans="1:15">
      <c r="A11" s="347" t="s">
        <v>287</v>
      </c>
      <c r="B11" s="340"/>
      <c r="C11" s="340"/>
    </row>
    <row r="12" spans="1:15" ht="33.4" customHeight="1">
      <c r="A12" s="341" t="s">
        <v>288</v>
      </c>
      <c r="B12" s="342">
        <f>199.11/1000</f>
        <v>0.19911000000000001</v>
      </c>
      <c r="C12" s="343" t="s">
        <v>280</v>
      </c>
    </row>
    <row r="13" spans="1:15" ht="101.45" customHeight="1">
      <c r="A13" s="341" t="s">
        <v>289</v>
      </c>
      <c r="B13" s="345" t="s">
        <v>285</v>
      </c>
      <c r="C13" s="346"/>
      <c r="E13" s="80" t="s">
        <v>290</v>
      </c>
      <c r="F13" s="81"/>
      <c r="G13" s="81"/>
      <c r="H13" s="81"/>
      <c r="I13" s="81"/>
      <c r="J13" s="81"/>
      <c r="K13" s="81"/>
      <c r="L13" s="81"/>
      <c r="M13" s="81"/>
      <c r="N13" s="81"/>
      <c r="O13" s="81"/>
    </row>
    <row r="14" spans="1:15" ht="58.9" customHeight="1">
      <c r="A14" s="341" t="s">
        <v>291</v>
      </c>
      <c r="B14" s="348">
        <f>B6+(B12*298)</f>
        <v>74800.177410000004</v>
      </c>
      <c r="C14" s="343" t="s">
        <v>292</v>
      </c>
    </row>
    <row r="15" spans="1:15" ht="6.4" customHeight="1">
      <c r="A15" s="43"/>
      <c r="B15" s="44"/>
      <c r="C15" s="44"/>
    </row>
    <row r="16" spans="1:15" ht="39" customHeight="1">
      <c r="A16" s="339" t="s">
        <v>293</v>
      </c>
      <c r="B16" s="340"/>
      <c r="C16" s="340"/>
    </row>
    <row r="17" spans="1:15" ht="49.15" customHeight="1">
      <c r="A17" s="341" t="s">
        <v>294</v>
      </c>
      <c r="B17" s="349">
        <v>0.51800000000000002</v>
      </c>
      <c r="C17" s="343"/>
    </row>
    <row r="18" spans="1:15" ht="103.15" customHeight="1">
      <c r="A18" s="341" t="s">
        <v>295</v>
      </c>
      <c r="B18" s="350" t="s">
        <v>296</v>
      </c>
      <c r="C18" s="351"/>
      <c r="E18" s="80" t="s">
        <v>297</v>
      </c>
      <c r="F18" s="81"/>
      <c r="G18" s="81"/>
      <c r="H18" s="81"/>
      <c r="I18" s="81"/>
      <c r="J18" s="81"/>
      <c r="K18" s="81"/>
      <c r="L18" s="81"/>
      <c r="M18" s="81"/>
      <c r="N18" s="81"/>
      <c r="O18" s="81"/>
    </row>
    <row r="19" spans="1:15" ht="51.75" customHeight="1">
      <c r="A19" s="341" t="s">
        <v>298</v>
      </c>
      <c r="B19" s="349">
        <f>B17</f>
        <v>0.51800000000000002</v>
      </c>
      <c r="C19" s="343"/>
    </row>
    <row r="20" spans="1:15" ht="92.45" customHeight="1">
      <c r="A20" s="341" t="s">
        <v>299</v>
      </c>
      <c r="B20" s="350" t="s">
        <v>300</v>
      </c>
      <c r="C20" s="351"/>
      <c r="E20" s="80" t="s">
        <v>301</v>
      </c>
      <c r="F20" s="81"/>
      <c r="G20" s="81"/>
      <c r="H20" s="81"/>
      <c r="I20" s="81"/>
      <c r="J20" s="81"/>
      <c r="K20" s="81"/>
      <c r="L20" s="81"/>
      <c r="M20" s="81"/>
      <c r="N20" s="81"/>
      <c r="O20" s="81"/>
    </row>
    <row r="21" spans="1:15" ht="10.15" customHeight="1"/>
    <row r="22" spans="1:15">
      <c r="A22" s="42" t="s">
        <v>302</v>
      </c>
    </row>
    <row r="23" spans="1:15">
      <c r="A23" s="277"/>
      <c r="B23" s="277"/>
      <c r="C23" s="277"/>
    </row>
    <row r="24" spans="1:15" ht="64.900000000000006" customHeight="1">
      <c r="A24" s="277"/>
      <c r="B24" s="277"/>
      <c r="C24" s="277"/>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I33" sqref="I33"/>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42" t="str">
        <f>+'Cover Page'!$B$29</f>
        <v>Annual Performance Report 2022</v>
      </c>
      <c r="B1" s="42"/>
      <c r="C1" s="42"/>
      <c r="D1" s="42"/>
      <c r="E1" s="42" t="str">
        <f>+'Cover Page'!$B$33</f>
        <v>Energy Works Hull</v>
      </c>
      <c r="F1" s="42"/>
      <c r="G1" s="42"/>
    </row>
    <row r="3" spans="1:7" ht="15.75">
      <c r="A3" s="1" t="s">
        <v>303</v>
      </c>
      <c r="B3" s="42"/>
      <c r="C3" s="42"/>
      <c r="D3" s="42"/>
      <c r="E3" s="42"/>
      <c r="F3" s="42"/>
      <c r="G3" s="42"/>
    </row>
    <row r="4" spans="1:7" ht="15.75">
      <c r="A4" s="1"/>
      <c r="B4" s="42"/>
      <c r="C4" s="42"/>
      <c r="D4" s="42"/>
      <c r="E4" s="42"/>
      <c r="F4" s="42"/>
      <c r="G4" s="42"/>
    </row>
    <row r="5" spans="1:7" s="3" customFormat="1" ht="21.75" customHeight="1">
      <c r="A5" s="334" t="s">
        <v>304</v>
      </c>
      <c r="B5" s="335"/>
      <c r="C5" s="335"/>
      <c r="D5" s="335"/>
      <c r="E5" s="335"/>
      <c r="F5" s="335"/>
      <c r="G5" s="336"/>
    </row>
    <row r="6" spans="1:7" s="3" customFormat="1" ht="15.75" customHeight="1">
      <c r="A6" s="135" t="s">
        <v>305</v>
      </c>
      <c r="B6" s="136"/>
      <c r="C6" s="136"/>
      <c r="D6" s="136"/>
      <c r="E6" s="136"/>
      <c r="F6" s="136"/>
      <c r="G6" s="137"/>
    </row>
    <row r="7" spans="1:7" s="3" customFormat="1" ht="15.75" customHeight="1">
      <c r="A7" s="141"/>
      <c r="B7" s="142"/>
      <c r="C7" s="142"/>
      <c r="D7" s="142"/>
      <c r="E7" s="142"/>
      <c r="F7" s="142"/>
      <c r="G7" s="143"/>
    </row>
    <row r="8" spans="1:7" s="3" customFormat="1" ht="15.75" customHeight="1">
      <c r="A8" s="135"/>
      <c r="B8" s="136"/>
      <c r="C8" s="136"/>
      <c r="D8" s="136"/>
      <c r="E8" s="136"/>
      <c r="F8" s="136"/>
      <c r="G8" s="137"/>
    </row>
    <row r="9" spans="1:7" s="3" customFormat="1" ht="15.75" customHeight="1">
      <c r="A9" s="141"/>
      <c r="B9" s="142"/>
      <c r="C9" s="142"/>
      <c r="D9" s="142"/>
      <c r="E9" s="142"/>
      <c r="F9" s="142"/>
      <c r="G9" s="143"/>
    </row>
    <row r="10" spans="1:7" s="3" customFormat="1" ht="15.75" customHeight="1">
      <c r="A10" s="135"/>
      <c r="B10" s="136"/>
      <c r="C10" s="136"/>
      <c r="D10" s="136"/>
      <c r="E10" s="136"/>
      <c r="F10" s="136"/>
      <c r="G10" s="137"/>
    </row>
    <row r="11" spans="1:7" s="3" customFormat="1" ht="15.75" customHeight="1">
      <c r="A11" s="141"/>
      <c r="B11" s="142"/>
      <c r="C11" s="142"/>
      <c r="D11" s="142"/>
      <c r="E11" s="142"/>
      <c r="F11" s="142"/>
      <c r="G11" s="143"/>
    </row>
    <row r="12" spans="1:7" s="3" customFormat="1" ht="14.25"/>
    <row r="13" spans="1:7" s="21" customFormat="1" ht="33.75" customHeight="1">
      <c r="A13" s="313" t="s">
        <v>306</v>
      </c>
      <c r="B13" s="314"/>
      <c r="C13" s="314"/>
      <c r="D13" s="314"/>
      <c r="E13" s="314"/>
      <c r="F13" s="314"/>
      <c r="G13" s="315"/>
    </row>
    <row r="14" spans="1:7" ht="15.75" customHeight="1">
      <c r="A14" s="286" t="s">
        <v>307</v>
      </c>
      <c r="B14" s="287"/>
      <c r="C14" s="286" t="s">
        <v>273</v>
      </c>
      <c r="D14" s="304"/>
      <c r="E14" s="304"/>
      <c r="F14" s="304"/>
      <c r="G14" s="304"/>
    </row>
    <row r="15" spans="1:7" ht="15.75" customHeight="1">
      <c r="A15" s="135"/>
      <c r="B15" s="137"/>
      <c r="C15" s="338"/>
      <c r="D15" s="317"/>
      <c r="E15" s="317"/>
      <c r="F15" s="317"/>
      <c r="G15" s="318"/>
    </row>
    <row r="16" spans="1:7" ht="15.75" customHeight="1">
      <c r="A16" s="141"/>
      <c r="B16" s="143"/>
      <c r="C16" s="322"/>
      <c r="D16" s="323"/>
      <c r="E16" s="323"/>
      <c r="F16" s="323"/>
      <c r="G16" s="324"/>
    </row>
    <row r="17" spans="1:11" ht="15.75" customHeight="1">
      <c r="A17" s="338"/>
      <c r="B17" s="318"/>
      <c r="C17" s="338"/>
      <c r="D17" s="317"/>
      <c r="E17" s="317"/>
      <c r="F17" s="317"/>
      <c r="G17" s="318"/>
      <c r="H17" s="42"/>
      <c r="I17" s="42"/>
      <c r="J17" s="42"/>
      <c r="K17" s="42"/>
    </row>
    <row r="18" spans="1:11" ht="15.75" customHeight="1">
      <c r="A18" s="322"/>
      <c r="B18" s="324"/>
      <c r="C18" s="322"/>
      <c r="D18" s="323"/>
      <c r="E18" s="323"/>
      <c r="F18" s="323"/>
      <c r="G18" s="324"/>
      <c r="H18" s="42"/>
      <c r="I18" s="42"/>
      <c r="J18" s="42"/>
      <c r="K18" s="42"/>
    </row>
    <row r="19" spans="1:11" ht="15.75" customHeight="1">
      <c r="A19" s="338"/>
      <c r="B19" s="318"/>
      <c r="C19" s="338"/>
      <c r="D19" s="317"/>
      <c r="E19" s="317"/>
      <c r="F19" s="317"/>
      <c r="G19" s="318"/>
      <c r="H19" s="42"/>
      <c r="I19" s="42"/>
      <c r="J19" s="42"/>
      <c r="K19" s="42"/>
    </row>
    <row r="20" spans="1:11" ht="15.75" customHeight="1">
      <c r="A20" s="322"/>
      <c r="B20" s="324"/>
      <c r="C20" s="322"/>
      <c r="D20" s="323"/>
      <c r="E20" s="323"/>
      <c r="F20" s="323"/>
      <c r="G20" s="324"/>
      <c r="H20" s="42"/>
      <c r="I20" s="42"/>
      <c r="J20" s="42"/>
      <c r="K20" s="42"/>
    </row>
    <row r="21" spans="1:11" ht="15.75" customHeight="1">
      <c r="A21" s="338"/>
      <c r="B21" s="318"/>
      <c r="C21" s="338"/>
      <c r="D21" s="317"/>
      <c r="E21" s="317"/>
      <c r="F21" s="317"/>
      <c r="G21" s="318"/>
      <c r="H21" s="42"/>
      <c r="I21" s="42"/>
      <c r="J21" s="42"/>
      <c r="K21" s="42"/>
    </row>
    <row r="22" spans="1:11" ht="15.75" customHeight="1">
      <c r="A22" s="322"/>
      <c r="B22" s="324"/>
      <c r="C22" s="322"/>
      <c r="D22" s="323"/>
      <c r="E22" s="323"/>
      <c r="F22" s="323"/>
      <c r="G22" s="324"/>
      <c r="H22" s="42"/>
      <c r="I22" s="42"/>
      <c r="J22" s="42"/>
      <c r="K22" s="42"/>
    </row>
    <row r="23" spans="1:11" ht="15.75" customHeight="1">
      <c r="A23" s="338"/>
      <c r="B23" s="318"/>
      <c r="C23" s="338"/>
      <c r="D23" s="317"/>
      <c r="E23" s="317"/>
      <c r="F23" s="317"/>
      <c r="G23" s="318"/>
      <c r="H23" s="42"/>
      <c r="I23" s="42"/>
      <c r="J23" s="42"/>
      <c r="K23" s="42"/>
    </row>
    <row r="24" spans="1:11" ht="15.75" customHeight="1">
      <c r="A24" s="322"/>
      <c r="B24" s="324"/>
      <c r="C24" s="322"/>
      <c r="D24" s="323"/>
      <c r="E24" s="323"/>
      <c r="F24" s="323"/>
      <c r="G24" s="324"/>
      <c r="H24" s="42"/>
      <c r="I24" s="42"/>
      <c r="J24" s="42"/>
      <c r="K24" s="42"/>
    </row>
    <row r="26" spans="1:11">
      <c r="A26" s="49"/>
      <c r="B26" s="49"/>
      <c r="C26" s="49"/>
      <c r="D26" s="49"/>
      <c r="E26" s="49"/>
      <c r="F26" s="49"/>
      <c r="G26" s="49"/>
      <c r="H26" s="42"/>
      <c r="I26" s="42"/>
      <c r="J26" s="42"/>
      <c r="K26" s="42"/>
    </row>
    <row r="27" spans="1:11" s="22" customFormat="1" ht="16.5" customHeight="1">
      <c r="A27" s="352" t="s">
        <v>308</v>
      </c>
      <c r="B27" s="352"/>
      <c r="C27" s="352"/>
      <c r="D27" s="352"/>
      <c r="E27" s="352"/>
      <c r="F27" s="352"/>
      <c r="G27" s="352"/>
    </row>
    <row r="28" spans="1:11" s="7" customFormat="1" ht="17.25" customHeight="1">
      <c r="A28" s="353" t="s">
        <v>309</v>
      </c>
      <c r="B28" s="353"/>
      <c r="C28" s="291" t="s">
        <v>310</v>
      </c>
      <c r="D28" s="291" t="s">
        <v>311</v>
      </c>
      <c r="E28" s="291"/>
      <c r="F28" s="291"/>
      <c r="G28" s="291"/>
      <c r="H28" s="49"/>
      <c r="I28" s="49"/>
      <c r="J28" s="49"/>
      <c r="K28" s="49"/>
    </row>
    <row r="29" spans="1:11" s="7" customFormat="1" ht="17.25" customHeight="1">
      <c r="A29" s="353"/>
      <c r="B29" s="353"/>
      <c r="C29" s="291"/>
      <c r="D29" s="291" t="s">
        <v>312</v>
      </c>
      <c r="E29" s="291"/>
      <c r="F29" s="291" t="s">
        <v>163</v>
      </c>
      <c r="G29" s="291"/>
      <c r="H29" s="49"/>
      <c r="I29" s="49"/>
      <c r="J29" s="49"/>
      <c r="K29" s="49"/>
    </row>
    <row r="30" spans="1:11" s="16" customFormat="1" ht="38.1" customHeight="1">
      <c r="A30" s="224" t="s">
        <v>313</v>
      </c>
      <c r="B30" s="224"/>
      <c r="C30" s="354" t="s">
        <v>314</v>
      </c>
      <c r="D30" s="355" t="s">
        <v>234</v>
      </c>
      <c r="E30" s="355"/>
      <c r="F30" s="356"/>
      <c r="G30" s="357"/>
      <c r="H30" s="241"/>
      <c r="I30" s="241"/>
      <c r="J30" s="49"/>
      <c r="K30" s="49"/>
    </row>
    <row r="31" spans="1:11" s="16" customFormat="1" ht="38.1" customHeight="1">
      <c r="A31" s="224" t="s">
        <v>315</v>
      </c>
      <c r="B31" s="224"/>
      <c r="C31" s="272" t="s">
        <v>316</v>
      </c>
      <c r="D31" s="355" t="s">
        <v>317</v>
      </c>
      <c r="E31" s="355"/>
      <c r="F31" s="356"/>
      <c r="G31" s="357"/>
      <c r="H31" s="241"/>
      <c r="I31" s="241"/>
      <c r="J31" s="49"/>
      <c r="K31" s="49"/>
    </row>
    <row r="32" spans="1:11" s="16" customFormat="1" ht="38.1" customHeight="1">
      <c r="A32" s="224" t="s">
        <v>318</v>
      </c>
      <c r="B32" s="224"/>
      <c r="C32" s="272" t="s">
        <v>319</v>
      </c>
      <c r="D32" s="355" t="s">
        <v>320</v>
      </c>
      <c r="E32" s="355"/>
      <c r="F32" s="358" t="s">
        <v>321</v>
      </c>
      <c r="G32" s="359"/>
      <c r="H32" s="241"/>
      <c r="I32" s="241"/>
      <c r="J32" s="49"/>
      <c r="K32" s="49"/>
    </row>
    <row r="33" spans="1:7" s="16" customFormat="1" ht="38.1" customHeight="1">
      <c r="A33" s="224" t="s">
        <v>322</v>
      </c>
      <c r="B33" s="224"/>
      <c r="C33" s="272" t="s">
        <v>319</v>
      </c>
      <c r="D33" s="355" t="s">
        <v>323</v>
      </c>
      <c r="E33" s="355"/>
      <c r="F33" s="356"/>
      <c r="G33" s="357"/>
    </row>
    <row r="35" spans="1:7">
      <c r="A35" s="242" t="s">
        <v>324</v>
      </c>
      <c r="B35" s="242"/>
      <c r="C35" s="242"/>
      <c r="D35" s="242"/>
      <c r="E35" s="242"/>
      <c r="F35" s="242"/>
      <c r="G35" s="242"/>
    </row>
    <row r="36" spans="1:7">
      <c r="A36" s="360"/>
      <c r="B36" s="360"/>
      <c r="C36" s="360"/>
      <c r="D36" s="360"/>
      <c r="E36" s="360"/>
      <c r="F36" s="360"/>
      <c r="G36" s="360"/>
    </row>
    <row r="37" spans="1:7">
      <c r="A37" s="360"/>
      <c r="B37" s="360"/>
      <c r="C37" s="360"/>
      <c r="D37" s="360"/>
      <c r="E37" s="360"/>
      <c r="F37" s="360"/>
      <c r="G37" s="360"/>
    </row>
    <row r="38" spans="1:7">
      <c r="A38" s="360"/>
      <c r="B38" s="360"/>
      <c r="C38" s="360"/>
      <c r="D38" s="360"/>
      <c r="E38" s="360"/>
      <c r="F38" s="360"/>
      <c r="G38" s="360"/>
    </row>
    <row r="39" spans="1:7">
      <c r="A39" s="360"/>
      <c r="B39" s="360"/>
      <c r="C39" s="360"/>
      <c r="D39" s="360"/>
      <c r="E39" s="360"/>
      <c r="F39" s="360"/>
      <c r="G39" s="360"/>
    </row>
    <row r="40" spans="1:7">
      <c r="A40" s="360"/>
      <c r="B40" s="360"/>
      <c r="C40" s="360"/>
      <c r="D40" s="360"/>
      <c r="E40" s="360"/>
      <c r="F40" s="360"/>
      <c r="G40" s="360"/>
    </row>
    <row r="41" spans="1:7">
      <c r="A41" s="360"/>
      <c r="B41" s="360"/>
      <c r="C41" s="360"/>
      <c r="D41" s="360"/>
      <c r="E41" s="360"/>
      <c r="F41" s="360"/>
      <c r="G41" s="360"/>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K13" sqref="K13"/>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42" t="str">
        <f>+'Cover Page'!$B$29</f>
        <v>Annual Performance Report 2022</v>
      </c>
      <c r="B1" s="42"/>
      <c r="C1" s="42"/>
      <c r="D1" s="42"/>
      <c r="E1" s="42" t="str">
        <f>+'Cover Page'!$B$33</f>
        <v>Energy Works Hull</v>
      </c>
      <c r="F1" s="42"/>
      <c r="G1" s="42"/>
      <c r="H1" s="42"/>
      <c r="I1" s="42"/>
    </row>
    <row r="3" spans="1:9" ht="15.75">
      <c r="A3" s="1" t="s">
        <v>39</v>
      </c>
      <c r="B3" s="42"/>
      <c r="C3" s="42"/>
      <c r="D3" s="42"/>
      <c r="E3" s="42"/>
      <c r="F3" s="42"/>
      <c r="G3" s="42"/>
      <c r="H3" s="42"/>
      <c r="I3" s="42"/>
    </row>
    <row r="4" spans="1:9" ht="15.75">
      <c r="A4" s="1"/>
      <c r="B4" s="42"/>
      <c r="C4" s="42"/>
      <c r="D4" s="42"/>
      <c r="E4" s="42"/>
      <c r="F4" s="42"/>
      <c r="G4" s="42"/>
      <c r="H4" s="42"/>
      <c r="I4" s="42"/>
    </row>
    <row r="5" spans="1:9" s="3" customFormat="1" ht="21.75" customHeight="1">
      <c r="A5" s="334" t="s">
        <v>304</v>
      </c>
      <c r="B5" s="335"/>
      <c r="C5" s="335"/>
      <c r="D5" s="335"/>
      <c r="E5" s="335"/>
      <c r="F5" s="335"/>
      <c r="G5" s="335"/>
      <c r="H5" s="335"/>
      <c r="I5" s="336"/>
    </row>
    <row r="6" spans="1:9" s="3" customFormat="1" ht="15.75" customHeight="1">
      <c r="A6" s="135" t="s">
        <v>325</v>
      </c>
      <c r="B6" s="317"/>
      <c r="C6" s="317"/>
      <c r="D6" s="317"/>
      <c r="E6" s="317"/>
      <c r="F6" s="317"/>
      <c r="G6" s="317"/>
      <c r="H6" s="317"/>
      <c r="I6" s="318"/>
    </row>
    <row r="7" spans="1:9" s="3" customFormat="1" ht="15.75" customHeight="1">
      <c r="A7" s="322"/>
      <c r="B7" s="323"/>
      <c r="C7" s="323"/>
      <c r="D7" s="323"/>
      <c r="E7" s="323"/>
      <c r="F7" s="323"/>
      <c r="G7" s="323"/>
      <c r="H7" s="323"/>
      <c r="I7" s="324"/>
    </row>
    <row r="8" spans="1:9" s="3" customFormat="1" ht="15.75" customHeight="1">
      <c r="A8" s="135" t="s">
        <v>326</v>
      </c>
      <c r="B8" s="136"/>
      <c r="C8" s="136"/>
      <c r="D8" s="136"/>
      <c r="E8" s="136"/>
      <c r="F8" s="136"/>
      <c r="G8" s="136"/>
      <c r="H8" s="136"/>
      <c r="I8" s="137"/>
    </row>
    <row r="9" spans="1:9" s="3" customFormat="1" ht="15.75" customHeight="1">
      <c r="A9" s="141"/>
      <c r="B9" s="142"/>
      <c r="C9" s="142"/>
      <c r="D9" s="142"/>
      <c r="E9" s="142"/>
      <c r="F9" s="142"/>
      <c r="G9" s="142"/>
      <c r="H9" s="142"/>
      <c r="I9" s="143"/>
    </row>
    <row r="10" spans="1:9" s="3" customFormat="1" ht="15.75" customHeight="1">
      <c r="A10" s="135"/>
      <c r="B10" s="136"/>
      <c r="C10" s="136"/>
      <c r="D10" s="136"/>
      <c r="E10" s="136"/>
      <c r="F10" s="136"/>
      <c r="G10" s="136"/>
      <c r="H10" s="136"/>
      <c r="I10" s="137"/>
    </row>
    <row r="11" spans="1:9" s="3" customFormat="1" ht="15.75" customHeight="1">
      <c r="A11" s="141"/>
      <c r="B11" s="142"/>
      <c r="C11" s="142"/>
      <c r="D11" s="142"/>
      <c r="E11" s="142"/>
      <c r="F11" s="142"/>
      <c r="G11" s="142"/>
      <c r="H11" s="142"/>
      <c r="I11" s="143"/>
    </row>
    <row r="12" spans="1:9" s="3" customFormat="1" ht="14.25"/>
    <row r="13" spans="1:9" s="21" customFormat="1" ht="33.75" customHeight="1">
      <c r="A13" s="313" t="s">
        <v>306</v>
      </c>
      <c r="B13" s="314"/>
      <c r="C13" s="314"/>
      <c r="D13" s="314"/>
      <c r="E13" s="314"/>
      <c r="F13" s="314"/>
      <c r="G13" s="314"/>
      <c r="H13" s="314"/>
      <c r="I13" s="315"/>
    </row>
    <row r="14" spans="1:9" ht="15.75" customHeight="1">
      <c r="A14" s="286" t="s">
        <v>307</v>
      </c>
      <c r="B14" s="287"/>
      <c r="C14" s="286" t="s">
        <v>273</v>
      </c>
      <c r="D14" s="304"/>
      <c r="E14" s="304"/>
      <c r="F14" s="304"/>
      <c r="G14" s="304"/>
      <c r="H14" s="304"/>
      <c r="I14" s="304"/>
    </row>
    <row r="15" spans="1:9" ht="15.75" customHeight="1">
      <c r="A15" s="135"/>
      <c r="B15" s="137"/>
      <c r="C15" s="338"/>
      <c r="D15" s="317"/>
      <c r="E15" s="317"/>
      <c r="F15" s="317"/>
      <c r="G15" s="317"/>
      <c r="H15" s="317"/>
      <c r="I15" s="318"/>
    </row>
    <row r="16" spans="1:9" ht="15.75" customHeight="1">
      <c r="A16" s="141"/>
      <c r="B16" s="143"/>
      <c r="C16" s="322"/>
      <c r="D16" s="323"/>
      <c r="E16" s="323"/>
      <c r="F16" s="323"/>
      <c r="G16" s="323"/>
      <c r="H16" s="323"/>
      <c r="I16" s="324"/>
    </row>
    <row r="17" spans="1:9" ht="15.75" customHeight="1">
      <c r="A17" s="338"/>
      <c r="B17" s="318"/>
      <c r="C17" s="338"/>
      <c r="D17" s="317"/>
      <c r="E17" s="317"/>
      <c r="F17" s="317"/>
      <c r="G17" s="317"/>
      <c r="H17" s="317"/>
      <c r="I17" s="318"/>
    </row>
    <row r="18" spans="1:9" ht="15.75" customHeight="1">
      <c r="A18" s="322"/>
      <c r="B18" s="324"/>
      <c r="C18" s="322"/>
      <c r="D18" s="323"/>
      <c r="E18" s="323"/>
      <c r="F18" s="323"/>
      <c r="G18" s="323"/>
      <c r="H18" s="323"/>
      <c r="I18" s="324"/>
    </row>
    <row r="19" spans="1:9" ht="15.75" customHeight="1">
      <c r="A19" s="338"/>
      <c r="B19" s="318"/>
      <c r="C19" s="338"/>
      <c r="D19" s="317"/>
      <c r="E19" s="317"/>
      <c r="F19" s="317"/>
      <c r="G19" s="317"/>
      <c r="H19" s="317"/>
      <c r="I19" s="318"/>
    </row>
    <row r="20" spans="1:9" ht="15.75" customHeight="1">
      <c r="A20" s="322"/>
      <c r="B20" s="324"/>
      <c r="C20" s="322"/>
      <c r="D20" s="323"/>
      <c r="E20" s="323"/>
      <c r="F20" s="323"/>
      <c r="G20" s="323"/>
      <c r="H20" s="323"/>
      <c r="I20" s="324"/>
    </row>
    <row r="22" spans="1:9" ht="22.5" customHeight="1">
      <c r="A22" s="361" t="s">
        <v>327</v>
      </c>
      <c r="B22" s="362"/>
      <c r="C22" s="362"/>
      <c r="D22" s="362"/>
      <c r="E22" s="362"/>
      <c r="F22" s="362"/>
      <c r="G22" s="362"/>
      <c r="H22" s="362"/>
      <c r="I22" s="362"/>
    </row>
    <row r="23" spans="1:9" ht="19.5" customHeight="1">
      <c r="A23" s="363" t="s">
        <v>193</v>
      </c>
      <c r="B23" s="364"/>
      <c r="C23" s="365"/>
      <c r="D23" s="366" t="s">
        <v>328</v>
      </c>
      <c r="E23" s="367"/>
      <c r="F23" s="368" t="s">
        <v>310</v>
      </c>
      <c r="G23" s="368" t="s">
        <v>329</v>
      </c>
      <c r="H23" s="368" t="s">
        <v>330</v>
      </c>
      <c r="I23" s="368" t="s">
        <v>331</v>
      </c>
    </row>
    <row r="24" spans="1:9">
      <c r="A24" s="369"/>
      <c r="B24" s="370"/>
      <c r="C24" s="371"/>
      <c r="D24" s="372"/>
      <c r="E24" s="373"/>
      <c r="F24" s="374"/>
      <c r="G24" s="374"/>
      <c r="H24" s="374"/>
      <c r="I24" s="374"/>
    </row>
    <row r="25" spans="1:9">
      <c r="A25" s="369"/>
      <c r="B25" s="370"/>
      <c r="C25" s="371"/>
      <c r="D25" s="372"/>
      <c r="E25" s="373"/>
      <c r="F25" s="374"/>
      <c r="G25" s="374"/>
      <c r="H25" s="374"/>
      <c r="I25" s="374"/>
    </row>
    <row r="26" spans="1:9">
      <c r="A26" s="369"/>
      <c r="B26" s="370"/>
      <c r="C26" s="371"/>
      <c r="D26" s="372"/>
      <c r="E26" s="373"/>
      <c r="F26" s="374"/>
      <c r="G26" s="374"/>
      <c r="H26" s="374"/>
      <c r="I26" s="374"/>
    </row>
    <row r="27" spans="1:9">
      <c r="A27" s="369"/>
      <c r="B27" s="370"/>
      <c r="C27" s="371"/>
      <c r="D27" s="372"/>
      <c r="E27" s="373"/>
      <c r="F27" s="374"/>
      <c r="G27" s="374"/>
      <c r="H27" s="374"/>
      <c r="I27" s="374"/>
    </row>
    <row r="28" spans="1:9">
      <c r="A28" s="369"/>
      <c r="B28" s="370"/>
      <c r="C28" s="371"/>
      <c r="D28" s="372"/>
      <c r="E28" s="373"/>
      <c r="F28" s="374"/>
      <c r="G28" s="374"/>
      <c r="H28" s="374"/>
      <c r="I28" s="374"/>
    </row>
    <row r="29" spans="1:9">
      <c r="A29" s="369"/>
      <c r="B29" s="370"/>
      <c r="C29" s="371"/>
      <c r="D29" s="372"/>
      <c r="E29" s="373"/>
      <c r="F29" s="374"/>
      <c r="G29" s="374"/>
      <c r="H29" s="374"/>
      <c r="I29" s="374"/>
    </row>
    <row r="30" spans="1:9">
      <c r="A30" s="375"/>
      <c r="B30" s="375"/>
      <c r="C30" s="375"/>
      <c r="D30" s="372"/>
      <c r="E30" s="373"/>
      <c r="F30" s="374"/>
      <c r="G30" s="374"/>
      <c r="H30" s="374"/>
      <c r="I30" s="374"/>
    </row>
    <row r="31" spans="1:9">
      <c r="A31" s="49"/>
      <c r="B31" s="49"/>
      <c r="C31" s="49"/>
      <c r="D31" s="49"/>
      <c r="E31" s="49"/>
      <c r="F31" s="49"/>
      <c r="G31" s="49"/>
      <c r="H31" s="49"/>
      <c r="I31" s="49"/>
    </row>
    <row r="32" spans="1:9">
      <c r="A32" s="49"/>
      <c r="B32" s="49"/>
      <c r="C32" s="49"/>
      <c r="D32" s="49"/>
      <c r="E32" s="49"/>
      <c r="F32" s="49"/>
      <c r="G32" s="49"/>
      <c r="H32" s="49"/>
      <c r="I32" s="49"/>
    </row>
    <row r="33" spans="1:9">
      <c r="A33" s="49"/>
      <c r="B33" s="49"/>
      <c r="C33" s="49"/>
      <c r="D33" s="49"/>
      <c r="E33" s="49"/>
      <c r="F33" s="49"/>
      <c r="G33" s="49"/>
      <c r="H33" s="49"/>
      <c r="I33" s="49"/>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5"/>
  <sheetViews>
    <sheetView workbookViewId="0">
      <selection activeCell="L14" sqref="L14"/>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42" t="str">
        <f>+'Cover Page'!$B$29</f>
        <v>Annual Performance Report 2022</v>
      </c>
      <c r="B1" s="42"/>
      <c r="C1" s="42"/>
      <c r="D1" s="42"/>
      <c r="E1" s="42" t="str">
        <f>+'Cover Page'!$B$33</f>
        <v>Energy Works Hull</v>
      </c>
      <c r="F1" s="42"/>
      <c r="G1" s="42"/>
      <c r="H1" s="42"/>
      <c r="I1" s="42"/>
      <c r="J1" s="42"/>
      <c r="K1" s="42"/>
      <c r="L1" s="42"/>
      <c r="M1" s="42"/>
      <c r="N1" s="42"/>
      <c r="O1" s="42"/>
      <c r="P1" s="42"/>
    </row>
    <row r="2" spans="1:16" ht="7.5" customHeight="1">
      <c r="A2" s="42"/>
      <c r="B2" s="42"/>
      <c r="C2" s="42"/>
      <c r="D2" s="42"/>
      <c r="E2" s="42"/>
      <c r="F2" s="42"/>
      <c r="G2" s="42"/>
      <c r="H2" s="42"/>
      <c r="I2" s="42"/>
      <c r="J2" s="42"/>
      <c r="K2" s="42"/>
      <c r="L2" s="42"/>
      <c r="M2" s="42"/>
      <c r="N2" s="42"/>
      <c r="O2" s="42"/>
      <c r="P2" s="42"/>
    </row>
    <row r="3" spans="1:16" ht="15.75">
      <c r="A3" s="1" t="s">
        <v>40</v>
      </c>
      <c r="B3" s="42"/>
      <c r="C3" s="42"/>
      <c r="D3" s="42"/>
      <c r="E3" s="42"/>
      <c r="F3" s="42"/>
      <c r="G3" s="42"/>
      <c r="H3" s="42"/>
      <c r="I3" s="42"/>
      <c r="J3" s="42"/>
      <c r="K3" s="42"/>
      <c r="L3" s="42"/>
      <c r="M3" s="42"/>
      <c r="N3" s="42"/>
      <c r="O3" s="42"/>
      <c r="P3" s="42"/>
    </row>
    <row r="4" spans="1:16" ht="9.75" customHeight="1">
      <c r="A4" s="1"/>
      <c r="B4" s="42"/>
      <c r="C4" s="42"/>
      <c r="D4" s="42"/>
      <c r="E4" s="42"/>
      <c r="F4" s="42"/>
      <c r="G4" s="42"/>
      <c r="H4" s="42"/>
      <c r="I4" s="42"/>
      <c r="J4" s="42"/>
      <c r="K4" s="42"/>
      <c r="L4" s="42"/>
      <c r="M4" s="42"/>
      <c r="N4" s="42"/>
      <c r="O4" s="42"/>
      <c r="P4" s="42"/>
    </row>
    <row r="5" spans="1:16" s="3" customFormat="1" ht="21.75" customHeight="1">
      <c r="A5" s="334" t="s">
        <v>332</v>
      </c>
      <c r="B5" s="335"/>
      <c r="C5" s="335"/>
      <c r="D5" s="335"/>
      <c r="E5" s="335"/>
      <c r="F5" s="335"/>
      <c r="G5" s="335"/>
      <c r="H5" s="335"/>
      <c r="I5" s="335"/>
      <c r="J5" s="336"/>
      <c r="M5" s="38" t="s">
        <v>2</v>
      </c>
    </row>
    <row r="6" spans="1:16" s="3" customFormat="1" ht="15.75" customHeight="1">
      <c r="A6" s="338" t="s">
        <v>333</v>
      </c>
      <c r="B6" s="317"/>
      <c r="C6" s="317"/>
      <c r="D6" s="317"/>
      <c r="E6" s="317"/>
      <c r="F6" s="317"/>
      <c r="G6" s="317"/>
      <c r="H6" s="317"/>
      <c r="I6" s="317"/>
      <c r="J6" s="318"/>
      <c r="M6" s="85" t="s">
        <v>334</v>
      </c>
      <c r="N6" s="85"/>
      <c r="O6" s="85"/>
      <c r="P6" s="85"/>
    </row>
    <row r="7" spans="1:16" s="3" customFormat="1" ht="15.75" customHeight="1">
      <c r="A7" s="322"/>
      <c r="B7" s="323"/>
      <c r="C7" s="323"/>
      <c r="D7" s="323"/>
      <c r="E7" s="323"/>
      <c r="F7" s="323"/>
      <c r="G7" s="323"/>
      <c r="H7" s="323"/>
      <c r="I7" s="323"/>
      <c r="J7" s="324"/>
      <c r="M7" s="85"/>
      <c r="N7" s="85"/>
      <c r="O7" s="85"/>
      <c r="P7" s="85"/>
    </row>
    <row r="8" spans="1:16" s="3" customFormat="1" ht="14.25">
      <c r="M8" s="85"/>
      <c r="N8" s="85"/>
      <c r="O8" s="85"/>
      <c r="P8" s="85"/>
    </row>
    <row r="9" spans="1:16" s="22" customFormat="1" ht="16.5" customHeight="1">
      <c r="A9" s="352" t="s">
        <v>335</v>
      </c>
      <c r="B9" s="352"/>
      <c r="C9" s="352"/>
      <c r="D9" s="352"/>
      <c r="E9" s="352"/>
      <c r="F9" s="352"/>
      <c r="G9" s="352"/>
      <c r="H9" s="352"/>
      <c r="I9" s="352"/>
      <c r="J9" s="352"/>
      <c r="M9" s="85"/>
      <c r="N9" s="85"/>
      <c r="O9" s="85"/>
      <c r="P9" s="85"/>
    </row>
    <row r="10" spans="1:16" s="22" customFormat="1" ht="16.5" customHeight="1">
      <c r="A10" s="376" t="s">
        <v>222</v>
      </c>
      <c r="B10" s="377"/>
      <c r="C10" s="83" t="s">
        <v>336</v>
      </c>
      <c r="D10" s="378" t="s">
        <v>337</v>
      </c>
      <c r="E10" s="379"/>
      <c r="F10" s="380" t="s">
        <v>331</v>
      </c>
      <c r="G10" s="381"/>
      <c r="H10" s="381"/>
      <c r="I10" s="381"/>
      <c r="J10" s="382"/>
      <c r="M10" s="85" t="s">
        <v>338</v>
      </c>
      <c r="N10" s="85"/>
      <c r="O10" s="85"/>
      <c r="P10" s="85"/>
    </row>
    <row r="11" spans="1:16" s="7" customFormat="1" ht="17.25" customHeight="1">
      <c r="A11" s="383"/>
      <c r="B11" s="384"/>
      <c r="C11" s="84"/>
      <c r="D11" s="385"/>
      <c r="E11" s="386"/>
      <c r="F11" s="290" t="s">
        <v>195</v>
      </c>
      <c r="G11" s="290" t="s">
        <v>196</v>
      </c>
      <c r="H11" s="290" t="s">
        <v>197</v>
      </c>
      <c r="I11" s="290" t="s">
        <v>198</v>
      </c>
      <c r="J11" s="290" t="s">
        <v>199</v>
      </c>
      <c r="K11" s="49"/>
      <c r="L11" s="49"/>
      <c r="M11" s="85"/>
      <c r="N11" s="85"/>
      <c r="O11" s="85"/>
      <c r="P11" s="85"/>
    </row>
    <row r="12" spans="1:16" s="49" customFormat="1" ht="23.25" customHeight="1">
      <c r="A12" s="387" t="s">
        <v>339</v>
      </c>
      <c r="B12" s="388"/>
      <c r="C12" s="48" t="s">
        <v>340</v>
      </c>
      <c r="D12" s="389" t="s">
        <v>341</v>
      </c>
      <c r="E12" s="390"/>
      <c r="F12" s="374"/>
      <c r="G12" s="374"/>
      <c r="H12" s="374"/>
      <c r="I12" s="374"/>
      <c r="J12" s="374"/>
      <c r="M12" s="85"/>
      <c r="N12" s="85"/>
      <c r="O12" s="85"/>
      <c r="P12" s="85"/>
    </row>
    <row r="13" spans="1:16" s="7" customFormat="1" ht="23.25" customHeight="1">
      <c r="A13" s="224" t="s">
        <v>233</v>
      </c>
      <c r="B13" s="224"/>
      <c r="C13" s="391" t="s">
        <v>340</v>
      </c>
      <c r="D13" s="392" t="s">
        <v>342</v>
      </c>
      <c r="E13" s="392"/>
      <c r="F13" s="374"/>
      <c r="G13" s="374"/>
      <c r="H13" s="374"/>
      <c r="I13" s="374"/>
      <c r="J13" s="374"/>
      <c r="K13" s="49"/>
      <c r="L13" s="49"/>
      <c r="M13" s="85"/>
      <c r="N13" s="85"/>
      <c r="O13" s="85"/>
      <c r="P13" s="85"/>
    </row>
    <row r="14" spans="1:16" s="7" customFormat="1" ht="23.25" customHeight="1">
      <c r="A14" s="224" t="s">
        <v>343</v>
      </c>
      <c r="B14" s="224"/>
      <c r="C14" s="391" t="s">
        <v>344</v>
      </c>
      <c r="D14" s="392" t="s">
        <v>345</v>
      </c>
      <c r="E14" s="392"/>
      <c r="F14" s="374"/>
      <c r="G14" s="374"/>
      <c r="H14" s="374"/>
      <c r="I14" s="374"/>
      <c r="J14" s="374"/>
      <c r="K14" s="49"/>
      <c r="L14" s="49"/>
      <c r="M14" s="49"/>
      <c r="N14" s="49"/>
      <c r="O14" s="49"/>
      <c r="P14" s="49"/>
    </row>
    <row r="15" spans="1:16" s="7" customFormat="1" ht="23.25" customHeight="1">
      <c r="A15" s="224" t="s">
        <v>346</v>
      </c>
      <c r="B15" s="224"/>
      <c r="C15" s="391" t="s">
        <v>344</v>
      </c>
      <c r="D15" s="392" t="s">
        <v>345</v>
      </c>
      <c r="E15" s="392"/>
      <c r="F15" s="374"/>
      <c r="G15" s="374"/>
      <c r="H15" s="374"/>
      <c r="I15" s="374"/>
      <c r="J15" s="374"/>
      <c r="K15" s="49"/>
      <c r="L15" s="49"/>
      <c r="M15" s="49"/>
      <c r="N15" s="49"/>
      <c r="O15" s="49"/>
      <c r="P15" s="49"/>
    </row>
    <row r="16" spans="1:16" s="7" customFormat="1" ht="23.25" customHeight="1">
      <c r="A16" s="224" t="s">
        <v>347</v>
      </c>
      <c r="B16" s="224"/>
      <c r="C16" s="391" t="s">
        <v>344</v>
      </c>
      <c r="D16" s="392" t="s">
        <v>348</v>
      </c>
      <c r="E16" s="392"/>
      <c r="F16" s="374"/>
      <c r="G16" s="374"/>
      <c r="H16" s="374"/>
      <c r="I16" s="374"/>
      <c r="J16" s="374"/>
      <c r="K16" s="49"/>
      <c r="L16" s="49"/>
      <c r="M16" s="49"/>
      <c r="N16" s="49"/>
      <c r="O16" s="49"/>
      <c r="P16" s="49"/>
    </row>
    <row r="17" spans="1:10" s="7" customFormat="1" ht="23.25" customHeight="1">
      <c r="A17" s="224" t="s">
        <v>349</v>
      </c>
      <c r="B17" s="224"/>
      <c r="C17" s="391" t="s">
        <v>344</v>
      </c>
      <c r="D17" s="392" t="s">
        <v>350</v>
      </c>
      <c r="E17" s="392"/>
      <c r="F17" s="374"/>
      <c r="G17" s="374"/>
      <c r="H17" s="374"/>
      <c r="I17" s="374"/>
      <c r="J17" s="374"/>
    </row>
    <row r="18" spans="1:10" s="7" customFormat="1" ht="23.25" customHeight="1">
      <c r="A18" s="224" t="s">
        <v>351</v>
      </c>
      <c r="B18" s="224"/>
      <c r="C18" s="391" t="s">
        <v>344</v>
      </c>
      <c r="D18" s="392" t="s">
        <v>352</v>
      </c>
      <c r="E18" s="392"/>
      <c r="F18" s="374"/>
      <c r="G18" s="374"/>
      <c r="H18" s="374"/>
      <c r="I18" s="374"/>
      <c r="J18" s="374"/>
    </row>
    <row r="19" spans="1:10" s="7" customFormat="1" ht="23.25" customHeight="1">
      <c r="A19" s="224" t="s">
        <v>353</v>
      </c>
      <c r="B19" s="224"/>
      <c r="C19" s="391" t="s">
        <v>344</v>
      </c>
      <c r="D19" s="392" t="s">
        <v>352</v>
      </c>
      <c r="E19" s="392"/>
      <c r="F19" s="374"/>
      <c r="G19" s="374"/>
      <c r="H19" s="374"/>
      <c r="I19" s="374"/>
      <c r="J19" s="374"/>
    </row>
    <row r="20" spans="1:10" s="7" customFormat="1" ht="23.25" customHeight="1">
      <c r="A20" s="224" t="s">
        <v>354</v>
      </c>
      <c r="B20" s="224"/>
      <c r="C20" s="391" t="s">
        <v>344</v>
      </c>
      <c r="D20" s="392" t="s">
        <v>352</v>
      </c>
      <c r="E20" s="392"/>
      <c r="F20" s="374"/>
      <c r="G20" s="374"/>
      <c r="H20" s="374"/>
      <c r="I20" s="374"/>
      <c r="J20" s="374"/>
    </row>
    <row r="21" spans="1:10" s="7" customFormat="1" ht="23.25" customHeight="1">
      <c r="A21" s="224" t="s">
        <v>355</v>
      </c>
      <c r="B21" s="224"/>
      <c r="C21" s="391" t="s">
        <v>344</v>
      </c>
      <c r="D21" s="392" t="s">
        <v>352</v>
      </c>
      <c r="E21" s="392"/>
      <c r="F21" s="374"/>
      <c r="G21" s="374"/>
      <c r="H21" s="374"/>
      <c r="I21" s="374"/>
      <c r="J21" s="374"/>
    </row>
    <row r="22" spans="1:10" s="7" customFormat="1" ht="23.25" customHeight="1">
      <c r="A22" s="224" t="s">
        <v>356</v>
      </c>
      <c r="B22" s="224"/>
      <c r="C22" s="391" t="s">
        <v>344</v>
      </c>
      <c r="D22" s="392" t="s">
        <v>352</v>
      </c>
      <c r="E22" s="392"/>
      <c r="F22" s="374"/>
      <c r="G22" s="374"/>
      <c r="H22" s="374"/>
      <c r="I22" s="374"/>
      <c r="J22" s="374"/>
    </row>
    <row r="23" spans="1:10" s="7" customFormat="1" ht="23.25" customHeight="1">
      <c r="A23" s="224" t="s">
        <v>357</v>
      </c>
      <c r="B23" s="224"/>
      <c r="C23" s="391" t="s">
        <v>344</v>
      </c>
      <c r="D23" s="392" t="s">
        <v>352</v>
      </c>
      <c r="E23" s="392"/>
      <c r="F23" s="374"/>
      <c r="G23" s="374"/>
      <c r="H23" s="374"/>
      <c r="I23" s="374"/>
      <c r="J23" s="374"/>
    </row>
    <row r="24" spans="1:10" s="7" customFormat="1" ht="23.25" customHeight="1">
      <c r="A24" s="224" t="s">
        <v>358</v>
      </c>
      <c r="B24" s="224"/>
      <c r="C24" s="391" t="s">
        <v>344</v>
      </c>
      <c r="D24" s="392" t="s">
        <v>359</v>
      </c>
      <c r="E24" s="392"/>
      <c r="F24" s="374"/>
      <c r="G24" s="374"/>
      <c r="H24" s="374"/>
      <c r="I24" s="374"/>
      <c r="J24" s="374"/>
    </row>
    <row r="25" spans="1:10" s="7" customFormat="1" ht="23.25" customHeight="1">
      <c r="A25" s="224" t="s">
        <v>360</v>
      </c>
      <c r="B25" s="224"/>
      <c r="C25" s="391" t="s">
        <v>344</v>
      </c>
      <c r="D25" s="392" t="s">
        <v>359</v>
      </c>
      <c r="E25" s="392"/>
      <c r="F25" s="374"/>
      <c r="G25" s="374"/>
      <c r="H25" s="374"/>
      <c r="I25" s="374"/>
      <c r="J25" s="374"/>
    </row>
    <row r="26" spans="1:10" s="7" customFormat="1" ht="23.25" customHeight="1">
      <c r="A26" s="224" t="s">
        <v>361</v>
      </c>
      <c r="B26" s="224"/>
      <c r="C26" s="391" t="s">
        <v>344</v>
      </c>
      <c r="D26" s="392" t="s">
        <v>359</v>
      </c>
      <c r="E26" s="392"/>
      <c r="F26" s="374"/>
      <c r="G26" s="374"/>
      <c r="H26" s="374"/>
      <c r="I26" s="374"/>
      <c r="J26" s="374"/>
    </row>
    <row r="27" spans="1:10" s="7" customFormat="1" ht="23.25" customHeight="1">
      <c r="A27" s="224" t="s">
        <v>362</v>
      </c>
      <c r="B27" s="224"/>
      <c r="C27" s="391" t="s">
        <v>344</v>
      </c>
      <c r="D27" s="392" t="s">
        <v>359</v>
      </c>
      <c r="E27" s="392"/>
      <c r="F27" s="374"/>
      <c r="G27" s="374"/>
      <c r="H27" s="374"/>
      <c r="I27" s="374"/>
      <c r="J27" s="374"/>
    </row>
    <row r="28" spans="1:10" s="7" customFormat="1" ht="23.25" customHeight="1">
      <c r="A28" s="224" t="s">
        <v>363</v>
      </c>
      <c r="B28" s="224"/>
      <c r="C28" s="391" t="s">
        <v>344</v>
      </c>
      <c r="D28" s="392" t="s">
        <v>359</v>
      </c>
      <c r="E28" s="392"/>
      <c r="F28" s="374"/>
      <c r="G28" s="374"/>
      <c r="H28" s="374"/>
      <c r="I28" s="374"/>
      <c r="J28" s="374"/>
    </row>
    <row r="29" spans="1:10" s="7" customFormat="1" ht="23.25" customHeight="1">
      <c r="A29" s="224" t="s">
        <v>364</v>
      </c>
      <c r="B29" s="224"/>
      <c r="C29" s="391" t="s">
        <v>344</v>
      </c>
      <c r="D29" s="392" t="s">
        <v>359</v>
      </c>
      <c r="E29" s="392"/>
      <c r="F29" s="374"/>
      <c r="G29" s="374"/>
      <c r="H29" s="374"/>
      <c r="I29" s="374"/>
      <c r="J29" s="374"/>
    </row>
    <row r="30" spans="1:10" s="7" customFormat="1" ht="23.25" customHeight="1">
      <c r="A30" s="224" t="s">
        <v>365</v>
      </c>
      <c r="B30" s="224"/>
      <c r="C30" s="391" t="s">
        <v>344</v>
      </c>
      <c r="D30" s="392" t="s">
        <v>359</v>
      </c>
      <c r="E30" s="392"/>
      <c r="F30" s="374"/>
      <c r="G30" s="374"/>
      <c r="H30" s="374"/>
      <c r="I30" s="374"/>
      <c r="J30" s="374"/>
    </row>
    <row r="31" spans="1:10" s="7" customFormat="1" ht="23.25" customHeight="1">
      <c r="A31" s="224" t="s">
        <v>366</v>
      </c>
      <c r="B31" s="224"/>
      <c r="C31" s="391" t="s">
        <v>344</v>
      </c>
      <c r="D31" s="392" t="s">
        <v>359</v>
      </c>
      <c r="E31" s="392"/>
      <c r="F31" s="374"/>
      <c r="G31" s="374"/>
      <c r="H31" s="374"/>
      <c r="I31" s="374"/>
      <c r="J31" s="374"/>
    </row>
    <row r="32" spans="1:10" s="7" customFormat="1" ht="23.25" customHeight="1">
      <c r="A32" s="224" t="s">
        <v>367</v>
      </c>
      <c r="B32" s="224"/>
      <c r="C32" s="391" t="s">
        <v>344</v>
      </c>
      <c r="D32" s="392" t="s">
        <v>359</v>
      </c>
      <c r="E32" s="392"/>
      <c r="F32" s="374"/>
      <c r="G32" s="374"/>
      <c r="H32" s="374"/>
      <c r="I32" s="374"/>
      <c r="J32" s="374"/>
    </row>
    <row r="33" spans="1:10" s="7" customFormat="1" ht="23.25" customHeight="1">
      <c r="A33" s="224" t="s">
        <v>368</v>
      </c>
      <c r="B33" s="224"/>
      <c r="C33" s="391" t="s">
        <v>344</v>
      </c>
      <c r="D33" s="392" t="s">
        <v>359</v>
      </c>
      <c r="E33" s="392"/>
      <c r="F33" s="374"/>
      <c r="G33" s="374"/>
      <c r="H33" s="374"/>
      <c r="I33" s="374"/>
      <c r="J33" s="374"/>
    </row>
    <row r="34" spans="1:10" s="7" customFormat="1" ht="23.25" customHeight="1">
      <c r="A34" s="224" t="s">
        <v>369</v>
      </c>
      <c r="B34" s="224"/>
      <c r="C34" s="391" t="s">
        <v>344</v>
      </c>
      <c r="D34" s="392" t="s">
        <v>359</v>
      </c>
      <c r="E34" s="392"/>
      <c r="F34" s="374"/>
      <c r="G34" s="374"/>
      <c r="H34" s="374"/>
      <c r="I34" s="374"/>
      <c r="J34" s="374"/>
    </row>
    <row r="35" spans="1:10" s="7" customFormat="1" ht="23.25" customHeight="1">
      <c r="A35" s="224" t="s">
        <v>370</v>
      </c>
      <c r="B35" s="224"/>
      <c r="C35" s="391" t="s">
        <v>344</v>
      </c>
      <c r="D35" s="392" t="s">
        <v>359</v>
      </c>
      <c r="E35" s="392"/>
      <c r="F35" s="374"/>
      <c r="G35" s="374"/>
      <c r="H35" s="374"/>
      <c r="I35" s="374"/>
      <c r="J35" s="374"/>
    </row>
    <row r="36" spans="1:10" s="7" customFormat="1" ht="23.25" customHeight="1">
      <c r="A36" s="224" t="s">
        <v>371</v>
      </c>
      <c r="B36" s="224"/>
      <c r="C36" s="391" t="s">
        <v>344</v>
      </c>
      <c r="D36" s="392" t="s">
        <v>359</v>
      </c>
      <c r="E36" s="392"/>
      <c r="F36" s="374"/>
      <c r="G36" s="374"/>
      <c r="H36" s="374"/>
      <c r="I36" s="374"/>
      <c r="J36" s="374"/>
    </row>
    <row r="37" spans="1:10" s="7" customFormat="1" ht="23.25" customHeight="1">
      <c r="A37" s="224" t="s">
        <v>372</v>
      </c>
      <c r="B37" s="224"/>
      <c r="C37" s="391" t="s">
        <v>344</v>
      </c>
      <c r="D37" s="392" t="s">
        <v>359</v>
      </c>
      <c r="E37" s="392"/>
      <c r="F37" s="374"/>
      <c r="G37" s="374"/>
      <c r="H37" s="374"/>
      <c r="I37" s="374"/>
      <c r="J37" s="374"/>
    </row>
    <row r="38" spans="1:10" s="7" customFormat="1" ht="23.25" customHeight="1">
      <c r="A38" s="224" t="s">
        <v>373</v>
      </c>
      <c r="B38" s="224"/>
      <c r="C38" s="391" t="s">
        <v>344</v>
      </c>
      <c r="D38" s="392" t="s">
        <v>359</v>
      </c>
      <c r="E38" s="392"/>
      <c r="F38" s="374"/>
      <c r="G38" s="374"/>
      <c r="H38" s="374"/>
      <c r="I38" s="374"/>
      <c r="J38" s="374"/>
    </row>
    <row r="39" spans="1:10" s="7" customFormat="1" ht="23.25" customHeight="1">
      <c r="A39" s="224" t="s">
        <v>374</v>
      </c>
      <c r="B39" s="224"/>
      <c r="C39" s="391" t="s">
        <v>344</v>
      </c>
      <c r="D39" s="392" t="s">
        <v>359</v>
      </c>
      <c r="E39" s="392"/>
      <c r="F39" s="374"/>
      <c r="G39" s="374"/>
      <c r="H39" s="374"/>
      <c r="I39" s="374"/>
      <c r="J39" s="374"/>
    </row>
    <row r="40" spans="1:10">
      <c r="A40" s="242" t="s">
        <v>324</v>
      </c>
      <c r="B40" s="242"/>
      <c r="C40" s="242"/>
      <c r="D40" s="242"/>
      <c r="E40" s="242"/>
      <c r="F40" s="242"/>
      <c r="G40" s="242"/>
      <c r="H40" s="242"/>
      <c r="I40" s="242"/>
      <c r="J40" s="242"/>
    </row>
    <row r="41" spans="1:10">
      <c r="A41" s="360"/>
      <c r="B41" s="360"/>
      <c r="C41" s="360"/>
      <c r="D41" s="360"/>
      <c r="E41" s="360"/>
      <c r="F41" s="360"/>
      <c r="G41" s="360"/>
      <c r="H41" s="360"/>
      <c r="I41" s="360"/>
      <c r="J41" s="360"/>
    </row>
    <row r="42" spans="1:10">
      <c r="A42" s="360"/>
      <c r="B42" s="360"/>
      <c r="C42" s="360"/>
      <c r="D42" s="360"/>
      <c r="E42" s="360"/>
      <c r="F42" s="360"/>
      <c r="G42" s="360"/>
      <c r="H42" s="360"/>
      <c r="I42" s="360"/>
      <c r="J42" s="360"/>
    </row>
    <row r="65" spans="6:6">
      <c r="F65" s="3"/>
    </row>
  </sheetData>
  <mergeCells count="66">
    <mergeCell ref="M6:P9"/>
    <mergeCell ref="M10:P13"/>
    <mergeCell ref="A9:J9"/>
    <mergeCell ref="A6:J7"/>
    <mergeCell ref="A13:B13"/>
    <mergeCell ref="A12:B12"/>
    <mergeCell ref="D12:E12"/>
    <mergeCell ref="A14:B14"/>
    <mergeCell ref="D13:E13"/>
    <mergeCell ref="D14:E14"/>
    <mergeCell ref="A10:B11"/>
    <mergeCell ref="F10:J10"/>
    <mergeCell ref="D10:E11"/>
    <mergeCell ref="C10:C11"/>
    <mergeCell ref="A18:B18"/>
    <mergeCell ref="A19:B19"/>
    <mergeCell ref="A20:B20"/>
    <mergeCell ref="A15:B15"/>
    <mergeCell ref="A16:B16"/>
    <mergeCell ref="A17:B17"/>
    <mergeCell ref="A41:J42"/>
    <mergeCell ref="A27:B27"/>
    <mergeCell ref="A28:B28"/>
    <mergeCell ref="A24:B24"/>
    <mergeCell ref="A25:B25"/>
    <mergeCell ref="A39:B39"/>
    <mergeCell ref="A29:B29"/>
    <mergeCell ref="A30:B30"/>
    <mergeCell ref="A31:B31"/>
    <mergeCell ref="A32:B32"/>
    <mergeCell ref="A33:B33"/>
    <mergeCell ref="A34:B34"/>
    <mergeCell ref="D39:E39"/>
    <mergeCell ref="D31:E31"/>
    <mergeCell ref="D32:E32"/>
    <mergeCell ref="D38:E38"/>
    <mergeCell ref="A40:J40"/>
    <mergeCell ref="A21:B21"/>
    <mergeCell ref="A22:B22"/>
    <mergeCell ref="A23:B23"/>
    <mergeCell ref="D36:E36"/>
    <mergeCell ref="D37:E37"/>
    <mergeCell ref="A35:B35"/>
    <mergeCell ref="A36:B36"/>
    <mergeCell ref="A37:B37"/>
    <mergeCell ref="A38:B38"/>
    <mergeCell ref="A26:B26"/>
    <mergeCell ref="D34:E34"/>
    <mergeCell ref="D15:E15"/>
    <mergeCell ref="D16:E16"/>
    <mergeCell ref="D17:E17"/>
    <mergeCell ref="D18:E18"/>
    <mergeCell ref="D19:E19"/>
    <mergeCell ref="D20:E20"/>
    <mergeCell ref="D29:E29"/>
    <mergeCell ref="D35:E35"/>
    <mergeCell ref="D21:E21"/>
    <mergeCell ref="D22:E22"/>
    <mergeCell ref="D23:E23"/>
    <mergeCell ref="D24:E24"/>
    <mergeCell ref="D25:E25"/>
    <mergeCell ref="D26:E26"/>
    <mergeCell ref="D33:E33"/>
    <mergeCell ref="D27:E27"/>
    <mergeCell ref="D28:E28"/>
    <mergeCell ref="D30:E30"/>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D5E76-62C2-4FCD-99DE-EADAF4A4D927}">
  <sheetPr codeName="Sheet23">
    <tabColor rgb="FF92D050"/>
  </sheetPr>
  <dimension ref="A1:P65"/>
  <sheetViews>
    <sheetView workbookViewId="0">
      <selection activeCell="O23" sqref="O23"/>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42" t="str">
        <f>+'Cover Page'!$B$29</f>
        <v>Annual Performance Report 2022</v>
      </c>
      <c r="B1" s="42"/>
      <c r="C1" s="42"/>
      <c r="D1" s="42"/>
      <c r="E1" s="42" t="str">
        <f>+'Cover Page'!$B$33</f>
        <v>Energy Works Hull</v>
      </c>
      <c r="F1" s="42"/>
      <c r="G1" s="42"/>
      <c r="H1" s="42"/>
      <c r="I1" s="42"/>
      <c r="J1" s="42"/>
      <c r="K1" s="42"/>
      <c r="L1" s="42"/>
      <c r="M1" s="42"/>
      <c r="N1" s="42"/>
      <c r="O1" s="42"/>
      <c r="P1" s="42"/>
    </row>
    <row r="2" spans="1:16" ht="7.5" customHeight="1">
      <c r="A2" s="42"/>
      <c r="B2" s="42"/>
      <c r="C2" s="42"/>
      <c r="D2" s="42"/>
      <c r="E2" s="42"/>
      <c r="F2" s="42"/>
      <c r="G2" s="42"/>
      <c r="H2" s="42"/>
      <c r="I2" s="42"/>
      <c r="J2" s="42"/>
      <c r="K2" s="42"/>
      <c r="L2" s="42"/>
      <c r="M2" s="42"/>
      <c r="N2" s="42"/>
      <c r="O2" s="42"/>
      <c r="P2" s="42"/>
    </row>
    <row r="3" spans="1:16" ht="15.75">
      <c r="A3" s="1" t="s">
        <v>40</v>
      </c>
      <c r="B3" s="42"/>
      <c r="C3" s="42"/>
      <c r="D3" s="42"/>
      <c r="E3" s="42"/>
      <c r="F3" s="42"/>
      <c r="G3" s="42"/>
      <c r="H3" s="42"/>
      <c r="I3" s="42"/>
      <c r="J3" s="42"/>
      <c r="K3" s="42"/>
      <c r="L3" s="42"/>
      <c r="M3" s="42"/>
      <c r="N3" s="42"/>
      <c r="O3" s="42"/>
      <c r="P3" s="42"/>
    </row>
    <row r="4" spans="1:16" ht="9.75" customHeight="1">
      <c r="A4" s="1"/>
      <c r="B4" s="42"/>
      <c r="C4" s="42"/>
      <c r="D4" s="42"/>
      <c r="E4" s="42"/>
      <c r="F4" s="42"/>
      <c r="G4" s="42"/>
      <c r="H4" s="42"/>
      <c r="I4" s="42"/>
      <c r="J4" s="42"/>
      <c r="K4" s="42"/>
      <c r="L4" s="42"/>
      <c r="M4" s="42"/>
      <c r="N4" s="42"/>
      <c r="O4" s="42"/>
      <c r="P4" s="42"/>
    </row>
    <row r="5" spans="1:16" s="3" customFormat="1" ht="21.75" customHeight="1">
      <c r="A5" s="334" t="s">
        <v>332</v>
      </c>
      <c r="B5" s="335"/>
      <c r="C5" s="335"/>
      <c r="D5" s="335"/>
      <c r="E5" s="335"/>
      <c r="F5" s="335"/>
      <c r="G5" s="335"/>
      <c r="H5" s="335"/>
      <c r="I5" s="335"/>
      <c r="J5" s="336"/>
      <c r="M5" s="38" t="s">
        <v>2</v>
      </c>
    </row>
    <row r="6" spans="1:16" s="3" customFormat="1" ht="15.75" customHeight="1">
      <c r="A6" s="135" t="s">
        <v>375</v>
      </c>
      <c r="B6" s="317"/>
      <c r="C6" s="317"/>
      <c r="D6" s="317"/>
      <c r="E6" s="317"/>
      <c r="F6" s="317"/>
      <c r="G6" s="317"/>
      <c r="H6" s="317"/>
      <c r="I6" s="317"/>
      <c r="J6" s="318"/>
      <c r="M6" s="85" t="s">
        <v>334</v>
      </c>
      <c r="N6" s="85"/>
      <c r="O6" s="85"/>
      <c r="P6" s="85"/>
    </row>
    <row r="7" spans="1:16" s="3" customFormat="1" ht="15.75" customHeight="1">
      <c r="A7" s="322"/>
      <c r="B7" s="323"/>
      <c r="C7" s="323"/>
      <c r="D7" s="323"/>
      <c r="E7" s="323"/>
      <c r="F7" s="323"/>
      <c r="G7" s="323"/>
      <c r="H7" s="323"/>
      <c r="I7" s="323"/>
      <c r="J7" s="324"/>
      <c r="M7" s="85"/>
      <c r="N7" s="85"/>
      <c r="O7" s="85"/>
      <c r="P7" s="85"/>
    </row>
    <row r="8" spans="1:16" s="3" customFormat="1" ht="14.25">
      <c r="M8" s="85"/>
      <c r="N8" s="85"/>
      <c r="O8" s="85"/>
      <c r="P8" s="85"/>
    </row>
    <row r="9" spans="1:16" s="22" customFormat="1" ht="16.5" customHeight="1">
      <c r="A9" s="352" t="s">
        <v>335</v>
      </c>
      <c r="B9" s="352"/>
      <c r="C9" s="352"/>
      <c r="D9" s="352"/>
      <c r="E9" s="352"/>
      <c r="F9" s="352"/>
      <c r="G9" s="352"/>
      <c r="H9" s="352"/>
      <c r="I9" s="352"/>
      <c r="J9" s="352"/>
      <c r="M9" s="85"/>
      <c r="N9" s="85"/>
      <c r="O9" s="85"/>
      <c r="P9" s="85"/>
    </row>
    <row r="10" spans="1:16" s="22" customFormat="1" ht="16.5" customHeight="1">
      <c r="A10" s="376" t="s">
        <v>222</v>
      </c>
      <c r="B10" s="377"/>
      <c r="C10" s="83" t="s">
        <v>336</v>
      </c>
      <c r="D10" s="378" t="s">
        <v>337</v>
      </c>
      <c r="E10" s="379"/>
      <c r="F10" s="380" t="s">
        <v>331</v>
      </c>
      <c r="G10" s="381"/>
      <c r="H10" s="381"/>
      <c r="I10" s="381"/>
      <c r="J10" s="382"/>
      <c r="M10" s="85" t="s">
        <v>338</v>
      </c>
      <c r="N10" s="85"/>
      <c r="O10" s="85"/>
      <c r="P10" s="85"/>
    </row>
    <row r="11" spans="1:16" s="7" customFormat="1" ht="17.25" customHeight="1">
      <c r="A11" s="383"/>
      <c r="B11" s="384"/>
      <c r="C11" s="84"/>
      <c r="D11" s="385"/>
      <c r="E11" s="386"/>
      <c r="F11" s="290" t="s">
        <v>195</v>
      </c>
      <c r="G11" s="290" t="s">
        <v>196</v>
      </c>
      <c r="H11" s="290" t="s">
        <v>197</v>
      </c>
      <c r="I11" s="290" t="s">
        <v>198</v>
      </c>
      <c r="J11" s="290" t="s">
        <v>199</v>
      </c>
      <c r="K11" s="49"/>
      <c r="L11" s="49"/>
      <c r="M11" s="85"/>
      <c r="N11" s="85"/>
      <c r="O11" s="85"/>
      <c r="P11" s="85"/>
    </row>
    <row r="12" spans="1:16" s="49" customFormat="1" ht="23.25" customHeight="1">
      <c r="A12" s="387" t="s">
        <v>339</v>
      </c>
      <c r="B12" s="388"/>
      <c r="C12" s="48" t="s">
        <v>340</v>
      </c>
      <c r="D12" s="389" t="s">
        <v>341</v>
      </c>
      <c r="E12" s="390"/>
      <c r="F12" s="374">
        <v>0.96</v>
      </c>
      <c r="G12" s="374"/>
      <c r="H12" s="374"/>
      <c r="I12" s="374"/>
      <c r="J12" s="374"/>
      <c r="M12" s="85"/>
      <c r="N12" s="85"/>
      <c r="O12" s="85"/>
      <c r="P12" s="85"/>
    </row>
    <row r="13" spans="1:16" s="7" customFormat="1" ht="23.25" customHeight="1">
      <c r="A13" s="224" t="s">
        <v>233</v>
      </c>
      <c r="B13" s="224"/>
      <c r="C13" s="391" t="s">
        <v>340</v>
      </c>
      <c r="D13" s="392" t="s">
        <v>342</v>
      </c>
      <c r="E13" s="392"/>
      <c r="F13" s="374">
        <v>0.13</v>
      </c>
      <c r="G13" s="374"/>
      <c r="H13" s="374"/>
      <c r="I13" s="374"/>
      <c r="J13" s="374"/>
      <c r="K13" s="49"/>
      <c r="L13" s="49"/>
      <c r="M13" s="85"/>
      <c r="N13" s="85"/>
      <c r="O13" s="85"/>
      <c r="P13" s="85"/>
    </row>
    <row r="14" spans="1:16" s="7" customFormat="1" ht="23.25" customHeight="1">
      <c r="A14" s="224" t="s">
        <v>343</v>
      </c>
      <c r="B14" s="224"/>
      <c r="C14" s="391" t="s">
        <v>344</v>
      </c>
      <c r="D14" s="392" t="s">
        <v>345</v>
      </c>
      <c r="E14" s="392"/>
      <c r="F14" s="374">
        <v>1.1000000000000001E-3</v>
      </c>
      <c r="G14" s="374"/>
      <c r="H14" s="374"/>
      <c r="I14" s="374"/>
      <c r="J14" s="374"/>
      <c r="K14" s="49"/>
      <c r="L14" s="49"/>
      <c r="M14" s="49"/>
      <c r="N14" s="49"/>
      <c r="O14" s="49"/>
      <c r="P14" s="49"/>
    </row>
    <row r="15" spans="1:16" s="7" customFormat="1" ht="23.25" customHeight="1">
      <c r="A15" s="224" t="s">
        <v>346</v>
      </c>
      <c r="B15" s="224"/>
      <c r="C15" s="391" t="s">
        <v>344</v>
      </c>
      <c r="D15" s="392" t="s">
        <v>345</v>
      </c>
      <c r="E15" s="392"/>
      <c r="F15" s="374">
        <v>2.4E-2</v>
      </c>
      <c r="G15" s="374"/>
      <c r="H15" s="374"/>
      <c r="I15" s="374"/>
      <c r="J15" s="374"/>
      <c r="K15" s="49"/>
      <c r="L15" s="49"/>
      <c r="M15" s="49"/>
      <c r="N15" s="49"/>
      <c r="O15" s="49"/>
      <c r="P15" s="49"/>
    </row>
    <row r="16" spans="1:16" s="7" customFormat="1" ht="23.25" customHeight="1">
      <c r="A16" s="224" t="s">
        <v>347</v>
      </c>
      <c r="B16" s="224"/>
      <c r="C16" s="391" t="s">
        <v>344</v>
      </c>
      <c r="D16" s="392" t="s">
        <v>348</v>
      </c>
      <c r="E16" s="392"/>
      <c r="F16" s="374">
        <v>1.6E-2</v>
      </c>
      <c r="G16" s="374"/>
      <c r="H16" s="374"/>
      <c r="I16" s="374"/>
      <c r="J16" s="374"/>
      <c r="K16" s="49"/>
      <c r="L16" s="49"/>
      <c r="M16" s="49"/>
      <c r="N16" s="49"/>
      <c r="O16" s="49"/>
      <c r="P16" s="49"/>
    </row>
    <row r="17" spans="1:10" s="7" customFormat="1" ht="23.25" customHeight="1">
      <c r="A17" s="224" t="s">
        <v>349</v>
      </c>
      <c r="B17" s="224"/>
      <c r="C17" s="391" t="s">
        <v>344</v>
      </c>
      <c r="D17" s="392" t="s">
        <v>350</v>
      </c>
      <c r="E17" s="392"/>
      <c r="F17" s="374">
        <v>4.8</v>
      </c>
      <c r="G17" s="374" t="s">
        <v>376</v>
      </c>
      <c r="H17" s="374"/>
      <c r="I17" s="374"/>
      <c r="J17" s="374"/>
    </row>
    <row r="18" spans="1:10" s="7" customFormat="1" ht="23.25" customHeight="1">
      <c r="A18" s="224" t="s">
        <v>351</v>
      </c>
      <c r="B18" s="224"/>
      <c r="C18" s="391" t="s">
        <v>344</v>
      </c>
      <c r="D18" s="392" t="s">
        <v>352</v>
      </c>
      <c r="E18" s="392"/>
      <c r="F18" s="374">
        <v>0.3</v>
      </c>
      <c r="G18" s="393"/>
      <c r="H18" s="374"/>
      <c r="I18" s="374"/>
      <c r="J18" s="374"/>
    </row>
    <row r="19" spans="1:10" s="7" customFormat="1" ht="23.25" customHeight="1">
      <c r="A19" s="224" t="s">
        <v>353</v>
      </c>
      <c r="B19" s="224"/>
      <c r="C19" s="391" t="s">
        <v>344</v>
      </c>
      <c r="D19" s="392" t="s">
        <v>352</v>
      </c>
      <c r="E19" s="392"/>
      <c r="F19" s="374">
        <v>1.2999999999999999E-2</v>
      </c>
      <c r="G19" s="374"/>
      <c r="H19" s="374"/>
      <c r="I19" s="374"/>
      <c r="J19" s="374"/>
    </row>
    <row r="20" spans="1:10" s="7" customFormat="1" ht="23.25" customHeight="1">
      <c r="A20" s="224" t="s">
        <v>354</v>
      </c>
      <c r="B20" s="224"/>
      <c r="C20" s="391" t="s">
        <v>344</v>
      </c>
      <c r="D20" s="392" t="s">
        <v>352</v>
      </c>
      <c r="E20" s="392"/>
      <c r="F20" s="374">
        <v>0.39</v>
      </c>
      <c r="G20" s="374"/>
      <c r="H20" s="374"/>
      <c r="I20" s="374"/>
      <c r="J20" s="374"/>
    </row>
    <row r="21" spans="1:10" s="7" customFormat="1" ht="23.25" customHeight="1">
      <c r="A21" s="224" t="s">
        <v>355</v>
      </c>
      <c r="B21" s="224"/>
      <c r="C21" s="391" t="s">
        <v>344</v>
      </c>
      <c r="D21" s="392" t="s">
        <v>352</v>
      </c>
      <c r="E21" s="392"/>
      <c r="F21" s="374">
        <v>4.3</v>
      </c>
      <c r="G21" s="374"/>
      <c r="H21" s="374"/>
      <c r="I21" s="374"/>
      <c r="J21" s="374"/>
    </row>
    <row r="22" spans="1:10" s="7" customFormat="1" ht="23.25" customHeight="1">
      <c r="A22" s="224" t="s">
        <v>356</v>
      </c>
      <c r="B22" s="224"/>
      <c r="C22" s="391" t="s">
        <v>344</v>
      </c>
      <c r="D22" s="392" t="s">
        <v>352</v>
      </c>
      <c r="E22" s="392"/>
      <c r="F22" s="374">
        <v>4.8</v>
      </c>
      <c r="G22" s="374"/>
      <c r="H22" s="374"/>
      <c r="I22" s="374"/>
      <c r="J22" s="374"/>
    </row>
    <row r="23" spans="1:10" s="7" customFormat="1" ht="23.25" customHeight="1">
      <c r="A23" s="224" t="s">
        <v>357</v>
      </c>
      <c r="B23" s="224"/>
      <c r="C23" s="391" t="s">
        <v>344</v>
      </c>
      <c r="D23" s="392" t="s">
        <v>352</v>
      </c>
      <c r="E23" s="392"/>
      <c r="F23" s="374">
        <v>6.9</v>
      </c>
      <c r="G23" s="374"/>
      <c r="H23" s="374"/>
      <c r="I23" s="374"/>
      <c r="J23" s="374"/>
    </row>
    <row r="24" spans="1:10" s="7" customFormat="1" ht="23.25" customHeight="1">
      <c r="A24" s="224" t="s">
        <v>358</v>
      </c>
      <c r="B24" s="224"/>
      <c r="C24" s="391" t="s">
        <v>344</v>
      </c>
      <c r="D24" s="392" t="s">
        <v>359</v>
      </c>
      <c r="E24" s="392"/>
      <c r="F24" s="393">
        <v>1.6000000000000001E-3</v>
      </c>
      <c r="G24" s="374"/>
      <c r="H24" s="374"/>
      <c r="I24" s="374"/>
      <c r="J24" s="374"/>
    </row>
    <row r="25" spans="1:10" s="7" customFormat="1" ht="23.25" customHeight="1">
      <c r="A25" s="224" t="s">
        <v>360</v>
      </c>
      <c r="B25" s="224"/>
      <c r="C25" s="391" t="s">
        <v>344</v>
      </c>
      <c r="D25" s="392" t="s">
        <v>359</v>
      </c>
      <c r="E25" s="392"/>
      <c r="F25" s="374">
        <v>3.5000000000000001E-3</v>
      </c>
      <c r="G25" s="374"/>
      <c r="H25" s="374"/>
      <c r="I25" s="374"/>
      <c r="J25" s="374"/>
    </row>
    <row r="26" spans="1:10" s="7" customFormat="1" ht="23.25" customHeight="1">
      <c r="A26" s="224" t="s">
        <v>361</v>
      </c>
      <c r="B26" s="224"/>
      <c r="C26" s="391" t="s">
        <v>344</v>
      </c>
      <c r="D26" s="392" t="s">
        <v>359</v>
      </c>
      <c r="E26" s="392"/>
      <c r="F26" s="374">
        <v>2.8999999999999998E-3</v>
      </c>
      <c r="G26" s="374"/>
      <c r="H26" s="374"/>
      <c r="I26" s="374"/>
      <c r="J26" s="374"/>
    </row>
    <row r="27" spans="1:10" s="7" customFormat="1" ht="23.25" customHeight="1">
      <c r="A27" s="224" t="s">
        <v>362</v>
      </c>
      <c r="B27" s="224"/>
      <c r="C27" s="391" t="s">
        <v>344</v>
      </c>
      <c r="D27" s="392" t="s">
        <v>359</v>
      </c>
      <c r="E27" s="392"/>
      <c r="F27" s="374">
        <v>2.8E-3</v>
      </c>
      <c r="G27" s="374"/>
      <c r="H27" s="374"/>
      <c r="I27" s="374"/>
      <c r="J27" s="374"/>
    </row>
    <row r="28" spans="1:10" s="7" customFormat="1" ht="23.25" customHeight="1">
      <c r="A28" s="224" t="s">
        <v>363</v>
      </c>
      <c r="B28" s="224"/>
      <c r="C28" s="391" t="s">
        <v>344</v>
      </c>
      <c r="D28" s="392" t="s">
        <v>359</v>
      </c>
      <c r="E28" s="392"/>
      <c r="F28" s="374">
        <v>1.6000000000000001E-3</v>
      </c>
      <c r="G28" s="374"/>
      <c r="H28" s="374"/>
      <c r="I28" s="374"/>
      <c r="J28" s="374"/>
    </row>
    <row r="29" spans="1:10" s="7" customFormat="1" ht="23.25" customHeight="1">
      <c r="A29" s="224" t="s">
        <v>364</v>
      </c>
      <c r="B29" s="224"/>
      <c r="C29" s="391" t="s">
        <v>344</v>
      </c>
      <c r="D29" s="392" t="s">
        <v>359</v>
      </c>
      <c r="E29" s="392"/>
      <c r="F29" s="374">
        <v>1.6000000000000001E-3</v>
      </c>
      <c r="G29" s="374"/>
      <c r="H29" s="374"/>
      <c r="I29" s="374"/>
      <c r="J29" s="374"/>
    </row>
    <row r="30" spans="1:10" s="7" customFormat="1" ht="23.25" customHeight="1">
      <c r="A30" s="224" t="s">
        <v>365</v>
      </c>
      <c r="B30" s="224"/>
      <c r="C30" s="391" t="s">
        <v>344</v>
      </c>
      <c r="D30" s="392" t="s">
        <v>359</v>
      </c>
      <c r="E30" s="392"/>
      <c r="F30" s="374">
        <v>1.4999999999999999E-2</v>
      </c>
      <c r="G30" s="374"/>
      <c r="H30" s="374"/>
      <c r="I30" s="374"/>
      <c r="J30" s="374"/>
    </row>
    <row r="31" spans="1:10" s="7" customFormat="1" ht="23.25" customHeight="1">
      <c r="A31" s="224" t="s">
        <v>366</v>
      </c>
      <c r="B31" s="224"/>
      <c r="C31" s="391" t="s">
        <v>344</v>
      </c>
      <c r="D31" s="392" t="s">
        <v>359</v>
      </c>
      <c r="E31" s="392"/>
      <c r="F31" s="374">
        <v>6.0000000000000001E-3</v>
      </c>
      <c r="G31" s="374"/>
      <c r="H31" s="374"/>
      <c r="I31" s="374"/>
      <c r="J31" s="374"/>
    </row>
    <row r="32" spans="1:10" s="7" customFormat="1" ht="23.25" customHeight="1">
      <c r="A32" s="224" t="s">
        <v>367</v>
      </c>
      <c r="B32" s="224"/>
      <c r="C32" s="391" t="s">
        <v>344</v>
      </c>
      <c r="D32" s="392" t="s">
        <v>359</v>
      </c>
      <c r="E32" s="392"/>
      <c r="F32" s="374">
        <v>1.6000000000000001E-3</v>
      </c>
      <c r="G32" s="374"/>
      <c r="H32" s="374"/>
      <c r="I32" s="374"/>
      <c r="J32" s="374"/>
    </row>
    <row r="33" spans="1:10" s="7" customFormat="1" ht="23.25" customHeight="1">
      <c r="A33" s="224" t="s">
        <v>368</v>
      </c>
      <c r="B33" s="224"/>
      <c r="C33" s="391" t="s">
        <v>344</v>
      </c>
      <c r="D33" s="392" t="s">
        <v>359</v>
      </c>
      <c r="E33" s="392"/>
      <c r="F33" s="374">
        <v>4.1000000000000003E-3</v>
      </c>
      <c r="G33" s="374"/>
      <c r="H33" s="374"/>
      <c r="I33" s="374"/>
      <c r="J33" s="374"/>
    </row>
    <row r="34" spans="1:10" s="7" customFormat="1" ht="23.25" customHeight="1">
      <c r="A34" s="224" t="s">
        <v>369</v>
      </c>
      <c r="B34" s="224"/>
      <c r="C34" s="391" t="s">
        <v>344</v>
      </c>
      <c r="D34" s="392" t="s">
        <v>359</v>
      </c>
      <c r="E34" s="392"/>
      <c r="F34" s="374">
        <v>1.9E-3</v>
      </c>
      <c r="G34" s="374"/>
      <c r="H34" s="374"/>
      <c r="I34" s="374"/>
      <c r="J34" s="374"/>
    </row>
    <row r="35" spans="1:10" s="7" customFormat="1" ht="23.25" customHeight="1">
      <c r="A35" s="224" t="s">
        <v>370</v>
      </c>
      <c r="B35" s="224"/>
      <c r="C35" s="391" t="s">
        <v>344</v>
      </c>
      <c r="D35" s="392" t="s">
        <v>359</v>
      </c>
      <c r="E35" s="392"/>
      <c r="F35" s="374">
        <v>1.6000000000000001E-3</v>
      </c>
      <c r="G35" s="374"/>
      <c r="H35" s="374"/>
      <c r="I35" s="374"/>
      <c r="J35" s="374"/>
    </row>
    <row r="36" spans="1:10" s="7" customFormat="1" ht="23.25" customHeight="1">
      <c r="A36" s="224" t="s">
        <v>371</v>
      </c>
      <c r="B36" s="224"/>
      <c r="C36" s="391" t="s">
        <v>344</v>
      </c>
      <c r="D36" s="392" t="s">
        <v>359</v>
      </c>
      <c r="E36" s="392"/>
      <c r="F36" s="374">
        <v>1.6000000000000001E-3</v>
      </c>
      <c r="G36" s="374"/>
      <c r="H36" s="374"/>
      <c r="I36" s="374"/>
      <c r="J36" s="374"/>
    </row>
    <row r="37" spans="1:10" s="7" customFormat="1" ht="23.25" customHeight="1">
      <c r="A37" s="224" t="s">
        <v>372</v>
      </c>
      <c r="B37" s="224"/>
      <c r="C37" s="391" t="s">
        <v>344</v>
      </c>
      <c r="D37" s="392" t="s">
        <v>359</v>
      </c>
      <c r="E37" s="392"/>
      <c r="F37" s="374">
        <v>7.6999999999999999E-2</v>
      </c>
      <c r="G37" s="374"/>
      <c r="H37" s="374"/>
      <c r="I37" s="374"/>
      <c r="J37" s="374"/>
    </row>
    <row r="38" spans="1:10" s="7" customFormat="1" ht="23.25" customHeight="1">
      <c r="A38" s="224" t="s">
        <v>373</v>
      </c>
      <c r="B38" s="224"/>
      <c r="C38" s="391" t="s">
        <v>344</v>
      </c>
      <c r="D38" s="392" t="s">
        <v>359</v>
      </c>
      <c r="E38" s="392"/>
      <c r="F38" s="374">
        <v>2.8E-3</v>
      </c>
      <c r="G38" s="374"/>
      <c r="H38" s="374"/>
      <c r="I38" s="374"/>
      <c r="J38" s="374"/>
    </row>
    <row r="39" spans="1:10" s="7" customFormat="1" ht="23.25" customHeight="1">
      <c r="A39" s="224" t="s">
        <v>374</v>
      </c>
      <c r="B39" s="224"/>
      <c r="C39" s="391" t="s">
        <v>344</v>
      </c>
      <c r="D39" s="392" t="s">
        <v>359</v>
      </c>
      <c r="E39" s="392"/>
      <c r="F39" s="374">
        <v>0.23</v>
      </c>
      <c r="G39" s="374"/>
      <c r="H39" s="374"/>
      <c r="I39" s="374"/>
      <c r="J39" s="374"/>
    </row>
    <row r="40" spans="1:10">
      <c r="A40" s="242" t="s">
        <v>324</v>
      </c>
      <c r="B40" s="242"/>
      <c r="C40" s="242"/>
      <c r="D40" s="242"/>
      <c r="E40" s="242"/>
      <c r="F40" s="242"/>
      <c r="G40" s="242"/>
      <c r="H40" s="242"/>
      <c r="I40" s="242"/>
      <c r="J40" s="242"/>
    </row>
    <row r="41" spans="1:10">
      <c r="A41" s="360"/>
      <c r="B41" s="360"/>
      <c r="C41" s="360"/>
      <c r="D41" s="360"/>
      <c r="E41" s="360"/>
      <c r="F41" s="360"/>
      <c r="G41" s="360"/>
      <c r="H41" s="360"/>
      <c r="I41" s="360"/>
      <c r="J41" s="360"/>
    </row>
    <row r="42" spans="1:10">
      <c r="A42" s="360"/>
      <c r="B42" s="360"/>
      <c r="C42" s="360"/>
      <c r="D42" s="360"/>
      <c r="E42" s="360"/>
      <c r="F42" s="360"/>
      <c r="G42" s="360"/>
      <c r="H42" s="360"/>
      <c r="I42" s="360"/>
      <c r="J42" s="360"/>
    </row>
    <row r="65" spans="6:6">
      <c r="F65" s="3"/>
    </row>
  </sheetData>
  <mergeCells count="66">
    <mergeCell ref="A32:B32"/>
    <mergeCell ref="D32:E32"/>
    <mergeCell ref="A33:B33"/>
    <mergeCell ref="D33:E33"/>
    <mergeCell ref="A34:B34"/>
    <mergeCell ref="D34:E34"/>
    <mergeCell ref="A40:J40"/>
    <mergeCell ref="A41:J42"/>
    <mergeCell ref="A35:B35"/>
    <mergeCell ref="D35:E35"/>
    <mergeCell ref="A36:B36"/>
    <mergeCell ref="D36:E36"/>
    <mergeCell ref="A37:B37"/>
    <mergeCell ref="D37:E37"/>
    <mergeCell ref="A38:B38"/>
    <mergeCell ref="D38:E38"/>
    <mergeCell ref="A39:B39"/>
    <mergeCell ref="D39:E39"/>
    <mergeCell ref="A31:B31"/>
    <mergeCell ref="D31:E31"/>
    <mergeCell ref="A26:B26"/>
    <mergeCell ref="D26:E26"/>
    <mergeCell ref="A27:B27"/>
    <mergeCell ref="D27:E27"/>
    <mergeCell ref="A28:B28"/>
    <mergeCell ref="D28:E28"/>
    <mergeCell ref="A29:B29"/>
    <mergeCell ref="D29:E29"/>
    <mergeCell ref="A30:B30"/>
    <mergeCell ref="D30:E30"/>
    <mergeCell ref="A23:B23"/>
    <mergeCell ref="D23:E23"/>
    <mergeCell ref="A24:B24"/>
    <mergeCell ref="D24:E24"/>
    <mergeCell ref="A25:B25"/>
    <mergeCell ref="D25:E25"/>
    <mergeCell ref="A20:B20"/>
    <mergeCell ref="D20:E20"/>
    <mergeCell ref="A21:B21"/>
    <mergeCell ref="D21:E21"/>
    <mergeCell ref="A22:B22"/>
    <mergeCell ref="D22:E22"/>
    <mergeCell ref="A17:B17"/>
    <mergeCell ref="D17:E17"/>
    <mergeCell ref="A18:B18"/>
    <mergeCell ref="D18:E18"/>
    <mergeCell ref="A19:B19"/>
    <mergeCell ref="D19:E19"/>
    <mergeCell ref="A14:B14"/>
    <mergeCell ref="D14:E14"/>
    <mergeCell ref="A15:B15"/>
    <mergeCell ref="D15:E15"/>
    <mergeCell ref="A16:B16"/>
    <mergeCell ref="D16:E16"/>
    <mergeCell ref="A6:J7"/>
    <mergeCell ref="M6:P9"/>
    <mergeCell ref="A9:J9"/>
    <mergeCell ref="A10:B11"/>
    <mergeCell ref="C10:C11"/>
    <mergeCell ref="D10:E11"/>
    <mergeCell ref="F10:J10"/>
    <mergeCell ref="M10:P13"/>
    <mergeCell ref="A13:B13"/>
    <mergeCell ref="D13:E13"/>
    <mergeCell ref="A12:B12"/>
    <mergeCell ref="D12:E12"/>
  </mergeCells>
  <pageMargins left="0.7" right="0.7" top="0.75" bottom="0.75" header="0.3" footer="0.3"/>
  <pageSetup paperSize="9" scale="87" orientation="portrait"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FA553-FF3D-49AE-BF4B-BBBAB8C30C92}">
  <sheetPr codeName="Sheet24">
    <tabColor rgb="FF92D050"/>
  </sheetPr>
  <dimension ref="A1:P65"/>
  <sheetViews>
    <sheetView workbookViewId="0">
      <selection activeCell="P20" sqref="P20"/>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42" t="str">
        <f>+'Cover Page'!$B$29</f>
        <v>Annual Performance Report 2022</v>
      </c>
      <c r="B1" s="42"/>
      <c r="C1" s="42"/>
      <c r="D1" s="42"/>
      <c r="E1" s="42" t="str">
        <f>+'Cover Page'!$B$33</f>
        <v>Energy Works Hull</v>
      </c>
      <c r="F1" s="42"/>
      <c r="G1" s="42"/>
      <c r="H1" s="42"/>
      <c r="I1" s="42"/>
      <c r="J1" s="42"/>
      <c r="K1" s="42"/>
      <c r="L1" s="42"/>
      <c r="M1" s="42"/>
      <c r="N1" s="42"/>
      <c r="O1" s="42"/>
      <c r="P1" s="42"/>
    </row>
    <row r="2" spans="1:16" ht="7.5" customHeight="1">
      <c r="A2" s="42"/>
      <c r="B2" s="42"/>
      <c r="C2" s="42"/>
      <c r="D2" s="42"/>
      <c r="E2" s="42"/>
      <c r="F2" s="42"/>
      <c r="G2" s="42"/>
      <c r="H2" s="42"/>
      <c r="I2" s="42"/>
      <c r="J2" s="42"/>
      <c r="K2" s="42"/>
      <c r="L2" s="42"/>
      <c r="M2" s="42"/>
      <c r="N2" s="42"/>
      <c r="O2" s="42"/>
      <c r="P2" s="42"/>
    </row>
    <row r="3" spans="1:16" ht="15.75">
      <c r="A3" s="1" t="s">
        <v>40</v>
      </c>
      <c r="B3" s="42"/>
      <c r="C3" s="42"/>
      <c r="D3" s="42"/>
      <c r="E3" s="42"/>
      <c r="F3" s="42"/>
      <c r="G3" s="42"/>
      <c r="H3" s="42"/>
      <c r="I3" s="42"/>
      <c r="J3" s="42"/>
      <c r="K3" s="42"/>
      <c r="L3" s="42"/>
      <c r="M3" s="42"/>
      <c r="N3" s="42"/>
      <c r="O3" s="42"/>
      <c r="P3" s="42"/>
    </row>
    <row r="4" spans="1:16" ht="9.75" customHeight="1">
      <c r="A4" s="1"/>
      <c r="B4" s="42"/>
      <c r="C4" s="42"/>
      <c r="D4" s="42"/>
      <c r="E4" s="42"/>
      <c r="F4" s="42"/>
      <c r="G4" s="42"/>
      <c r="H4" s="42"/>
      <c r="I4" s="42"/>
      <c r="J4" s="42"/>
      <c r="K4" s="42"/>
      <c r="L4" s="42"/>
      <c r="M4" s="42"/>
      <c r="N4" s="42"/>
      <c r="O4" s="42"/>
      <c r="P4" s="42"/>
    </row>
    <row r="5" spans="1:16" s="3" customFormat="1" ht="21.75" customHeight="1">
      <c r="A5" s="334" t="s">
        <v>332</v>
      </c>
      <c r="B5" s="335"/>
      <c r="C5" s="335"/>
      <c r="D5" s="335"/>
      <c r="E5" s="335"/>
      <c r="F5" s="335"/>
      <c r="G5" s="335"/>
      <c r="H5" s="335"/>
      <c r="I5" s="335"/>
      <c r="J5" s="336"/>
      <c r="M5" s="38" t="s">
        <v>2</v>
      </c>
    </row>
    <row r="6" spans="1:16" s="3" customFormat="1" ht="15.75" customHeight="1">
      <c r="A6" s="338" t="s">
        <v>377</v>
      </c>
      <c r="B6" s="317"/>
      <c r="C6" s="317"/>
      <c r="D6" s="317"/>
      <c r="E6" s="317"/>
      <c r="F6" s="317"/>
      <c r="G6" s="317"/>
      <c r="H6" s="317"/>
      <c r="I6" s="317"/>
      <c r="J6" s="318"/>
      <c r="M6" s="85" t="s">
        <v>334</v>
      </c>
      <c r="N6" s="85"/>
      <c r="O6" s="85"/>
      <c r="P6" s="85"/>
    </row>
    <row r="7" spans="1:16" s="3" customFormat="1" ht="15.75" customHeight="1">
      <c r="A7" s="322"/>
      <c r="B7" s="323"/>
      <c r="C7" s="323"/>
      <c r="D7" s="323"/>
      <c r="E7" s="323"/>
      <c r="F7" s="323"/>
      <c r="G7" s="323"/>
      <c r="H7" s="323"/>
      <c r="I7" s="323"/>
      <c r="J7" s="324"/>
      <c r="M7" s="85"/>
      <c r="N7" s="85"/>
      <c r="O7" s="85"/>
      <c r="P7" s="85"/>
    </row>
    <row r="8" spans="1:16" s="3" customFormat="1" ht="14.25">
      <c r="M8" s="85"/>
      <c r="N8" s="85"/>
      <c r="O8" s="85"/>
      <c r="P8" s="85"/>
    </row>
    <row r="9" spans="1:16" s="22" customFormat="1" ht="16.5" customHeight="1">
      <c r="A9" s="352" t="s">
        <v>335</v>
      </c>
      <c r="B9" s="352"/>
      <c r="C9" s="352"/>
      <c r="D9" s="352"/>
      <c r="E9" s="352"/>
      <c r="F9" s="352"/>
      <c r="G9" s="352"/>
      <c r="H9" s="352"/>
      <c r="I9" s="352"/>
      <c r="J9" s="352"/>
      <c r="M9" s="85"/>
      <c r="N9" s="85"/>
      <c r="O9" s="85"/>
      <c r="P9" s="85"/>
    </row>
    <row r="10" spans="1:16" s="22" customFormat="1" ht="16.5" customHeight="1">
      <c r="A10" s="376" t="s">
        <v>222</v>
      </c>
      <c r="B10" s="377"/>
      <c r="C10" s="83" t="s">
        <v>336</v>
      </c>
      <c r="D10" s="378" t="s">
        <v>337</v>
      </c>
      <c r="E10" s="379"/>
      <c r="F10" s="380" t="s">
        <v>331</v>
      </c>
      <c r="G10" s="381"/>
      <c r="H10" s="381"/>
      <c r="I10" s="381"/>
      <c r="J10" s="382"/>
      <c r="M10" s="85" t="s">
        <v>338</v>
      </c>
      <c r="N10" s="85"/>
      <c r="O10" s="85"/>
      <c r="P10" s="85"/>
    </row>
    <row r="11" spans="1:16" s="7" customFormat="1" ht="17.25" customHeight="1">
      <c r="A11" s="383"/>
      <c r="B11" s="384"/>
      <c r="C11" s="84"/>
      <c r="D11" s="385"/>
      <c r="E11" s="386"/>
      <c r="F11" s="290" t="s">
        <v>195</v>
      </c>
      <c r="G11" s="290" t="s">
        <v>196</v>
      </c>
      <c r="H11" s="290" t="s">
        <v>197</v>
      </c>
      <c r="I11" s="290" t="s">
        <v>198</v>
      </c>
      <c r="J11" s="290" t="s">
        <v>199</v>
      </c>
      <c r="K11" s="49"/>
      <c r="L11" s="49"/>
      <c r="M11" s="85"/>
      <c r="N11" s="85"/>
      <c r="O11" s="85"/>
      <c r="P11" s="85"/>
    </row>
    <row r="12" spans="1:16" s="49" customFormat="1" ht="23.25" customHeight="1">
      <c r="A12" s="387" t="s">
        <v>339</v>
      </c>
      <c r="B12" s="388"/>
      <c r="C12" s="48" t="s">
        <v>340</v>
      </c>
      <c r="D12" s="389" t="s">
        <v>341</v>
      </c>
      <c r="E12" s="390"/>
      <c r="F12" s="374">
        <v>1.3</v>
      </c>
      <c r="G12" s="374"/>
      <c r="H12" s="374"/>
      <c r="I12" s="374"/>
      <c r="J12" s="374"/>
      <c r="M12" s="85"/>
      <c r="N12" s="85"/>
      <c r="O12" s="85"/>
      <c r="P12" s="85"/>
    </row>
    <row r="13" spans="1:16" s="7" customFormat="1" ht="23.25" customHeight="1">
      <c r="A13" s="224" t="s">
        <v>233</v>
      </c>
      <c r="B13" s="224"/>
      <c r="C13" s="391" t="s">
        <v>340</v>
      </c>
      <c r="D13" s="392" t="s">
        <v>342</v>
      </c>
      <c r="E13" s="392"/>
      <c r="F13" s="374">
        <v>2.8000000000000001E-2</v>
      </c>
      <c r="G13" s="374"/>
      <c r="H13" s="374"/>
      <c r="I13" s="374"/>
      <c r="J13" s="374"/>
      <c r="K13" s="49"/>
      <c r="L13" s="49"/>
      <c r="M13" s="85"/>
      <c r="N13" s="85"/>
      <c r="O13" s="85"/>
      <c r="P13" s="85"/>
    </row>
    <row r="14" spans="1:16" s="7" customFormat="1" ht="23.25" customHeight="1">
      <c r="A14" s="224" t="s">
        <v>343</v>
      </c>
      <c r="B14" s="224"/>
      <c r="C14" s="391" t="s">
        <v>344</v>
      </c>
      <c r="D14" s="392" t="s">
        <v>345</v>
      </c>
      <c r="E14" s="392"/>
      <c r="F14" s="374">
        <v>1.1000000000000001E-3</v>
      </c>
      <c r="G14" s="374"/>
      <c r="H14" s="374"/>
      <c r="I14" s="374"/>
      <c r="J14" s="374"/>
      <c r="K14" s="49"/>
      <c r="L14" s="49"/>
      <c r="M14" s="49"/>
      <c r="N14" s="49"/>
      <c r="O14" s="49"/>
      <c r="P14" s="49"/>
    </row>
    <row r="15" spans="1:16" s="7" customFormat="1" ht="23.25" customHeight="1">
      <c r="A15" s="224" t="s">
        <v>346</v>
      </c>
      <c r="B15" s="224"/>
      <c r="C15" s="391" t="s">
        <v>344</v>
      </c>
      <c r="D15" s="392" t="s">
        <v>345</v>
      </c>
      <c r="E15" s="392"/>
      <c r="F15" s="374">
        <v>1.8E-3</v>
      </c>
      <c r="G15" s="374"/>
      <c r="H15" s="374"/>
      <c r="I15" s="374"/>
      <c r="J15" s="374"/>
      <c r="K15" s="49"/>
      <c r="L15" s="49"/>
      <c r="M15" s="49"/>
      <c r="N15" s="49"/>
      <c r="O15" s="49"/>
      <c r="P15" s="49"/>
    </row>
    <row r="16" spans="1:16" s="7" customFormat="1" ht="23.25" customHeight="1">
      <c r="A16" s="224" t="s">
        <v>347</v>
      </c>
      <c r="B16" s="224"/>
      <c r="C16" s="391" t="s">
        <v>344</v>
      </c>
      <c r="D16" s="392" t="s">
        <v>348</v>
      </c>
      <c r="E16" s="392"/>
      <c r="F16" s="374">
        <v>0.04</v>
      </c>
      <c r="G16" s="374"/>
      <c r="H16" s="374"/>
      <c r="I16" s="374"/>
      <c r="J16" s="374"/>
      <c r="K16" s="49"/>
      <c r="L16" s="49"/>
      <c r="M16" s="49"/>
      <c r="N16" s="49"/>
      <c r="O16" s="49"/>
      <c r="P16" s="49"/>
    </row>
    <row r="17" spans="1:10" s="7" customFormat="1" ht="23.25" customHeight="1">
      <c r="A17" s="224" t="s">
        <v>349</v>
      </c>
      <c r="B17" s="224"/>
      <c r="C17" s="391" t="s">
        <v>344</v>
      </c>
      <c r="D17" s="392" t="s">
        <v>350</v>
      </c>
      <c r="E17" s="392"/>
      <c r="F17" s="374">
        <v>3.7999999999999999E-2</v>
      </c>
      <c r="G17" s="374"/>
      <c r="H17" s="374"/>
      <c r="I17" s="374"/>
      <c r="J17" s="374"/>
    </row>
    <row r="18" spans="1:10" s="7" customFormat="1" ht="23.25" customHeight="1">
      <c r="A18" s="224" t="s">
        <v>351</v>
      </c>
      <c r="B18" s="224"/>
      <c r="C18" s="391" t="s">
        <v>344</v>
      </c>
      <c r="D18" s="392" t="s">
        <v>352</v>
      </c>
      <c r="E18" s="392"/>
      <c r="F18" s="374">
        <v>2.5999999999999999E-3</v>
      </c>
      <c r="G18" s="374"/>
      <c r="H18" s="374"/>
      <c r="I18" s="374"/>
      <c r="J18" s="374"/>
    </row>
    <row r="19" spans="1:10" s="7" customFormat="1" ht="23.25" customHeight="1">
      <c r="A19" s="224" t="s">
        <v>353</v>
      </c>
      <c r="B19" s="224"/>
      <c r="C19" s="391" t="s">
        <v>344</v>
      </c>
      <c r="D19" s="392" t="s">
        <v>352</v>
      </c>
      <c r="E19" s="392"/>
      <c r="F19" s="374">
        <v>9.7999999999999997E-5</v>
      </c>
      <c r="G19" s="374"/>
      <c r="H19" s="374"/>
      <c r="I19" s="374"/>
      <c r="J19" s="374"/>
    </row>
    <row r="20" spans="1:10" s="7" customFormat="1" ht="23.25" customHeight="1">
      <c r="A20" s="224" t="s">
        <v>354</v>
      </c>
      <c r="B20" s="224"/>
      <c r="C20" s="391" t="s">
        <v>344</v>
      </c>
      <c r="D20" s="392" t="s">
        <v>352</v>
      </c>
      <c r="E20" s="392"/>
      <c r="F20" s="374">
        <v>3.3E-3</v>
      </c>
      <c r="G20" s="374"/>
      <c r="H20" s="374"/>
      <c r="I20" s="374"/>
      <c r="J20" s="374"/>
    </row>
    <row r="21" spans="1:10" s="7" customFormat="1" ht="23.25" customHeight="1">
      <c r="A21" s="224" t="s">
        <v>355</v>
      </c>
      <c r="B21" s="224"/>
      <c r="C21" s="391" t="s">
        <v>344</v>
      </c>
      <c r="D21" s="392" t="s">
        <v>352</v>
      </c>
      <c r="E21" s="392"/>
      <c r="F21" s="374">
        <v>3.4000000000000002E-2</v>
      </c>
      <c r="G21" s="374"/>
      <c r="H21" s="374"/>
      <c r="I21" s="374"/>
      <c r="J21" s="374"/>
    </row>
    <row r="22" spans="1:10" s="7" customFormat="1" ht="23.25" customHeight="1">
      <c r="A22" s="224" t="s">
        <v>356</v>
      </c>
      <c r="B22" s="224"/>
      <c r="C22" s="391" t="s">
        <v>344</v>
      </c>
      <c r="D22" s="392" t="s">
        <v>352</v>
      </c>
      <c r="E22" s="392"/>
      <c r="F22" s="374">
        <v>3.7999999999999999E-2</v>
      </c>
      <c r="G22" s="374"/>
      <c r="H22" s="374"/>
      <c r="I22" s="374"/>
      <c r="J22" s="374"/>
    </row>
    <row r="23" spans="1:10" s="7" customFormat="1" ht="23.25" customHeight="1">
      <c r="A23" s="224" t="s">
        <v>357</v>
      </c>
      <c r="B23" s="224"/>
      <c r="C23" s="391" t="s">
        <v>344</v>
      </c>
      <c r="D23" s="392" t="s">
        <v>352</v>
      </c>
      <c r="E23" s="392"/>
      <c r="F23" s="374">
        <v>5.3999999999999999E-2</v>
      </c>
      <c r="G23" s="374"/>
      <c r="H23" s="374"/>
      <c r="I23" s="374"/>
      <c r="J23" s="374"/>
    </row>
    <row r="24" spans="1:10" s="7" customFormat="1" ht="23.25" customHeight="1">
      <c r="A24" s="224" t="s">
        <v>358</v>
      </c>
      <c r="B24" s="224"/>
      <c r="C24" s="391" t="s">
        <v>344</v>
      </c>
      <c r="D24" s="392" t="s">
        <v>359</v>
      </c>
      <c r="E24" s="392"/>
      <c r="F24" s="374">
        <v>2.7000000000000001E-3</v>
      </c>
      <c r="G24" s="374"/>
      <c r="H24" s="374"/>
      <c r="I24" s="374"/>
      <c r="J24" s="374"/>
    </row>
    <row r="25" spans="1:10" s="7" customFormat="1" ht="23.25" customHeight="1">
      <c r="A25" s="224" t="s">
        <v>360</v>
      </c>
      <c r="B25" s="224"/>
      <c r="C25" s="391" t="s">
        <v>344</v>
      </c>
      <c r="D25" s="392" t="s">
        <v>359</v>
      </c>
      <c r="E25" s="392"/>
      <c r="F25" s="374">
        <v>1.6999999999999999E-3</v>
      </c>
      <c r="G25" s="374"/>
      <c r="H25" s="374"/>
      <c r="I25" s="374"/>
      <c r="J25" s="374"/>
    </row>
    <row r="26" spans="1:10" s="7" customFormat="1" ht="23.25" customHeight="1">
      <c r="A26" s="224" t="s">
        <v>361</v>
      </c>
      <c r="B26" s="224"/>
      <c r="C26" s="391" t="s">
        <v>344</v>
      </c>
      <c r="D26" s="392" t="s">
        <v>359</v>
      </c>
      <c r="E26" s="392"/>
      <c r="F26" s="374">
        <v>5.4999999999999997E-3</v>
      </c>
      <c r="G26" s="374"/>
      <c r="H26" s="374"/>
      <c r="I26" s="374"/>
      <c r="J26" s="374"/>
    </row>
    <row r="27" spans="1:10" s="7" customFormat="1" ht="23.25" customHeight="1">
      <c r="A27" s="224" t="s">
        <v>362</v>
      </c>
      <c r="B27" s="224"/>
      <c r="C27" s="391" t="s">
        <v>344</v>
      </c>
      <c r="D27" s="392" t="s">
        <v>359</v>
      </c>
      <c r="E27" s="392"/>
      <c r="F27" s="374">
        <v>3.0000000000000001E-3</v>
      </c>
      <c r="G27" s="374"/>
      <c r="H27" s="374"/>
      <c r="I27" s="374"/>
      <c r="J27" s="374"/>
    </row>
    <row r="28" spans="1:10" s="7" customFormat="1" ht="23.25" customHeight="1">
      <c r="A28" s="224" t="s">
        <v>363</v>
      </c>
      <c r="B28" s="224"/>
      <c r="C28" s="391" t="s">
        <v>344</v>
      </c>
      <c r="D28" s="392" t="s">
        <v>359</v>
      </c>
      <c r="E28" s="392"/>
      <c r="F28" s="374">
        <v>1.6999999999999999E-3</v>
      </c>
      <c r="G28" s="374"/>
      <c r="H28" s="374"/>
      <c r="I28" s="374"/>
      <c r="J28" s="374"/>
    </row>
    <row r="29" spans="1:10" s="7" customFormat="1" ht="23.25" customHeight="1">
      <c r="A29" s="224" t="s">
        <v>364</v>
      </c>
      <c r="B29" s="224"/>
      <c r="C29" s="391" t="s">
        <v>344</v>
      </c>
      <c r="D29" s="392" t="s">
        <v>359</v>
      </c>
      <c r="E29" s="392"/>
      <c r="F29" s="374">
        <v>1.6999999999999999E-3</v>
      </c>
      <c r="G29" s="374"/>
      <c r="H29" s="374"/>
      <c r="I29" s="374"/>
      <c r="J29" s="374"/>
    </row>
    <row r="30" spans="1:10" s="7" customFormat="1" ht="23.25" customHeight="1">
      <c r="A30" s="224" t="s">
        <v>365</v>
      </c>
      <c r="B30" s="224"/>
      <c r="C30" s="391" t="s">
        <v>344</v>
      </c>
      <c r="D30" s="392" t="s">
        <v>359</v>
      </c>
      <c r="E30" s="392"/>
      <c r="F30" s="374">
        <v>3.2000000000000001E-2</v>
      </c>
      <c r="G30" s="374"/>
      <c r="H30" s="374"/>
      <c r="I30" s="374"/>
      <c r="J30" s="374"/>
    </row>
    <row r="31" spans="1:10" s="7" customFormat="1" ht="23.25" customHeight="1">
      <c r="A31" s="224" t="s">
        <v>366</v>
      </c>
      <c r="B31" s="224"/>
      <c r="C31" s="391" t="s">
        <v>344</v>
      </c>
      <c r="D31" s="392" t="s">
        <v>359</v>
      </c>
      <c r="E31" s="392"/>
      <c r="F31" s="374">
        <v>1.6999999999999999E-3</v>
      </c>
      <c r="G31" s="374"/>
      <c r="H31" s="374"/>
      <c r="I31" s="374"/>
      <c r="J31" s="374"/>
    </row>
    <row r="32" spans="1:10" s="7" customFormat="1" ht="23.25" customHeight="1">
      <c r="A32" s="224" t="s">
        <v>367</v>
      </c>
      <c r="B32" s="224"/>
      <c r="C32" s="391" t="s">
        <v>344</v>
      </c>
      <c r="D32" s="392" t="s">
        <v>359</v>
      </c>
      <c r="E32" s="392"/>
      <c r="F32" s="374">
        <v>1.6999999999999999E-3</v>
      </c>
      <c r="G32" s="374"/>
      <c r="H32" s="374"/>
      <c r="I32" s="374"/>
      <c r="J32" s="374"/>
    </row>
    <row r="33" spans="1:10" s="7" customFormat="1" ht="23.25" customHeight="1">
      <c r="A33" s="224" t="s">
        <v>368</v>
      </c>
      <c r="B33" s="224"/>
      <c r="C33" s="391" t="s">
        <v>344</v>
      </c>
      <c r="D33" s="392" t="s">
        <v>359</v>
      </c>
      <c r="E33" s="392"/>
      <c r="F33" s="374">
        <v>4.0000000000000001E-3</v>
      </c>
      <c r="G33" s="374"/>
      <c r="H33" s="374"/>
      <c r="I33" s="374"/>
      <c r="J33" s="374"/>
    </row>
    <row r="34" spans="1:10" s="7" customFormat="1" ht="23.25" customHeight="1">
      <c r="A34" s="224" t="s">
        <v>369</v>
      </c>
      <c r="B34" s="224"/>
      <c r="C34" s="391" t="s">
        <v>344</v>
      </c>
      <c r="D34" s="392" t="s">
        <v>359</v>
      </c>
      <c r="E34" s="392"/>
      <c r="F34" s="374">
        <v>3.3999999999999998E-3</v>
      </c>
      <c r="G34" s="374"/>
      <c r="H34" s="374"/>
      <c r="I34" s="374"/>
      <c r="J34" s="374"/>
    </row>
    <row r="35" spans="1:10" s="7" customFormat="1" ht="23.25" customHeight="1">
      <c r="A35" s="224" t="s">
        <v>370</v>
      </c>
      <c r="B35" s="224"/>
      <c r="C35" s="391" t="s">
        <v>344</v>
      </c>
      <c r="D35" s="392" t="s">
        <v>359</v>
      </c>
      <c r="E35" s="392"/>
      <c r="F35" s="374">
        <v>1.6999999999999999E-3</v>
      </c>
      <c r="G35" s="374"/>
      <c r="H35" s="374"/>
      <c r="I35" s="374"/>
      <c r="J35" s="374"/>
    </row>
    <row r="36" spans="1:10" s="7" customFormat="1" ht="23.25" customHeight="1">
      <c r="A36" s="224" t="s">
        <v>371</v>
      </c>
      <c r="B36" s="224"/>
      <c r="C36" s="391" t="s">
        <v>344</v>
      </c>
      <c r="D36" s="392" t="s">
        <v>359</v>
      </c>
      <c r="E36" s="392"/>
      <c r="F36" s="374">
        <v>1.6999999999999999E-3</v>
      </c>
      <c r="G36" s="374"/>
      <c r="H36" s="374"/>
      <c r="I36" s="374"/>
      <c r="J36" s="374"/>
    </row>
    <row r="37" spans="1:10" s="7" customFormat="1" ht="23.25" customHeight="1">
      <c r="A37" s="224" t="s">
        <v>372</v>
      </c>
      <c r="B37" s="224"/>
      <c r="C37" s="391" t="s">
        <v>344</v>
      </c>
      <c r="D37" s="392" t="s">
        <v>359</v>
      </c>
      <c r="E37" s="392"/>
      <c r="F37" s="374">
        <v>0.01</v>
      </c>
      <c r="G37" s="374"/>
      <c r="H37" s="374"/>
      <c r="I37" s="374"/>
      <c r="J37" s="374"/>
    </row>
    <row r="38" spans="1:10" s="7" customFormat="1" ht="23.25" customHeight="1">
      <c r="A38" s="224" t="s">
        <v>373</v>
      </c>
      <c r="B38" s="224"/>
      <c r="C38" s="391" t="s">
        <v>344</v>
      </c>
      <c r="D38" s="392" t="s">
        <v>359</v>
      </c>
      <c r="E38" s="392"/>
      <c r="F38" s="374">
        <v>6.1000000000000004E-3</v>
      </c>
      <c r="G38" s="374"/>
      <c r="H38" s="374"/>
      <c r="I38" s="374"/>
      <c r="J38" s="374"/>
    </row>
    <row r="39" spans="1:10" s="7" customFormat="1" ht="23.25" customHeight="1">
      <c r="A39" s="224" t="s">
        <v>374</v>
      </c>
      <c r="B39" s="224"/>
      <c r="C39" s="391" t="s">
        <v>344</v>
      </c>
      <c r="D39" s="392" t="s">
        <v>359</v>
      </c>
      <c r="E39" s="392"/>
      <c r="F39" s="374">
        <v>0.15</v>
      </c>
      <c r="G39" s="374"/>
      <c r="H39" s="374"/>
      <c r="I39" s="374"/>
      <c r="J39" s="374"/>
    </row>
    <row r="40" spans="1:10">
      <c r="A40" s="242" t="s">
        <v>324</v>
      </c>
      <c r="B40" s="242"/>
      <c r="C40" s="242"/>
      <c r="D40" s="242"/>
      <c r="E40" s="242"/>
      <c r="F40" s="242"/>
      <c r="G40" s="242"/>
      <c r="H40" s="242"/>
      <c r="I40" s="242"/>
      <c r="J40" s="242"/>
    </row>
    <row r="41" spans="1:10">
      <c r="A41" s="360"/>
      <c r="B41" s="360"/>
      <c r="C41" s="360"/>
      <c r="D41" s="360"/>
      <c r="E41" s="360"/>
      <c r="F41" s="360"/>
      <c r="G41" s="360"/>
      <c r="H41" s="360"/>
      <c r="I41" s="360"/>
      <c r="J41" s="360"/>
    </row>
    <row r="42" spans="1:10">
      <c r="A42" s="360"/>
      <c r="B42" s="360"/>
      <c r="C42" s="360"/>
      <c r="D42" s="360"/>
      <c r="E42" s="360"/>
      <c r="F42" s="360"/>
      <c r="G42" s="360"/>
      <c r="H42" s="360"/>
      <c r="I42" s="360"/>
      <c r="J42" s="360"/>
    </row>
    <row r="65" spans="6:6">
      <c r="F65" s="3"/>
    </row>
  </sheetData>
  <mergeCells count="66">
    <mergeCell ref="A32:B32"/>
    <mergeCell ref="D32:E32"/>
    <mergeCell ref="A33:B33"/>
    <mergeCell ref="D33:E33"/>
    <mergeCell ref="A34:B34"/>
    <mergeCell ref="D34:E34"/>
    <mergeCell ref="A40:J40"/>
    <mergeCell ref="A41:J42"/>
    <mergeCell ref="A35:B35"/>
    <mergeCell ref="D35:E35"/>
    <mergeCell ref="A36:B36"/>
    <mergeCell ref="D36:E36"/>
    <mergeCell ref="A37:B37"/>
    <mergeCell ref="D37:E37"/>
    <mergeCell ref="A38:B38"/>
    <mergeCell ref="D38:E38"/>
    <mergeCell ref="A39:B39"/>
    <mergeCell ref="D39:E39"/>
    <mergeCell ref="A31:B31"/>
    <mergeCell ref="D31:E31"/>
    <mergeCell ref="A26:B26"/>
    <mergeCell ref="D26:E26"/>
    <mergeCell ref="A27:B27"/>
    <mergeCell ref="D27:E27"/>
    <mergeCell ref="A28:B28"/>
    <mergeCell ref="D28:E28"/>
    <mergeCell ref="A29:B29"/>
    <mergeCell ref="D29:E29"/>
    <mergeCell ref="A30:B30"/>
    <mergeCell ref="D30:E30"/>
    <mergeCell ref="A23:B23"/>
    <mergeCell ref="D23:E23"/>
    <mergeCell ref="A24:B24"/>
    <mergeCell ref="D24:E24"/>
    <mergeCell ref="A25:B25"/>
    <mergeCell ref="D25:E25"/>
    <mergeCell ref="A20:B20"/>
    <mergeCell ref="D20:E20"/>
    <mergeCell ref="A21:B21"/>
    <mergeCell ref="D21:E21"/>
    <mergeCell ref="A22:B22"/>
    <mergeCell ref="D22:E22"/>
    <mergeCell ref="A17:B17"/>
    <mergeCell ref="D17:E17"/>
    <mergeCell ref="A18:B18"/>
    <mergeCell ref="D18:E18"/>
    <mergeCell ref="A19:B19"/>
    <mergeCell ref="D19:E19"/>
    <mergeCell ref="A14:B14"/>
    <mergeCell ref="D14:E14"/>
    <mergeCell ref="A15:B15"/>
    <mergeCell ref="D15:E15"/>
    <mergeCell ref="A16:B16"/>
    <mergeCell ref="D16:E16"/>
    <mergeCell ref="A6:J7"/>
    <mergeCell ref="M6:P9"/>
    <mergeCell ref="A9:J9"/>
    <mergeCell ref="A10:B11"/>
    <mergeCell ref="C10:C11"/>
    <mergeCell ref="D10:E11"/>
    <mergeCell ref="F10:J10"/>
    <mergeCell ref="M10:P13"/>
    <mergeCell ref="A13:B13"/>
    <mergeCell ref="D13:E13"/>
    <mergeCell ref="A12:B12"/>
    <mergeCell ref="D12:E12"/>
  </mergeCells>
  <pageMargins left="0.7" right="0.7" top="0.75" bottom="0.75" header="0.3" footer="0.3"/>
  <pageSetup paperSize="9" scale="87" orientation="portrait" r:id="rId1"/>
  <headerFooter scaleWithDoc="0">
    <oddFooter>&amp;C&amp;"Arial,Regular"Page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610B6-ED28-46C5-B241-EC92DA6AC33B}">
  <sheetPr codeName="Sheet25">
    <tabColor rgb="FF92D050"/>
  </sheetPr>
  <dimension ref="A1:P65"/>
  <sheetViews>
    <sheetView workbookViewId="0">
      <selection activeCell="N15" sqref="N15"/>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42" t="str">
        <f>+'Cover Page'!$B$29</f>
        <v>Annual Performance Report 2022</v>
      </c>
      <c r="B1" s="42"/>
      <c r="C1" s="42"/>
      <c r="D1" s="42"/>
      <c r="E1" s="42" t="str">
        <f>+'Cover Page'!$B$33</f>
        <v>Energy Works Hull</v>
      </c>
      <c r="F1" s="42"/>
      <c r="G1" s="42"/>
      <c r="H1" s="42"/>
      <c r="I1" s="42"/>
      <c r="J1" s="42"/>
      <c r="K1" s="42"/>
      <c r="L1" s="42"/>
      <c r="M1" s="42"/>
      <c r="N1" s="42"/>
      <c r="O1" s="42"/>
      <c r="P1" s="42"/>
    </row>
    <row r="2" spans="1:16" ht="7.5" customHeight="1">
      <c r="A2" s="42"/>
      <c r="B2" s="42"/>
      <c r="C2" s="42"/>
      <c r="D2" s="42"/>
      <c r="E2" s="42"/>
      <c r="F2" s="42"/>
      <c r="G2" s="42"/>
      <c r="H2" s="42"/>
      <c r="I2" s="42"/>
      <c r="J2" s="42"/>
      <c r="K2" s="42"/>
      <c r="L2" s="42"/>
      <c r="M2" s="42"/>
      <c r="N2" s="42"/>
      <c r="O2" s="42"/>
      <c r="P2" s="42"/>
    </row>
    <row r="3" spans="1:16" ht="15.75">
      <c r="A3" s="1" t="s">
        <v>40</v>
      </c>
      <c r="B3" s="42"/>
      <c r="C3" s="42"/>
      <c r="D3" s="42"/>
      <c r="E3" s="42"/>
      <c r="F3" s="42"/>
      <c r="G3" s="42"/>
      <c r="H3" s="42"/>
      <c r="I3" s="42"/>
      <c r="J3" s="42"/>
      <c r="K3" s="42"/>
      <c r="L3" s="42"/>
      <c r="M3" s="42"/>
      <c r="N3" s="42"/>
      <c r="O3" s="42"/>
      <c r="P3" s="42"/>
    </row>
    <row r="4" spans="1:16" ht="9.75" customHeight="1">
      <c r="A4" s="1"/>
      <c r="B4" s="42"/>
      <c r="C4" s="42"/>
      <c r="D4" s="42"/>
      <c r="E4" s="42"/>
      <c r="F4" s="42"/>
      <c r="G4" s="42"/>
      <c r="H4" s="42"/>
      <c r="I4" s="42"/>
      <c r="J4" s="42"/>
      <c r="K4" s="42"/>
      <c r="L4" s="42"/>
      <c r="M4" s="42"/>
      <c r="N4" s="42"/>
      <c r="O4" s="42"/>
      <c r="P4" s="42"/>
    </row>
    <row r="5" spans="1:16" s="3" customFormat="1" ht="21.75" customHeight="1">
      <c r="A5" s="334" t="s">
        <v>332</v>
      </c>
      <c r="B5" s="335"/>
      <c r="C5" s="335"/>
      <c r="D5" s="335"/>
      <c r="E5" s="335"/>
      <c r="F5" s="335"/>
      <c r="G5" s="335"/>
      <c r="H5" s="335"/>
      <c r="I5" s="335"/>
      <c r="J5" s="336"/>
      <c r="M5" s="38" t="s">
        <v>2</v>
      </c>
    </row>
    <row r="6" spans="1:16" s="3" customFormat="1" ht="15.75" customHeight="1">
      <c r="A6" s="338" t="s">
        <v>378</v>
      </c>
      <c r="B6" s="317"/>
      <c r="C6" s="317"/>
      <c r="D6" s="317"/>
      <c r="E6" s="317"/>
      <c r="F6" s="317"/>
      <c r="G6" s="317"/>
      <c r="H6" s="317"/>
      <c r="I6" s="317"/>
      <c r="J6" s="318"/>
      <c r="M6" s="85" t="s">
        <v>334</v>
      </c>
      <c r="N6" s="85"/>
      <c r="O6" s="85"/>
      <c r="P6" s="85"/>
    </row>
    <row r="7" spans="1:16" s="3" customFormat="1" ht="15.75" customHeight="1">
      <c r="A7" s="322"/>
      <c r="B7" s="323"/>
      <c r="C7" s="323"/>
      <c r="D7" s="323"/>
      <c r="E7" s="323"/>
      <c r="F7" s="323"/>
      <c r="G7" s="323"/>
      <c r="H7" s="323"/>
      <c r="I7" s="323"/>
      <c r="J7" s="324"/>
      <c r="M7" s="85"/>
      <c r="N7" s="85"/>
      <c r="O7" s="85"/>
      <c r="P7" s="85"/>
    </row>
    <row r="8" spans="1:16" s="3" customFormat="1" ht="14.25">
      <c r="M8" s="85"/>
      <c r="N8" s="85"/>
      <c r="O8" s="85"/>
      <c r="P8" s="85"/>
    </row>
    <row r="9" spans="1:16" s="22" customFormat="1" ht="16.5" customHeight="1">
      <c r="A9" s="352" t="s">
        <v>335</v>
      </c>
      <c r="B9" s="352"/>
      <c r="C9" s="352"/>
      <c r="D9" s="352"/>
      <c r="E9" s="352"/>
      <c r="F9" s="352"/>
      <c r="G9" s="352"/>
      <c r="H9" s="352"/>
      <c r="I9" s="352"/>
      <c r="J9" s="352"/>
      <c r="M9" s="85"/>
      <c r="N9" s="85"/>
      <c r="O9" s="85"/>
      <c r="P9" s="85"/>
    </row>
    <row r="10" spans="1:16" s="22" customFormat="1" ht="16.5" customHeight="1">
      <c r="A10" s="376" t="s">
        <v>222</v>
      </c>
      <c r="B10" s="377"/>
      <c r="C10" s="83" t="s">
        <v>336</v>
      </c>
      <c r="D10" s="378" t="s">
        <v>337</v>
      </c>
      <c r="E10" s="379"/>
      <c r="F10" s="380" t="s">
        <v>331</v>
      </c>
      <c r="G10" s="381"/>
      <c r="H10" s="381"/>
      <c r="I10" s="381"/>
      <c r="J10" s="382"/>
      <c r="M10" s="85" t="s">
        <v>338</v>
      </c>
      <c r="N10" s="85"/>
      <c r="O10" s="85"/>
      <c r="P10" s="85"/>
    </row>
    <row r="11" spans="1:16" s="7" customFormat="1" ht="17.25" customHeight="1">
      <c r="A11" s="383"/>
      <c r="B11" s="384"/>
      <c r="C11" s="84"/>
      <c r="D11" s="385"/>
      <c r="E11" s="386"/>
      <c r="F11" s="290" t="s">
        <v>195</v>
      </c>
      <c r="G11" s="290" t="s">
        <v>196</v>
      </c>
      <c r="H11" s="290" t="s">
        <v>197</v>
      </c>
      <c r="I11" s="290" t="s">
        <v>198</v>
      </c>
      <c r="J11" s="290" t="s">
        <v>199</v>
      </c>
      <c r="K11" s="49"/>
      <c r="L11" s="49"/>
      <c r="M11" s="85"/>
      <c r="N11" s="85"/>
      <c r="O11" s="85"/>
      <c r="P11" s="85"/>
    </row>
    <row r="12" spans="1:16" s="49" customFormat="1" ht="23.25" customHeight="1">
      <c r="A12" s="231" t="s">
        <v>339</v>
      </c>
      <c r="B12" s="250"/>
      <c r="C12" s="48" t="s">
        <v>340</v>
      </c>
      <c r="D12" s="394" t="s">
        <v>341</v>
      </c>
      <c r="E12" s="235"/>
      <c r="F12" s="374">
        <v>2.4E-2</v>
      </c>
      <c r="G12" s="374"/>
      <c r="H12" s="374"/>
      <c r="I12" s="374"/>
      <c r="J12" s="374"/>
      <c r="M12" s="85"/>
      <c r="N12" s="85"/>
      <c r="O12" s="85"/>
      <c r="P12" s="85"/>
    </row>
    <row r="13" spans="1:16" s="7" customFormat="1" ht="23.25" customHeight="1">
      <c r="A13" s="224" t="s">
        <v>233</v>
      </c>
      <c r="B13" s="224"/>
      <c r="C13" s="391" t="s">
        <v>340</v>
      </c>
      <c r="D13" s="392" t="s">
        <v>342</v>
      </c>
      <c r="E13" s="392"/>
      <c r="F13" s="374">
        <v>2.7E-2</v>
      </c>
      <c r="G13" s="374"/>
      <c r="H13" s="374"/>
      <c r="I13" s="374"/>
      <c r="J13" s="374"/>
      <c r="K13" s="49"/>
      <c r="L13" s="49"/>
      <c r="M13" s="85"/>
      <c r="N13" s="85"/>
      <c r="O13" s="85"/>
      <c r="P13" s="85"/>
    </row>
    <row r="14" spans="1:16" s="7" customFormat="1" ht="23.25" customHeight="1">
      <c r="A14" s="224" t="s">
        <v>343</v>
      </c>
      <c r="B14" s="224"/>
      <c r="C14" s="391" t="s">
        <v>344</v>
      </c>
      <c r="D14" s="392" t="s">
        <v>345</v>
      </c>
      <c r="E14" s="392"/>
      <c r="F14" s="374">
        <v>1.1000000000000001E-3</v>
      </c>
      <c r="G14" s="374"/>
      <c r="H14" s="374"/>
      <c r="I14" s="374"/>
      <c r="J14" s="374"/>
      <c r="K14" s="49"/>
      <c r="L14" s="49"/>
      <c r="M14" s="49"/>
      <c r="N14" s="49"/>
      <c r="O14" s="49"/>
      <c r="P14" s="49"/>
    </row>
    <row r="15" spans="1:16" s="7" customFormat="1" ht="23.25" customHeight="1">
      <c r="A15" s="224" t="s">
        <v>346</v>
      </c>
      <c r="B15" s="224"/>
      <c r="C15" s="391" t="s">
        <v>344</v>
      </c>
      <c r="D15" s="392" t="s">
        <v>345</v>
      </c>
      <c r="E15" s="392"/>
      <c r="F15" s="374">
        <v>2.9E-4</v>
      </c>
      <c r="G15" s="374"/>
      <c r="H15" s="374"/>
      <c r="I15" s="374"/>
      <c r="J15" s="374"/>
      <c r="K15" s="49"/>
      <c r="L15" s="49"/>
      <c r="M15" s="49"/>
      <c r="N15" s="49"/>
      <c r="O15" s="49"/>
      <c r="P15" s="49"/>
    </row>
    <row r="16" spans="1:16" s="7" customFormat="1" ht="23.25" customHeight="1">
      <c r="A16" s="224" t="s">
        <v>347</v>
      </c>
      <c r="B16" s="224"/>
      <c r="C16" s="391" t="s">
        <v>344</v>
      </c>
      <c r="D16" s="392" t="s">
        <v>348</v>
      </c>
      <c r="E16" s="392"/>
      <c r="F16" s="374">
        <v>5.2999999999999999E-2</v>
      </c>
      <c r="G16" s="374"/>
      <c r="H16" s="374"/>
      <c r="I16" s="374"/>
      <c r="J16" s="374"/>
      <c r="K16" s="49"/>
      <c r="L16" s="49"/>
      <c r="M16" s="49"/>
      <c r="N16" s="49"/>
      <c r="O16" s="49"/>
      <c r="P16" s="49"/>
    </row>
    <row r="17" spans="1:10" s="7" customFormat="1" ht="23.25" customHeight="1">
      <c r="A17" s="224" t="s">
        <v>349</v>
      </c>
      <c r="B17" s="224"/>
      <c r="C17" s="391" t="s">
        <v>344</v>
      </c>
      <c r="D17" s="392" t="s">
        <v>350</v>
      </c>
      <c r="E17" s="392"/>
      <c r="F17" s="374">
        <v>5.7000000000000002E-2</v>
      </c>
      <c r="G17" s="374"/>
      <c r="H17" s="374"/>
      <c r="I17" s="374"/>
      <c r="J17" s="374"/>
    </row>
    <row r="18" spans="1:10" s="7" customFormat="1" ht="23.25" customHeight="1">
      <c r="A18" s="224" t="s">
        <v>351</v>
      </c>
      <c r="B18" s="224"/>
      <c r="C18" s="391" t="s">
        <v>344</v>
      </c>
      <c r="D18" s="392" t="s">
        <v>352</v>
      </c>
      <c r="E18" s="392"/>
      <c r="F18" s="374">
        <v>8.2000000000000007E-3</v>
      </c>
      <c r="G18" s="374"/>
      <c r="H18" s="374"/>
      <c r="I18" s="374"/>
      <c r="J18" s="374"/>
    </row>
    <row r="19" spans="1:10" s="7" customFormat="1" ht="23.25" customHeight="1">
      <c r="A19" s="224" t="s">
        <v>353</v>
      </c>
      <c r="B19" s="224"/>
      <c r="C19" s="391" t="s">
        <v>344</v>
      </c>
      <c r="D19" s="392" t="s">
        <v>352</v>
      </c>
      <c r="E19" s="392"/>
      <c r="F19" s="374">
        <v>3.6000000000000002E-4</v>
      </c>
      <c r="G19" s="374"/>
      <c r="H19" s="374"/>
      <c r="I19" s="374"/>
      <c r="J19" s="374"/>
    </row>
    <row r="20" spans="1:10" s="7" customFormat="1" ht="23.25" customHeight="1">
      <c r="A20" s="224" t="s">
        <v>354</v>
      </c>
      <c r="B20" s="224"/>
      <c r="C20" s="391" t="s">
        <v>344</v>
      </c>
      <c r="D20" s="392" t="s">
        <v>352</v>
      </c>
      <c r="E20" s="392"/>
      <c r="F20" s="374">
        <v>1.7000000000000001E-2</v>
      </c>
      <c r="G20" s="374"/>
      <c r="H20" s="374"/>
      <c r="I20" s="374"/>
      <c r="J20" s="374"/>
    </row>
    <row r="21" spans="1:10" s="7" customFormat="1" ht="23.25" customHeight="1">
      <c r="A21" s="224" t="s">
        <v>355</v>
      </c>
      <c r="B21" s="224"/>
      <c r="C21" s="391" t="s">
        <v>344</v>
      </c>
      <c r="D21" s="392" t="s">
        <v>352</v>
      </c>
      <c r="E21" s="392"/>
      <c r="F21" s="374">
        <v>4.8000000000000001E-2</v>
      </c>
      <c r="G21" s="374"/>
      <c r="H21" s="374"/>
      <c r="I21" s="374"/>
      <c r="J21" s="374"/>
    </row>
    <row r="22" spans="1:10" s="7" customFormat="1" ht="23.25" customHeight="1">
      <c r="A22" s="224" t="s">
        <v>356</v>
      </c>
      <c r="B22" s="224"/>
      <c r="C22" s="391" t="s">
        <v>344</v>
      </c>
      <c r="D22" s="392" t="s">
        <v>352</v>
      </c>
      <c r="E22" s="392"/>
      <c r="F22" s="374">
        <v>5.5E-2</v>
      </c>
      <c r="G22" s="374"/>
      <c r="H22" s="374"/>
      <c r="I22" s="374"/>
      <c r="J22" s="374"/>
    </row>
    <row r="23" spans="1:10" s="7" customFormat="1" ht="23.25" customHeight="1">
      <c r="A23" s="224" t="s">
        <v>357</v>
      </c>
      <c r="B23" s="224"/>
      <c r="C23" s="391" t="s">
        <v>344</v>
      </c>
      <c r="D23" s="392" t="s">
        <v>352</v>
      </c>
      <c r="E23" s="392"/>
      <c r="F23" s="374">
        <v>8.5999999999999993E-2</v>
      </c>
      <c r="G23" s="374"/>
      <c r="H23" s="374"/>
      <c r="I23" s="374"/>
      <c r="J23" s="374"/>
    </row>
    <row r="24" spans="1:10" s="7" customFormat="1" ht="23.25" customHeight="1">
      <c r="A24" s="224" t="s">
        <v>358</v>
      </c>
      <c r="B24" s="224"/>
      <c r="C24" s="391" t="s">
        <v>344</v>
      </c>
      <c r="D24" s="392" t="s">
        <v>359</v>
      </c>
      <c r="E24" s="392"/>
      <c r="F24" s="374" t="s">
        <v>379</v>
      </c>
      <c r="G24" s="374"/>
      <c r="H24" s="374"/>
      <c r="I24" s="374"/>
      <c r="J24" s="374"/>
    </row>
    <row r="25" spans="1:10" s="7" customFormat="1" ht="23.25" customHeight="1">
      <c r="A25" s="224" t="s">
        <v>360</v>
      </c>
      <c r="B25" s="224"/>
      <c r="C25" s="391" t="s">
        <v>344</v>
      </c>
      <c r="D25" s="392" t="s">
        <v>359</v>
      </c>
      <c r="E25" s="392"/>
      <c r="F25" s="374" t="s">
        <v>379</v>
      </c>
      <c r="G25" s="374"/>
      <c r="H25" s="374"/>
      <c r="I25" s="374"/>
      <c r="J25" s="374"/>
    </row>
    <row r="26" spans="1:10" s="7" customFormat="1" ht="23.25" customHeight="1">
      <c r="A26" s="224" t="s">
        <v>361</v>
      </c>
      <c r="B26" s="224"/>
      <c r="C26" s="391" t="s">
        <v>344</v>
      </c>
      <c r="D26" s="392" t="s">
        <v>359</v>
      </c>
      <c r="E26" s="392"/>
      <c r="F26" s="374" t="s">
        <v>379</v>
      </c>
      <c r="G26" s="374"/>
      <c r="H26" s="374"/>
      <c r="I26" s="374"/>
      <c r="J26" s="374"/>
    </row>
    <row r="27" spans="1:10" s="7" customFormat="1" ht="23.25" customHeight="1">
      <c r="A27" s="224" t="s">
        <v>362</v>
      </c>
      <c r="B27" s="224"/>
      <c r="C27" s="391" t="s">
        <v>344</v>
      </c>
      <c r="D27" s="392" t="s">
        <v>359</v>
      </c>
      <c r="E27" s="392"/>
      <c r="F27" s="374" t="s">
        <v>379</v>
      </c>
      <c r="G27" s="374"/>
      <c r="H27" s="374"/>
      <c r="I27" s="374"/>
      <c r="J27" s="374"/>
    </row>
    <row r="28" spans="1:10" s="7" customFormat="1" ht="23.25" customHeight="1">
      <c r="A28" s="224" t="s">
        <v>363</v>
      </c>
      <c r="B28" s="224"/>
      <c r="C28" s="391" t="s">
        <v>344</v>
      </c>
      <c r="D28" s="392" t="s">
        <v>359</v>
      </c>
      <c r="E28" s="392"/>
      <c r="F28" s="374" t="s">
        <v>379</v>
      </c>
      <c r="G28" s="374"/>
      <c r="H28" s="374"/>
      <c r="I28" s="374"/>
      <c r="J28" s="374"/>
    </row>
    <row r="29" spans="1:10" s="7" customFormat="1" ht="23.25" customHeight="1">
      <c r="A29" s="224" t="s">
        <v>364</v>
      </c>
      <c r="B29" s="224"/>
      <c r="C29" s="391" t="s">
        <v>344</v>
      </c>
      <c r="D29" s="392" t="s">
        <v>359</v>
      </c>
      <c r="E29" s="392"/>
      <c r="F29" s="374" t="s">
        <v>379</v>
      </c>
      <c r="G29" s="374"/>
      <c r="H29" s="374"/>
      <c r="I29" s="374"/>
      <c r="J29" s="374"/>
    </row>
    <row r="30" spans="1:10" s="7" customFormat="1" ht="23.25" customHeight="1">
      <c r="A30" s="224" t="s">
        <v>365</v>
      </c>
      <c r="B30" s="224"/>
      <c r="C30" s="391" t="s">
        <v>344</v>
      </c>
      <c r="D30" s="392" t="s">
        <v>359</v>
      </c>
      <c r="E30" s="392"/>
      <c r="F30" s="374">
        <v>7.9000000000000008E-3</v>
      </c>
      <c r="G30" s="374"/>
      <c r="H30" s="374"/>
      <c r="I30" s="374"/>
      <c r="J30" s="374"/>
    </row>
    <row r="31" spans="1:10" s="7" customFormat="1" ht="23.25" customHeight="1">
      <c r="A31" s="224" t="s">
        <v>366</v>
      </c>
      <c r="B31" s="224"/>
      <c r="C31" s="391" t="s">
        <v>344</v>
      </c>
      <c r="D31" s="392" t="s">
        <v>359</v>
      </c>
      <c r="E31" s="392"/>
      <c r="F31" s="374" t="s">
        <v>379</v>
      </c>
      <c r="G31" s="374"/>
      <c r="H31" s="374"/>
      <c r="I31" s="374"/>
      <c r="J31" s="374"/>
    </row>
    <row r="32" spans="1:10" s="7" customFormat="1" ht="23.25" customHeight="1">
      <c r="A32" s="224" t="s">
        <v>367</v>
      </c>
      <c r="B32" s="224"/>
      <c r="C32" s="391" t="s">
        <v>344</v>
      </c>
      <c r="D32" s="392" t="s">
        <v>359</v>
      </c>
      <c r="E32" s="392"/>
      <c r="F32" s="374" t="s">
        <v>379</v>
      </c>
      <c r="G32" s="374"/>
      <c r="H32" s="374"/>
      <c r="I32" s="374"/>
      <c r="J32" s="374"/>
    </row>
    <row r="33" spans="1:10" s="7" customFormat="1" ht="23.25" customHeight="1">
      <c r="A33" s="224" t="s">
        <v>368</v>
      </c>
      <c r="B33" s="224"/>
      <c r="C33" s="391" t="s">
        <v>344</v>
      </c>
      <c r="D33" s="392" t="s">
        <v>359</v>
      </c>
      <c r="E33" s="392"/>
      <c r="F33" s="374" t="s">
        <v>379</v>
      </c>
      <c r="G33" s="374"/>
      <c r="H33" s="374"/>
      <c r="I33" s="374"/>
      <c r="J33" s="374"/>
    </row>
    <row r="34" spans="1:10" s="7" customFormat="1" ht="23.25" customHeight="1">
      <c r="A34" s="224" t="s">
        <v>369</v>
      </c>
      <c r="B34" s="224"/>
      <c r="C34" s="391" t="s">
        <v>344</v>
      </c>
      <c r="D34" s="392" t="s">
        <v>359</v>
      </c>
      <c r="E34" s="392"/>
      <c r="F34" s="374">
        <v>2.3E-3</v>
      </c>
      <c r="G34" s="374"/>
      <c r="H34" s="374"/>
      <c r="I34" s="374"/>
      <c r="J34" s="374"/>
    </row>
    <row r="35" spans="1:10" s="7" customFormat="1" ht="23.25" customHeight="1">
      <c r="A35" s="224" t="s">
        <v>370</v>
      </c>
      <c r="B35" s="224"/>
      <c r="C35" s="391" t="s">
        <v>344</v>
      </c>
      <c r="D35" s="392" t="s">
        <v>359</v>
      </c>
      <c r="E35" s="392"/>
      <c r="F35" s="374" t="s">
        <v>379</v>
      </c>
      <c r="G35" s="374"/>
      <c r="H35" s="374"/>
      <c r="I35" s="374"/>
      <c r="J35" s="374"/>
    </row>
    <row r="36" spans="1:10" s="7" customFormat="1" ht="23.25" customHeight="1">
      <c r="A36" s="224" t="s">
        <v>371</v>
      </c>
      <c r="B36" s="224"/>
      <c r="C36" s="391" t="s">
        <v>344</v>
      </c>
      <c r="D36" s="392" t="s">
        <v>359</v>
      </c>
      <c r="E36" s="392"/>
      <c r="F36" s="374" t="s">
        <v>379</v>
      </c>
      <c r="G36" s="374"/>
      <c r="H36" s="374"/>
      <c r="I36" s="374"/>
      <c r="J36" s="374"/>
    </row>
    <row r="37" spans="1:10" s="7" customFormat="1" ht="23.25" customHeight="1">
      <c r="A37" s="224" t="s">
        <v>372</v>
      </c>
      <c r="B37" s="224"/>
      <c r="C37" s="391" t="s">
        <v>344</v>
      </c>
      <c r="D37" s="392" t="s">
        <v>359</v>
      </c>
      <c r="E37" s="392"/>
      <c r="F37" s="374">
        <v>4.8000000000000001E-2</v>
      </c>
      <c r="G37" s="374"/>
      <c r="H37" s="374"/>
      <c r="I37" s="374"/>
      <c r="J37" s="374"/>
    </row>
    <row r="38" spans="1:10" s="7" customFormat="1" ht="23.25" customHeight="1">
      <c r="A38" s="224" t="s">
        <v>373</v>
      </c>
      <c r="B38" s="224"/>
      <c r="C38" s="391" t="s">
        <v>344</v>
      </c>
      <c r="D38" s="392" t="s">
        <v>359</v>
      </c>
      <c r="E38" s="392"/>
      <c r="F38" s="374" t="s">
        <v>379</v>
      </c>
      <c r="G38" s="374"/>
      <c r="H38" s="374"/>
      <c r="I38" s="374"/>
      <c r="J38" s="374"/>
    </row>
    <row r="39" spans="1:10" s="7" customFormat="1" ht="23.25" customHeight="1">
      <c r="A39" s="224" t="s">
        <v>374</v>
      </c>
      <c r="B39" s="224"/>
      <c r="C39" s="391" t="s">
        <v>344</v>
      </c>
      <c r="D39" s="392" t="s">
        <v>359</v>
      </c>
      <c r="E39" s="392"/>
      <c r="F39" s="374">
        <v>0.34</v>
      </c>
      <c r="G39" s="374"/>
      <c r="H39" s="374"/>
      <c r="I39" s="374"/>
      <c r="J39" s="374"/>
    </row>
    <row r="40" spans="1:10">
      <c r="A40" s="242" t="s">
        <v>324</v>
      </c>
      <c r="B40" s="242"/>
      <c r="C40" s="242"/>
      <c r="D40" s="242"/>
      <c r="E40" s="242"/>
      <c r="F40" s="242"/>
      <c r="G40" s="242"/>
      <c r="H40" s="242"/>
      <c r="I40" s="242"/>
      <c r="J40" s="242"/>
    </row>
    <row r="41" spans="1:10">
      <c r="A41" s="360"/>
      <c r="B41" s="360"/>
      <c r="C41" s="360"/>
      <c r="D41" s="360"/>
      <c r="E41" s="360"/>
      <c r="F41" s="360"/>
      <c r="G41" s="360"/>
      <c r="H41" s="360"/>
      <c r="I41" s="360"/>
      <c r="J41" s="360"/>
    </row>
    <row r="42" spans="1:10">
      <c r="A42" s="360"/>
      <c r="B42" s="360"/>
      <c r="C42" s="360"/>
      <c r="D42" s="360"/>
      <c r="E42" s="360"/>
      <c r="F42" s="360"/>
      <c r="G42" s="360"/>
      <c r="H42" s="360"/>
      <c r="I42" s="360"/>
      <c r="J42" s="360"/>
    </row>
    <row r="65" spans="6:6">
      <c r="F65" s="3"/>
    </row>
  </sheetData>
  <mergeCells count="66">
    <mergeCell ref="A32:B32"/>
    <mergeCell ref="D32:E32"/>
    <mergeCell ref="A33:B33"/>
    <mergeCell ref="D33:E33"/>
    <mergeCell ref="A34:B34"/>
    <mergeCell ref="D34:E34"/>
    <mergeCell ref="A40:J40"/>
    <mergeCell ref="A41:J42"/>
    <mergeCell ref="A35:B35"/>
    <mergeCell ref="D35:E35"/>
    <mergeCell ref="A36:B36"/>
    <mergeCell ref="D36:E36"/>
    <mergeCell ref="A37:B37"/>
    <mergeCell ref="D37:E37"/>
    <mergeCell ref="A38:B38"/>
    <mergeCell ref="D38:E38"/>
    <mergeCell ref="A39:B39"/>
    <mergeCell ref="D39:E39"/>
    <mergeCell ref="A31:B31"/>
    <mergeCell ref="D31:E31"/>
    <mergeCell ref="A26:B26"/>
    <mergeCell ref="D26:E26"/>
    <mergeCell ref="A27:B27"/>
    <mergeCell ref="D27:E27"/>
    <mergeCell ref="A28:B28"/>
    <mergeCell ref="D28:E28"/>
    <mergeCell ref="A29:B29"/>
    <mergeCell ref="D29:E29"/>
    <mergeCell ref="A30:B30"/>
    <mergeCell ref="D30:E30"/>
    <mergeCell ref="A23:B23"/>
    <mergeCell ref="D23:E23"/>
    <mergeCell ref="A24:B24"/>
    <mergeCell ref="D24:E24"/>
    <mergeCell ref="A25:B25"/>
    <mergeCell ref="D25:E25"/>
    <mergeCell ref="A20:B20"/>
    <mergeCell ref="D20:E20"/>
    <mergeCell ref="A21:B21"/>
    <mergeCell ref="D21:E21"/>
    <mergeCell ref="A22:B22"/>
    <mergeCell ref="D22:E22"/>
    <mergeCell ref="A17:B17"/>
    <mergeCell ref="D17:E17"/>
    <mergeCell ref="A18:B18"/>
    <mergeCell ref="D18:E18"/>
    <mergeCell ref="A19:B19"/>
    <mergeCell ref="D19:E19"/>
    <mergeCell ref="A14:B14"/>
    <mergeCell ref="D14:E14"/>
    <mergeCell ref="A15:B15"/>
    <mergeCell ref="D15:E15"/>
    <mergeCell ref="A16:B16"/>
    <mergeCell ref="D16:E16"/>
    <mergeCell ref="A6:J7"/>
    <mergeCell ref="M6:P9"/>
    <mergeCell ref="A9:J9"/>
    <mergeCell ref="A10:B11"/>
    <mergeCell ref="C10:C11"/>
    <mergeCell ref="D10:E11"/>
    <mergeCell ref="F10:J10"/>
    <mergeCell ref="M10:P13"/>
    <mergeCell ref="A13:B13"/>
    <mergeCell ref="D13:E13"/>
    <mergeCell ref="A12:B12"/>
    <mergeCell ref="D12:E12"/>
  </mergeCells>
  <pageMargins left="0.7" right="0.7" top="0.75" bottom="0.75" header="0.3" footer="0.3"/>
  <pageSetup paperSize="9" scale="87" orientation="portrait" r:id="rId1"/>
  <headerFooter scaleWithDoc="0">
    <oddFooter>&amp;C&amp;"Arial,Regular"Page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O30" sqref="O30"/>
    </sheetView>
  </sheetViews>
  <sheetFormatPr defaultColWidth="9.28515625" defaultRowHeight="15"/>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c r="A1" s="42" t="str">
        <f>+'Cover Page'!$B$29</f>
        <v>Annual Performance Report 2022</v>
      </c>
      <c r="B1" s="42"/>
      <c r="C1" s="42"/>
      <c r="D1" s="42"/>
      <c r="E1" s="42"/>
      <c r="F1" s="42"/>
      <c r="G1" s="42"/>
      <c r="H1" s="42"/>
      <c r="I1" s="42" t="str">
        <f>+'Cover Page'!$B$33</f>
        <v>Energy Works Hull</v>
      </c>
      <c r="J1" s="42"/>
      <c r="K1" s="42"/>
      <c r="L1" s="42"/>
      <c r="M1" s="42"/>
      <c r="N1" s="42"/>
      <c r="O1" s="42"/>
      <c r="P1" s="42"/>
    </row>
    <row r="3" spans="1:16" ht="15.75">
      <c r="A3" s="1" t="s">
        <v>380</v>
      </c>
      <c r="B3" s="42"/>
      <c r="C3" s="42"/>
      <c r="D3" s="42"/>
      <c r="E3" s="42"/>
      <c r="F3" s="42"/>
      <c r="G3" s="42"/>
      <c r="H3" s="42"/>
      <c r="I3" s="42"/>
      <c r="J3" s="42"/>
      <c r="K3" s="42"/>
      <c r="L3" s="42"/>
      <c r="M3" s="42"/>
      <c r="N3" s="42"/>
      <c r="O3" s="42"/>
      <c r="P3" s="42"/>
    </row>
    <row r="4" spans="1:16" ht="15.75">
      <c r="A4" s="1"/>
      <c r="B4" s="42"/>
      <c r="C4" s="42"/>
      <c r="D4" s="42"/>
      <c r="E4" s="42"/>
      <c r="F4" s="42"/>
      <c r="G4" s="42"/>
      <c r="H4" s="42"/>
      <c r="I4" s="42"/>
      <c r="J4" s="42"/>
      <c r="K4" s="42"/>
      <c r="L4" s="42"/>
      <c r="M4" s="42"/>
      <c r="N4" s="42"/>
      <c r="O4" s="42"/>
      <c r="P4" s="29" t="s">
        <v>2</v>
      </c>
    </row>
    <row r="5" spans="1:16" s="3" customFormat="1" ht="21.75" customHeight="1">
      <c r="A5" s="334" t="s">
        <v>332</v>
      </c>
      <c r="B5" s="335"/>
      <c r="C5" s="335"/>
      <c r="D5" s="335"/>
      <c r="E5" s="335"/>
      <c r="F5" s="335"/>
      <c r="G5" s="335"/>
      <c r="H5" s="335"/>
      <c r="I5" s="335"/>
      <c r="J5" s="335"/>
      <c r="K5" s="335"/>
      <c r="L5" s="335"/>
      <c r="M5" s="336"/>
      <c r="P5" s="30" t="s">
        <v>381</v>
      </c>
    </row>
    <row r="6" spans="1:16" s="3" customFormat="1" ht="15.75" customHeight="1">
      <c r="A6" s="338"/>
      <c r="B6" s="317"/>
      <c r="C6" s="317"/>
      <c r="D6" s="317"/>
      <c r="E6" s="317"/>
      <c r="F6" s="317"/>
      <c r="G6" s="317"/>
      <c r="H6" s="317"/>
      <c r="I6" s="317"/>
      <c r="J6" s="317"/>
      <c r="K6" s="317"/>
      <c r="L6" s="317"/>
      <c r="M6" s="318"/>
      <c r="P6" s="3" t="s">
        <v>382</v>
      </c>
    </row>
    <row r="7" spans="1:16" s="3" customFormat="1" ht="15.75" customHeight="1">
      <c r="A7" s="322"/>
      <c r="B7" s="323"/>
      <c r="C7" s="323"/>
      <c r="D7" s="323"/>
      <c r="E7" s="323"/>
      <c r="F7" s="323"/>
      <c r="G7" s="323"/>
      <c r="H7" s="323"/>
      <c r="I7" s="323"/>
      <c r="J7" s="323"/>
      <c r="K7" s="323"/>
      <c r="L7" s="323"/>
      <c r="M7" s="324"/>
    </row>
    <row r="8" spans="1:16" s="3" customFormat="1" ht="15.75" customHeight="1">
      <c r="A8" s="135"/>
      <c r="B8" s="136"/>
      <c r="C8" s="136"/>
      <c r="D8" s="136"/>
      <c r="E8" s="136"/>
      <c r="F8" s="136"/>
      <c r="G8" s="136"/>
      <c r="H8" s="136"/>
      <c r="I8" s="136"/>
      <c r="J8" s="136"/>
      <c r="K8" s="136"/>
      <c r="L8" s="136"/>
      <c r="M8" s="137"/>
    </row>
    <row r="9" spans="1:16" s="3" customFormat="1" ht="15.75" customHeight="1">
      <c r="A9" s="141"/>
      <c r="B9" s="142"/>
      <c r="C9" s="142"/>
      <c r="D9" s="142"/>
      <c r="E9" s="142"/>
      <c r="F9" s="142"/>
      <c r="G9" s="142"/>
      <c r="H9" s="142"/>
      <c r="I9" s="142"/>
      <c r="J9" s="142"/>
      <c r="K9" s="142"/>
      <c r="L9" s="142"/>
      <c r="M9" s="143"/>
    </row>
    <row r="10" spans="1:16" s="3" customFormat="1" ht="14.25"/>
    <row r="11" spans="1:16" s="22" customFormat="1" ht="16.5" customHeight="1">
      <c r="A11" s="352" t="s">
        <v>383</v>
      </c>
      <c r="B11" s="352"/>
      <c r="C11" s="352"/>
      <c r="D11" s="352"/>
      <c r="E11" s="352"/>
      <c r="F11" s="352"/>
      <c r="G11" s="352"/>
      <c r="H11" s="352"/>
      <c r="I11" s="352"/>
      <c r="J11" s="352"/>
      <c r="K11" s="352"/>
      <c r="L11" s="352"/>
      <c r="M11" s="352"/>
    </row>
    <row r="12" spans="1:16" s="22" customFormat="1" ht="16.5" customHeight="1">
      <c r="A12" s="395" t="s">
        <v>222</v>
      </c>
      <c r="B12" s="83" t="s">
        <v>384</v>
      </c>
      <c r="C12" s="291" t="s">
        <v>337</v>
      </c>
      <c r="D12" s="292" t="s">
        <v>195</v>
      </c>
      <c r="E12" s="396"/>
      <c r="F12" s="292" t="s">
        <v>196</v>
      </c>
      <c r="G12" s="396"/>
      <c r="H12" s="292" t="s">
        <v>197</v>
      </c>
      <c r="I12" s="396"/>
      <c r="J12" s="292" t="s">
        <v>198</v>
      </c>
      <c r="K12" s="396"/>
      <c r="L12" s="292" t="s">
        <v>199</v>
      </c>
      <c r="M12" s="396"/>
    </row>
    <row r="13" spans="1:16" s="7" customFormat="1" ht="17.25" customHeight="1">
      <c r="A13" s="395"/>
      <c r="B13" s="84"/>
      <c r="C13" s="291"/>
      <c r="D13" s="290" t="s">
        <v>330</v>
      </c>
      <c r="E13" s="397" t="s">
        <v>385</v>
      </c>
      <c r="F13" s="290" t="s">
        <v>330</v>
      </c>
      <c r="G13" s="397" t="s">
        <v>385</v>
      </c>
      <c r="H13" s="290" t="s">
        <v>330</v>
      </c>
      <c r="I13" s="397" t="s">
        <v>385</v>
      </c>
      <c r="J13" s="290" t="s">
        <v>330</v>
      </c>
      <c r="K13" s="397" t="s">
        <v>385</v>
      </c>
      <c r="L13" s="290" t="s">
        <v>330</v>
      </c>
      <c r="M13" s="397" t="s">
        <v>385</v>
      </c>
      <c r="N13" s="49"/>
      <c r="O13" s="49"/>
      <c r="P13" s="49"/>
    </row>
    <row r="14" spans="1:16" s="7" customFormat="1" ht="23.25" customHeight="1">
      <c r="A14" s="224" t="s">
        <v>228</v>
      </c>
      <c r="B14" s="272" t="s">
        <v>386</v>
      </c>
      <c r="C14" s="272" t="s">
        <v>387</v>
      </c>
      <c r="D14" s="398">
        <f>NOx!O19</f>
        <v>182.1</v>
      </c>
      <c r="E14" s="398">
        <f>NOx!N19</f>
        <v>146.60454545454547</v>
      </c>
      <c r="F14" s="374"/>
      <c r="G14" s="374"/>
      <c r="H14" s="374"/>
      <c r="I14" s="374"/>
      <c r="J14" s="374"/>
      <c r="K14" s="374"/>
      <c r="L14" s="374"/>
      <c r="M14" s="374"/>
      <c r="N14" s="49"/>
      <c r="O14" s="49"/>
      <c r="P14" s="49"/>
    </row>
    <row r="15" spans="1:16" s="7" customFormat="1" ht="23.25" customHeight="1">
      <c r="A15" s="224"/>
      <c r="B15" s="272" t="s">
        <v>388</v>
      </c>
      <c r="C15" s="272" t="s">
        <v>389</v>
      </c>
      <c r="D15" s="398">
        <f>NOx!M19</f>
        <v>220.1</v>
      </c>
      <c r="E15" s="398">
        <f>NOx!L19</f>
        <v>145.4909090909091</v>
      </c>
      <c r="F15" s="374"/>
      <c r="G15" s="374"/>
      <c r="H15" s="374"/>
      <c r="I15" s="374"/>
      <c r="J15" s="374"/>
      <c r="K15" s="374"/>
      <c r="L15" s="374"/>
      <c r="M15" s="374"/>
      <c r="N15" s="49"/>
      <c r="O15" s="49"/>
      <c r="P15" s="49"/>
    </row>
    <row r="16" spans="1:16" s="7" customFormat="1" ht="23.25" customHeight="1">
      <c r="A16" s="399" t="s">
        <v>227</v>
      </c>
      <c r="B16" s="400" t="s">
        <v>386</v>
      </c>
      <c r="C16" s="272" t="s">
        <v>390</v>
      </c>
      <c r="D16" s="398">
        <f>Particulates!O19</f>
        <v>2.9</v>
      </c>
      <c r="E16" s="398">
        <f>Particulates!N19</f>
        <v>0.34636363636363632</v>
      </c>
      <c r="F16" s="374"/>
      <c r="G16" s="374"/>
      <c r="H16" s="374"/>
      <c r="I16" s="374"/>
      <c r="J16" s="374"/>
      <c r="K16" s="374"/>
      <c r="L16" s="374"/>
      <c r="M16" s="374"/>
      <c r="N16" s="49"/>
      <c r="O16" s="49"/>
      <c r="P16" s="49"/>
    </row>
    <row r="17" spans="1:13" s="7" customFormat="1" ht="23.25" customHeight="1">
      <c r="A17" s="399"/>
      <c r="B17" s="272" t="s">
        <v>388</v>
      </c>
      <c r="C17" s="272" t="s">
        <v>391</v>
      </c>
      <c r="D17" s="398">
        <f>Particulates!M19</f>
        <v>21.3</v>
      </c>
      <c r="E17" s="398">
        <f>Particulates!L19</f>
        <v>0.34545454545454546</v>
      </c>
      <c r="F17" s="374"/>
      <c r="G17" s="374"/>
      <c r="H17" s="374"/>
      <c r="I17" s="374"/>
      <c r="J17" s="374"/>
      <c r="K17" s="374"/>
      <c r="L17" s="374"/>
      <c r="M17" s="374"/>
    </row>
    <row r="18" spans="1:13" s="7" customFormat="1" ht="23.25" customHeight="1">
      <c r="A18" s="399" t="s">
        <v>392</v>
      </c>
      <c r="B18" s="272" t="s">
        <v>386</v>
      </c>
      <c r="C18" s="272" t="s">
        <v>393</v>
      </c>
      <c r="D18" s="398">
        <f>TOC!O19</f>
        <v>2.7</v>
      </c>
      <c r="E18" s="398">
        <f>TOC!N19</f>
        <v>0.75909090909090904</v>
      </c>
      <c r="F18" s="374"/>
      <c r="G18" s="374"/>
      <c r="H18" s="374"/>
      <c r="I18" s="374"/>
      <c r="J18" s="374"/>
      <c r="K18" s="374"/>
      <c r="L18" s="374"/>
      <c r="M18" s="374"/>
    </row>
    <row r="19" spans="1:13" s="7" customFormat="1" ht="23.25" customHeight="1">
      <c r="A19" s="399"/>
      <c r="B19" s="272" t="s">
        <v>388</v>
      </c>
      <c r="C19" s="272" t="s">
        <v>394</v>
      </c>
      <c r="D19" s="398">
        <f>TOC!M19</f>
        <v>37.200000000000003</v>
      </c>
      <c r="E19" s="398">
        <f>TOC!L19</f>
        <v>0.76363636363636367</v>
      </c>
      <c r="F19" s="374"/>
      <c r="G19" s="374"/>
      <c r="H19" s="374"/>
      <c r="I19" s="374"/>
      <c r="J19" s="374"/>
      <c r="K19" s="374"/>
      <c r="L19" s="374"/>
      <c r="M19" s="374"/>
    </row>
    <row r="20" spans="1:13" s="7" customFormat="1" ht="23.25" customHeight="1">
      <c r="A20" s="399" t="s">
        <v>395</v>
      </c>
      <c r="B20" s="272" t="s">
        <v>386</v>
      </c>
      <c r="C20" s="272" t="s">
        <v>393</v>
      </c>
      <c r="D20" s="398">
        <f>HCl!O19</f>
        <v>9.9</v>
      </c>
      <c r="E20" s="398">
        <f>HCl!N19</f>
        <v>7.6890909090909085</v>
      </c>
      <c r="F20" s="374"/>
      <c r="G20" s="374"/>
      <c r="H20" s="374"/>
      <c r="I20" s="374"/>
      <c r="J20" s="374"/>
      <c r="K20" s="374"/>
      <c r="L20" s="374"/>
      <c r="M20" s="374"/>
    </row>
    <row r="21" spans="1:13" s="7" customFormat="1" ht="23.25" customHeight="1">
      <c r="A21" s="399"/>
      <c r="B21" s="272" t="s">
        <v>388</v>
      </c>
      <c r="C21" s="272" t="s">
        <v>396</v>
      </c>
      <c r="D21" s="398">
        <f>HCl!M19</f>
        <v>68.400000000000006</v>
      </c>
      <c r="E21" s="398">
        <f>HCl!L19</f>
        <v>7.6090909090909085</v>
      </c>
      <c r="F21" s="374"/>
      <c r="G21" s="374"/>
      <c r="H21" s="374"/>
      <c r="I21" s="374"/>
      <c r="J21" s="374"/>
      <c r="K21" s="374"/>
      <c r="L21" s="374"/>
      <c r="M21" s="374"/>
    </row>
    <row r="22" spans="1:13" s="7" customFormat="1" ht="23.25" customHeight="1">
      <c r="A22" s="399" t="s">
        <v>229</v>
      </c>
      <c r="B22" s="272" t="s">
        <v>386</v>
      </c>
      <c r="C22" s="272" t="s">
        <v>397</v>
      </c>
      <c r="D22" s="398">
        <f>'SO2'!O19</f>
        <v>28.4</v>
      </c>
      <c r="E22" s="398">
        <f>'SO2'!N19</f>
        <v>7.6963636363636363</v>
      </c>
      <c r="F22" s="374"/>
      <c r="G22" s="374"/>
      <c r="H22" s="374"/>
      <c r="I22" s="374"/>
      <c r="J22" s="374"/>
      <c r="K22" s="374"/>
      <c r="L22" s="374"/>
      <c r="M22" s="374"/>
    </row>
    <row r="23" spans="1:13" s="7" customFormat="1" ht="23.25" customHeight="1">
      <c r="A23" s="399"/>
      <c r="B23" s="272" t="s">
        <v>388</v>
      </c>
      <c r="C23" s="272" t="s">
        <v>387</v>
      </c>
      <c r="D23" s="398">
        <f>'SO2'!M19</f>
        <v>94.5</v>
      </c>
      <c r="E23" s="398">
        <f>'SO2'!L19</f>
        <v>7.1363636363636367</v>
      </c>
      <c r="F23" s="374"/>
      <c r="G23" s="374"/>
      <c r="H23" s="374"/>
      <c r="I23" s="374"/>
      <c r="J23" s="374"/>
      <c r="K23" s="374"/>
      <c r="L23" s="374"/>
      <c r="M23" s="374"/>
    </row>
    <row r="24" spans="1:13" s="7" customFormat="1" ht="23.25" customHeight="1">
      <c r="A24" s="399" t="s">
        <v>398</v>
      </c>
      <c r="B24" s="272" t="s">
        <v>386</v>
      </c>
      <c r="C24" s="272" t="s">
        <v>397</v>
      </c>
      <c r="D24" s="398">
        <f>'CO hourly'!O19</f>
        <v>36</v>
      </c>
      <c r="E24" s="398">
        <f>'CO hourly'!N19</f>
        <v>6.5190909090909095</v>
      </c>
      <c r="F24" s="374"/>
      <c r="G24" s="374"/>
      <c r="H24" s="374"/>
      <c r="I24" s="374"/>
      <c r="J24" s="374"/>
      <c r="K24" s="374"/>
      <c r="L24" s="374"/>
      <c r="M24" s="374"/>
    </row>
    <row r="25" spans="1:13" s="7" customFormat="1" ht="23.25" customHeight="1">
      <c r="A25" s="399"/>
      <c r="B25" s="272" t="s">
        <v>399</v>
      </c>
      <c r="C25" s="272" t="s">
        <v>400</v>
      </c>
      <c r="D25" s="398">
        <f>'CO hourly'!M19</f>
        <v>186.1</v>
      </c>
      <c r="E25" s="398">
        <f>'CO hourly'!L19</f>
        <v>7.1454545454545464</v>
      </c>
      <c r="F25" s="374"/>
      <c r="G25" s="374"/>
      <c r="H25" s="374"/>
      <c r="I25" s="374"/>
      <c r="J25" s="374"/>
      <c r="K25" s="374"/>
      <c r="L25" s="374"/>
      <c r="M25" s="374"/>
    </row>
    <row r="26" spans="1:13" s="7" customFormat="1" ht="23.25" customHeight="1">
      <c r="A26" s="401" t="s">
        <v>401</v>
      </c>
      <c r="B26" s="402" t="s">
        <v>386</v>
      </c>
      <c r="C26" s="402" t="s">
        <v>402</v>
      </c>
      <c r="D26" s="403">
        <f>'NH3'!O19</f>
        <v>1.2</v>
      </c>
      <c r="E26" s="403">
        <f>'NH3'!N19</f>
        <v>0.10272727272727272</v>
      </c>
      <c r="F26" s="404"/>
      <c r="G26" s="404"/>
      <c r="H26" s="404"/>
      <c r="I26" s="404"/>
      <c r="J26" s="404"/>
      <c r="K26" s="404"/>
      <c r="L26" s="404"/>
      <c r="M26" s="404"/>
    </row>
    <row r="27" spans="1:13" s="7" customFormat="1" ht="23.25" customHeight="1">
      <c r="A27" s="405"/>
      <c r="B27" s="272" t="s">
        <v>388</v>
      </c>
      <c r="C27" s="406" t="s">
        <v>402</v>
      </c>
      <c r="D27" s="398">
        <f>'NH3'!M19</f>
        <v>2.8</v>
      </c>
      <c r="E27" s="398">
        <f>'NH3'!L19</f>
        <v>0.10909090909090909</v>
      </c>
      <c r="F27" s="374"/>
      <c r="G27" s="374"/>
      <c r="H27" s="374"/>
      <c r="I27" s="374"/>
      <c r="J27" s="374"/>
      <c r="K27" s="374"/>
      <c r="L27" s="374"/>
      <c r="M27" s="374"/>
    </row>
    <row r="28" spans="1:13">
      <c r="A28" s="407" t="s">
        <v>403</v>
      </c>
      <c r="B28" s="408"/>
      <c r="C28" s="408"/>
      <c r="D28" s="408"/>
      <c r="E28" s="408"/>
      <c r="F28" s="408"/>
      <c r="G28" s="408"/>
      <c r="H28" s="408"/>
      <c r="I28" s="408"/>
      <c r="J28" s="408"/>
      <c r="K28" s="408"/>
      <c r="L28" s="408"/>
      <c r="M28" s="409"/>
    </row>
    <row r="29" spans="1:13">
      <c r="A29" s="410" t="s">
        <v>324</v>
      </c>
      <c r="B29" s="411"/>
      <c r="C29" s="411"/>
      <c r="D29" s="411"/>
      <c r="E29" s="411"/>
      <c r="F29" s="411"/>
      <c r="G29" s="411"/>
      <c r="H29" s="411"/>
      <c r="I29" s="411"/>
      <c r="J29" s="411"/>
      <c r="K29" s="411"/>
      <c r="L29" s="411"/>
      <c r="M29" s="412"/>
    </row>
    <row r="30" spans="1:13">
      <c r="A30" s="86"/>
      <c r="B30" s="86"/>
      <c r="C30" s="86"/>
      <c r="D30" s="86"/>
      <c r="E30" s="86"/>
      <c r="F30" s="86"/>
      <c r="G30" s="86"/>
      <c r="H30" s="86"/>
      <c r="I30" s="86"/>
      <c r="J30" s="86"/>
      <c r="K30" s="86"/>
      <c r="L30" s="86"/>
      <c r="M30" s="86"/>
    </row>
    <row r="31" spans="1:13">
      <c r="A31" s="360"/>
      <c r="B31" s="360"/>
      <c r="C31" s="360"/>
      <c r="D31" s="360"/>
      <c r="E31" s="360"/>
      <c r="F31" s="360"/>
      <c r="G31" s="360"/>
      <c r="H31" s="360"/>
      <c r="I31" s="360"/>
      <c r="J31" s="360"/>
      <c r="K31" s="360"/>
      <c r="L31" s="360"/>
      <c r="M31" s="360"/>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I13" sqref="I13"/>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c r="F1" s="42"/>
    </row>
    <row r="3" spans="1:19" ht="15">
      <c r="A3" s="25" t="s">
        <v>404</v>
      </c>
      <c r="D3" s="32" t="s">
        <v>405</v>
      </c>
      <c r="G3" s="36" t="s">
        <v>406</v>
      </c>
      <c r="J3" s="6" t="str">
        <f>+A3</f>
        <v>Monitoring of Oxides of Nitrogen emissions</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412</v>
      </c>
      <c r="C6" s="416" t="s">
        <v>413</v>
      </c>
      <c r="D6" s="416" t="s">
        <v>414</v>
      </c>
      <c r="E6" s="416" t="s">
        <v>415</v>
      </c>
      <c r="F6" s="416" t="s">
        <v>416</v>
      </c>
      <c r="G6" s="416" t="s">
        <v>417</v>
      </c>
      <c r="H6" s="24"/>
      <c r="J6" s="417">
        <f>+A6</f>
        <v>2022</v>
      </c>
      <c r="K6" s="417" t="s">
        <v>418</v>
      </c>
      <c r="L6" s="26" t="s">
        <v>413</v>
      </c>
      <c r="M6" s="26" t="s">
        <v>419</v>
      </c>
      <c r="N6" s="26" t="s">
        <v>416</v>
      </c>
      <c r="O6" s="26" t="s">
        <v>420</v>
      </c>
      <c r="Q6" s="85"/>
      <c r="R6" s="85"/>
      <c r="S6" s="85"/>
    </row>
    <row r="7" spans="1:19">
      <c r="A7" s="418" t="s">
        <v>421</v>
      </c>
      <c r="B7" s="419">
        <v>400</v>
      </c>
      <c r="C7" s="420">
        <f>L7</f>
        <v>150.1</v>
      </c>
      <c r="D7" s="420">
        <f>M7</f>
        <v>211.1</v>
      </c>
      <c r="E7" s="419">
        <v>200</v>
      </c>
      <c r="F7" s="420">
        <f>N7</f>
        <v>150.15</v>
      </c>
      <c r="G7" s="420">
        <f>O7</f>
        <v>180.6</v>
      </c>
      <c r="J7" s="421" t="s">
        <v>195</v>
      </c>
      <c r="K7" s="418" t="s">
        <v>421</v>
      </c>
      <c r="L7" s="50">
        <v>150.1</v>
      </c>
      <c r="M7" s="50">
        <v>211.1</v>
      </c>
      <c r="N7" s="50">
        <v>150.15</v>
      </c>
      <c r="O7" s="50">
        <v>180.6</v>
      </c>
      <c r="Q7" s="85"/>
      <c r="R7" s="85"/>
      <c r="S7" s="85"/>
    </row>
    <row r="8" spans="1:19">
      <c r="A8" s="418" t="s">
        <v>422</v>
      </c>
      <c r="B8" s="419">
        <v>400</v>
      </c>
      <c r="C8" s="420">
        <f t="shared" ref="C8:C18" si="0">L8</f>
        <v>150.4</v>
      </c>
      <c r="D8" s="420">
        <f t="shared" ref="D8:D18" si="1">M8</f>
        <v>198.1</v>
      </c>
      <c r="E8" s="419">
        <v>200</v>
      </c>
      <c r="F8" s="420">
        <f t="shared" ref="F8:F18" si="2">N8</f>
        <v>149.21</v>
      </c>
      <c r="G8" s="420">
        <f t="shared" ref="G8:G18" si="3">O8</f>
        <v>172.6</v>
      </c>
      <c r="J8" s="421"/>
      <c r="K8" s="418" t="s">
        <v>422</v>
      </c>
      <c r="L8" s="50">
        <v>150.4</v>
      </c>
      <c r="M8" s="50">
        <v>198.1</v>
      </c>
      <c r="N8" s="50">
        <v>149.21</v>
      </c>
      <c r="O8" s="50">
        <v>172.6</v>
      </c>
      <c r="Q8" s="85"/>
      <c r="R8" s="85"/>
      <c r="S8" s="85"/>
    </row>
    <row r="9" spans="1:19" ht="15">
      <c r="A9" s="418" t="s">
        <v>423</v>
      </c>
      <c r="B9" s="419">
        <v>400</v>
      </c>
      <c r="C9" s="420">
        <f t="shared" si="0"/>
        <v>140.80000000000001</v>
      </c>
      <c r="D9" s="420">
        <f t="shared" si="1"/>
        <v>201.3</v>
      </c>
      <c r="E9" s="419">
        <v>200</v>
      </c>
      <c r="F9" s="420">
        <f t="shared" si="2"/>
        <v>139.9</v>
      </c>
      <c r="G9" s="420">
        <f t="shared" si="3"/>
        <v>168.9</v>
      </c>
      <c r="J9" s="421"/>
      <c r="K9" s="418" t="s">
        <v>423</v>
      </c>
      <c r="L9" s="50">
        <v>140.80000000000001</v>
      </c>
      <c r="M9" s="50">
        <v>201.3</v>
      </c>
      <c r="N9" s="50">
        <v>139.9</v>
      </c>
      <c r="O9" s="50">
        <v>168.9</v>
      </c>
      <c r="Q9" s="34" t="s">
        <v>424</v>
      </c>
    </row>
    <row r="10" spans="1:19" ht="14.25" customHeight="1">
      <c r="A10" s="418" t="s">
        <v>425</v>
      </c>
      <c r="B10" s="419">
        <v>400</v>
      </c>
      <c r="C10" s="420">
        <f t="shared" si="0"/>
        <v>113.7</v>
      </c>
      <c r="D10" s="420">
        <f t="shared" si="1"/>
        <v>185</v>
      </c>
      <c r="E10" s="419">
        <v>200</v>
      </c>
      <c r="F10" s="420">
        <f t="shared" si="2"/>
        <v>112.7</v>
      </c>
      <c r="G10" s="420">
        <f t="shared" si="3"/>
        <v>150.6</v>
      </c>
      <c r="J10" s="421"/>
      <c r="K10" s="418" t="s">
        <v>425</v>
      </c>
      <c r="L10" s="50">
        <v>113.7</v>
      </c>
      <c r="M10" s="50">
        <v>185</v>
      </c>
      <c r="N10" s="50">
        <v>112.7</v>
      </c>
      <c r="O10" s="50">
        <v>150.6</v>
      </c>
      <c r="Q10" s="87" t="s">
        <v>426</v>
      </c>
      <c r="R10" s="87"/>
      <c r="S10" s="87"/>
    </row>
    <row r="11" spans="1:19">
      <c r="A11" s="418" t="s">
        <v>427</v>
      </c>
      <c r="B11" s="419">
        <v>400</v>
      </c>
      <c r="C11" s="420">
        <f t="shared" si="0"/>
        <v>138.19999999999999</v>
      </c>
      <c r="D11" s="420">
        <f t="shared" si="1"/>
        <v>196.7</v>
      </c>
      <c r="E11" s="419">
        <v>200</v>
      </c>
      <c r="F11" s="420">
        <f t="shared" si="2"/>
        <v>136.75</v>
      </c>
      <c r="G11" s="420">
        <f t="shared" si="3"/>
        <v>158.30000000000001</v>
      </c>
      <c r="J11" s="421"/>
      <c r="K11" s="418" t="s">
        <v>427</v>
      </c>
      <c r="L11" s="50">
        <v>138.19999999999999</v>
      </c>
      <c r="M11" s="50">
        <v>196.7</v>
      </c>
      <c r="N11" s="50">
        <v>136.75</v>
      </c>
      <c r="O11" s="50">
        <v>158.30000000000001</v>
      </c>
      <c r="Q11" s="87"/>
      <c r="R11" s="87"/>
      <c r="S11" s="87"/>
    </row>
    <row r="12" spans="1:19">
      <c r="A12" s="418" t="s">
        <v>428</v>
      </c>
      <c r="B12" s="419">
        <v>400</v>
      </c>
      <c r="C12" s="420">
        <f t="shared" si="0"/>
        <v>150.4</v>
      </c>
      <c r="D12" s="420">
        <f t="shared" si="1"/>
        <v>214.7</v>
      </c>
      <c r="E12" s="419">
        <v>200</v>
      </c>
      <c r="F12" s="420">
        <f t="shared" si="2"/>
        <v>151.51</v>
      </c>
      <c r="G12" s="420">
        <f t="shared" si="3"/>
        <v>167.1</v>
      </c>
      <c r="J12" s="421"/>
      <c r="K12" s="418" t="s">
        <v>428</v>
      </c>
      <c r="L12" s="50">
        <v>150.4</v>
      </c>
      <c r="M12" s="50">
        <v>214.7</v>
      </c>
      <c r="N12" s="50">
        <v>151.51</v>
      </c>
      <c r="O12" s="50">
        <v>167.1</v>
      </c>
      <c r="Q12" s="87"/>
      <c r="R12" s="87"/>
      <c r="S12" s="87"/>
    </row>
    <row r="13" spans="1:19" ht="14.25" customHeight="1">
      <c r="A13" s="418" t="s">
        <v>429</v>
      </c>
      <c r="B13" s="419">
        <v>400</v>
      </c>
      <c r="C13" s="420">
        <f t="shared" si="0"/>
        <v>144.4</v>
      </c>
      <c r="D13" s="420">
        <f t="shared" si="1"/>
        <v>220.1</v>
      </c>
      <c r="E13" s="419">
        <v>200</v>
      </c>
      <c r="F13" s="420">
        <f t="shared" si="2"/>
        <v>146.65</v>
      </c>
      <c r="G13" s="420">
        <f t="shared" si="3"/>
        <v>176.4</v>
      </c>
      <c r="J13" s="421"/>
      <c r="K13" s="418" t="s">
        <v>429</v>
      </c>
      <c r="L13" s="50">
        <v>144.4</v>
      </c>
      <c r="M13" s="50">
        <v>220.1</v>
      </c>
      <c r="N13" s="50">
        <v>146.65</v>
      </c>
      <c r="O13" s="50">
        <v>176.4</v>
      </c>
      <c r="Q13" s="87" t="s">
        <v>430</v>
      </c>
      <c r="R13" s="87"/>
      <c r="S13" s="87"/>
    </row>
    <row r="14" spans="1:19">
      <c r="A14" s="418" t="s">
        <v>431</v>
      </c>
      <c r="B14" s="419">
        <v>400</v>
      </c>
      <c r="C14" s="420">
        <f t="shared" si="0"/>
        <v>145.69999999999999</v>
      </c>
      <c r="D14" s="420">
        <f t="shared" si="1"/>
        <v>208.4</v>
      </c>
      <c r="E14" s="419">
        <v>200</v>
      </c>
      <c r="F14" s="420">
        <f t="shared" si="2"/>
        <v>145.41</v>
      </c>
      <c r="G14" s="420">
        <f t="shared" si="3"/>
        <v>179.6</v>
      </c>
      <c r="J14" s="421"/>
      <c r="K14" s="418" t="s">
        <v>431</v>
      </c>
      <c r="L14" s="50">
        <v>145.69999999999999</v>
      </c>
      <c r="M14" s="50">
        <v>208.4</v>
      </c>
      <c r="N14" s="50">
        <v>145.41</v>
      </c>
      <c r="O14" s="50">
        <v>179.6</v>
      </c>
      <c r="Q14" s="87"/>
      <c r="R14" s="87"/>
      <c r="S14" s="87"/>
    </row>
    <row r="15" spans="1:19">
      <c r="A15" s="418" t="s">
        <v>432</v>
      </c>
      <c r="B15" s="419">
        <v>400</v>
      </c>
      <c r="C15" s="420">
        <f t="shared" si="0"/>
        <v>165</v>
      </c>
      <c r="D15" s="420">
        <f t="shared" si="1"/>
        <v>215.1</v>
      </c>
      <c r="E15" s="419">
        <v>200</v>
      </c>
      <c r="F15" s="420">
        <f t="shared" si="2"/>
        <v>166.97</v>
      </c>
      <c r="G15" s="420">
        <f t="shared" si="3"/>
        <v>182.1</v>
      </c>
      <c r="J15" s="421"/>
      <c r="K15" s="418" t="s">
        <v>432</v>
      </c>
      <c r="L15" s="50">
        <v>165</v>
      </c>
      <c r="M15" s="50">
        <v>215.1</v>
      </c>
      <c r="N15" s="50">
        <v>166.97</v>
      </c>
      <c r="O15" s="50">
        <v>182.1</v>
      </c>
      <c r="Q15" s="87"/>
      <c r="R15" s="87"/>
      <c r="S15" s="87"/>
    </row>
    <row r="16" spans="1:19">
      <c r="A16" s="418" t="s">
        <v>433</v>
      </c>
      <c r="B16" s="419">
        <v>400</v>
      </c>
      <c r="C16" s="420">
        <f t="shared" si="0"/>
        <v>147</v>
      </c>
      <c r="D16" s="420">
        <f t="shared" si="1"/>
        <v>202.7</v>
      </c>
      <c r="E16" s="419">
        <v>200</v>
      </c>
      <c r="F16" s="420">
        <f t="shared" si="2"/>
        <v>147.16999999999999</v>
      </c>
      <c r="G16" s="420">
        <f t="shared" si="3"/>
        <v>164.6</v>
      </c>
      <c r="J16" s="421"/>
      <c r="K16" s="418" t="s">
        <v>433</v>
      </c>
      <c r="L16" s="420">
        <v>147</v>
      </c>
      <c r="M16" s="420">
        <v>202.7</v>
      </c>
      <c r="N16" s="420">
        <v>147.16999999999999</v>
      </c>
      <c r="O16" s="420">
        <v>164.6</v>
      </c>
      <c r="Q16" s="87"/>
      <c r="R16" s="87"/>
      <c r="S16" s="87"/>
    </row>
    <row r="17" spans="1:15">
      <c r="A17" s="418" t="s">
        <v>434</v>
      </c>
      <c r="B17" s="419">
        <v>400</v>
      </c>
      <c r="C17" s="420">
        <f t="shared" si="0"/>
        <v>154.69999999999999</v>
      </c>
      <c r="D17" s="420">
        <f t="shared" si="1"/>
        <v>205.9</v>
      </c>
      <c r="E17" s="419">
        <v>200</v>
      </c>
      <c r="F17" s="420">
        <f t="shared" si="2"/>
        <v>166.23</v>
      </c>
      <c r="G17" s="420">
        <f t="shared" si="3"/>
        <v>174.5</v>
      </c>
      <c r="J17" s="421"/>
      <c r="K17" s="418" t="s">
        <v>434</v>
      </c>
      <c r="L17" s="420">
        <v>154.69999999999999</v>
      </c>
      <c r="M17" s="420">
        <v>205.9</v>
      </c>
      <c r="N17" s="420">
        <v>166.23</v>
      </c>
      <c r="O17" s="420">
        <v>174.5</v>
      </c>
    </row>
    <row r="18" spans="1:15">
      <c r="A18" s="418" t="s">
        <v>435</v>
      </c>
      <c r="B18" s="419">
        <v>400</v>
      </c>
      <c r="C18" s="420" t="str">
        <f t="shared" si="0"/>
        <v>-</v>
      </c>
      <c r="D18" s="420" t="str">
        <f t="shared" si="1"/>
        <v>-</v>
      </c>
      <c r="E18" s="419">
        <v>200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145.4909090909091</v>
      </c>
      <c r="M19" s="423">
        <f>MAX(M7:M18)</f>
        <v>220.1</v>
      </c>
      <c r="N19" s="423">
        <f>AVERAGE(N7:N18)</f>
        <v>146.60454545454547</v>
      </c>
      <c r="O19" s="423">
        <f>MAX(O7:O18)</f>
        <v>182.1</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28" t="s">
        <v>437</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H40" sqref="H40"/>
    </sheetView>
  </sheetViews>
  <sheetFormatPr defaultRowHeight="14.25"/>
  <cols>
    <col min="1" max="1" width="14" style="3" customWidth="1"/>
    <col min="2"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c r="F1" s="42"/>
      <c r="G1" s="42"/>
    </row>
    <row r="3" spans="1:19" ht="15">
      <c r="A3" s="25" t="s">
        <v>438</v>
      </c>
      <c r="D3" s="32" t="s">
        <v>405</v>
      </c>
      <c r="G3" s="36" t="s">
        <v>406</v>
      </c>
      <c r="J3" s="6" t="str">
        <f>+A3</f>
        <v>Monitoring of Hydrogen Chloride emissions</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439</v>
      </c>
      <c r="C6" s="416" t="s">
        <v>413</v>
      </c>
      <c r="D6" s="416" t="s">
        <v>414</v>
      </c>
      <c r="E6" s="416" t="s">
        <v>440</v>
      </c>
      <c r="F6" s="416" t="s">
        <v>416</v>
      </c>
      <c r="G6" s="416" t="s">
        <v>417</v>
      </c>
      <c r="H6" s="24"/>
      <c r="J6" s="417">
        <f>+A6</f>
        <v>2022</v>
      </c>
      <c r="K6" s="417" t="s">
        <v>418</v>
      </c>
      <c r="L6" s="26" t="s">
        <v>413</v>
      </c>
      <c r="M6" s="26" t="s">
        <v>419</v>
      </c>
      <c r="N6" s="26" t="s">
        <v>416</v>
      </c>
      <c r="O6" s="26" t="s">
        <v>420</v>
      </c>
      <c r="Q6" s="85"/>
      <c r="R6" s="85"/>
      <c r="S6" s="85"/>
    </row>
    <row r="7" spans="1:19" ht="13.9" customHeight="1">
      <c r="A7" s="418" t="s">
        <v>421</v>
      </c>
      <c r="B7" s="419">
        <v>60</v>
      </c>
      <c r="C7" s="420">
        <f>L7</f>
        <v>9.1999999999999993</v>
      </c>
      <c r="D7" s="420">
        <f>M7</f>
        <v>34.6</v>
      </c>
      <c r="E7" s="419">
        <v>10</v>
      </c>
      <c r="F7" s="420">
        <f>N7</f>
        <v>9.09</v>
      </c>
      <c r="G7" s="420">
        <f>O7</f>
        <v>9.6</v>
      </c>
      <c r="J7" s="421" t="s">
        <v>195</v>
      </c>
      <c r="K7" s="418" t="s">
        <v>421</v>
      </c>
      <c r="L7" s="50">
        <v>9.1999999999999993</v>
      </c>
      <c r="M7" s="50">
        <v>34.6</v>
      </c>
      <c r="N7" s="50">
        <v>9.09</v>
      </c>
      <c r="O7" s="50">
        <v>9.6</v>
      </c>
      <c r="Q7" s="85"/>
      <c r="R7" s="85"/>
      <c r="S7" s="85"/>
    </row>
    <row r="8" spans="1:19">
      <c r="A8" s="418" t="s">
        <v>422</v>
      </c>
      <c r="B8" s="419">
        <v>60</v>
      </c>
      <c r="C8" s="420">
        <f t="shared" ref="C8:C18" si="0">L8</f>
        <v>9.1</v>
      </c>
      <c r="D8" s="420">
        <f t="shared" ref="D8:D18" si="1">M8</f>
        <v>38.1</v>
      </c>
      <c r="E8" s="419">
        <v>10</v>
      </c>
      <c r="F8" s="420">
        <f t="shared" ref="F8:F18" si="2">N8</f>
        <v>9.15</v>
      </c>
      <c r="G8" s="420">
        <f t="shared" ref="G8:G18" si="3">O8</f>
        <v>9.9</v>
      </c>
      <c r="J8" s="421"/>
      <c r="K8" s="418" t="s">
        <v>422</v>
      </c>
      <c r="L8" s="50">
        <v>9.1</v>
      </c>
      <c r="M8" s="50">
        <v>38.1</v>
      </c>
      <c r="N8" s="50">
        <v>9.15</v>
      </c>
      <c r="O8" s="50">
        <v>9.9</v>
      </c>
      <c r="Q8" s="85"/>
      <c r="R8" s="85"/>
      <c r="S8" s="85"/>
    </row>
    <row r="9" spans="1:19" ht="15">
      <c r="A9" s="418" t="s">
        <v>423</v>
      </c>
      <c r="B9" s="419">
        <v>60</v>
      </c>
      <c r="C9" s="420">
        <f t="shared" si="0"/>
        <v>8.4</v>
      </c>
      <c r="D9" s="420">
        <f t="shared" si="1"/>
        <v>16</v>
      </c>
      <c r="E9" s="419">
        <v>10</v>
      </c>
      <c r="F9" s="420">
        <f t="shared" si="2"/>
        <v>8.36</v>
      </c>
      <c r="G9" s="420">
        <f t="shared" si="3"/>
        <v>9.4</v>
      </c>
      <c r="J9" s="421"/>
      <c r="K9" s="418" t="s">
        <v>423</v>
      </c>
      <c r="L9" s="50">
        <v>8.4</v>
      </c>
      <c r="M9" s="50">
        <v>16</v>
      </c>
      <c r="N9" s="50">
        <v>8.36</v>
      </c>
      <c r="O9" s="50">
        <v>9.4</v>
      </c>
      <c r="Q9" s="34" t="s">
        <v>424</v>
      </c>
    </row>
    <row r="10" spans="1:19" ht="13.9" customHeight="1">
      <c r="A10" s="418" t="s">
        <v>425</v>
      </c>
      <c r="B10" s="419">
        <v>60</v>
      </c>
      <c r="C10" s="420">
        <f t="shared" si="0"/>
        <v>8.6</v>
      </c>
      <c r="D10" s="420">
        <f t="shared" si="1"/>
        <v>11.2</v>
      </c>
      <c r="E10" s="419">
        <v>10</v>
      </c>
      <c r="F10" s="420">
        <f t="shared" si="2"/>
        <v>8.57</v>
      </c>
      <c r="G10" s="420">
        <f t="shared" si="3"/>
        <v>9.3000000000000007</v>
      </c>
      <c r="J10" s="421"/>
      <c r="K10" s="418" t="s">
        <v>425</v>
      </c>
      <c r="L10" s="50">
        <v>8.6</v>
      </c>
      <c r="M10" s="50">
        <v>11.2</v>
      </c>
      <c r="N10" s="50">
        <v>8.57</v>
      </c>
      <c r="O10" s="50">
        <v>9.3000000000000007</v>
      </c>
      <c r="Q10" s="87" t="s">
        <v>426</v>
      </c>
      <c r="R10" s="87"/>
      <c r="S10" s="87"/>
    </row>
    <row r="11" spans="1:19">
      <c r="A11" s="418" t="s">
        <v>427</v>
      </c>
      <c r="B11" s="419">
        <v>60</v>
      </c>
      <c r="C11" s="420">
        <f t="shared" si="0"/>
        <v>7.8</v>
      </c>
      <c r="D11" s="420">
        <f t="shared" si="1"/>
        <v>13</v>
      </c>
      <c r="E11" s="419">
        <v>10</v>
      </c>
      <c r="F11" s="420">
        <f t="shared" si="2"/>
        <v>7.78</v>
      </c>
      <c r="G11" s="420">
        <f t="shared" si="3"/>
        <v>8.6999999999999993</v>
      </c>
      <c r="J11" s="421"/>
      <c r="K11" s="418" t="s">
        <v>427</v>
      </c>
      <c r="L11" s="50">
        <v>7.8</v>
      </c>
      <c r="M11" s="50">
        <v>13</v>
      </c>
      <c r="N11" s="50">
        <v>7.78</v>
      </c>
      <c r="O11" s="50">
        <v>8.6999999999999993</v>
      </c>
      <c r="Q11" s="87"/>
      <c r="R11" s="87"/>
      <c r="S11" s="87"/>
    </row>
    <row r="12" spans="1:19">
      <c r="A12" s="418" t="s">
        <v>428</v>
      </c>
      <c r="B12" s="419">
        <v>60</v>
      </c>
      <c r="C12" s="420">
        <f t="shared" si="0"/>
        <v>7.8</v>
      </c>
      <c r="D12" s="420">
        <f t="shared" si="1"/>
        <v>26.4</v>
      </c>
      <c r="E12" s="419">
        <v>10</v>
      </c>
      <c r="F12" s="420">
        <f t="shared" si="2"/>
        <v>7.76</v>
      </c>
      <c r="G12" s="420">
        <f t="shared" si="3"/>
        <v>8.8000000000000007</v>
      </c>
      <c r="J12" s="421"/>
      <c r="K12" s="418" t="s">
        <v>428</v>
      </c>
      <c r="L12" s="50">
        <v>7.8</v>
      </c>
      <c r="M12" s="50">
        <v>26.4</v>
      </c>
      <c r="N12" s="50">
        <v>7.76</v>
      </c>
      <c r="O12" s="50">
        <v>8.8000000000000007</v>
      </c>
      <c r="Q12" s="87"/>
      <c r="R12" s="87"/>
      <c r="S12" s="87"/>
    </row>
    <row r="13" spans="1:19" ht="13.9" customHeight="1">
      <c r="A13" s="418" t="s">
        <v>429</v>
      </c>
      <c r="B13" s="419">
        <v>60</v>
      </c>
      <c r="C13" s="420">
        <f t="shared" si="0"/>
        <v>7.2</v>
      </c>
      <c r="D13" s="420">
        <f t="shared" si="1"/>
        <v>12.2</v>
      </c>
      <c r="E13" s="419">
        <v>10</v>
      </c>
      <c r="F13" s="420">
        <f t="shared" si="2"/>
        <v>7.6</v>
      </c>
      <c r="G13" s="420">
        <f t="shared" si="3"/>
        <v>8.9</v>
      </c>
      <c r="J13" s="421"/>
      <c r="K13" s="418" t="s">
        <v>429</v>
      </c>
      <c r="L13" s="50">
        <v>7.2</v>
      </c>
      <c r="M13" s="50">
        <v>12.2</v>
      </c>
      <c r="N13" s="50">
        <v>7.6</v>
      </c>
      <c r="O13" s="50">
        <v>8.9</v>
      </c>
      <c r="Q13" s="87" t="s">
        <v>430</v>
      </c>
      <c r="R13" s="87"/>
      <c r="S13" s="87"/>
    </row>
    <row r="14" spans="1:19">
      <c r="A14" s="418" t="s">
        <v>431</v>
      </c>
      <c r="B14" s="419">
        <v>60</v>
      </c>
      <c r="C14" s="420">
        <f t="shared" si="0"/>
        <v>6.8</v>
      </c>
      <c r="D14" s="420">
        <f t="shared" si="1"/>
        <v>59.4</v>
      </c>
      <c r="E14" s="419">
        <v>10</v>
      </c>
      <c r="F14" s="420">
        <f t="shared" si="2"/>
        <v>6.62</v>
      </c>
      <c r="G14" s="420">
        <f t="shared" si="3"/>
        <v>8.5</v>
      </c>
      <c r="J14" s="421"/>
      <c r="K14" s="418" t="s">
        <v>431</v>
      </c>
      <c r="L14" s="50">
        <v>6.8</v>
      </c>
      <c r="M14" s="50">
        <v>59.4</v>
      </c>
      <c r="N14" s="50">
        <v>6.62</v>
      </c>
      <c r="O14" s="50">
        <v>8.5</v>
      </c>
      <c r="Q14" s="87"/>
      <c r="R14" s="87"/>
      <c r="S14" s="87"/>
    </row>
    <row r="15" spans="1:19">
      <c r="A15" s="418" t="s">
        <v>432</v>
      </c>
      <c r="B15" s="419">
        <v>60</v>
      </c>
      <c r="C15" s="420">
        <f t="shared" si="0"/>
        <v>7.8</v>
      </c>
      <c r="D15" s="420">
        <f t="shared" si="1"/>
        <v>68.400000000000006</v>
      </c>
      <c r="E15" s="419">
        <v>10</v>
      </c>
      <c r="F15" s="420">
        <f t="shared" si="2"/>
        <v>7.25</v>
      </c>
      <c r="G15" s="420">
        <f t="shared" si="3"/>
        <v>8.1999999999999993</v>
      </c>
      <c r="J15" s="421"/>
      <c r="K15" s="418" t="s">
        <v>432</v>
      </c>
      <c r="L15" s="50">
        <v>7.8</v>
      </c>
      <c r="M15" s="50">
        <v>68.400000000000006</v>
      </c>
      <c r="N15" s="50">
        <v>7.25</v>
      </c>
      <c r="O15" s="50">
        <v>8.1999999999999993</v>
      </c>
      <c r="Q15" s="87"/>
      <c r="R15" s="87"/>
      <c r="S15" s="87"/>
    </row>
    <row r="16" spans="1:19">
      <c r="A16" s="418" t="s">
        <v>433</v>
      </c>
      <c r="B16" s="419">
        <v>60</v>
      </c>
      <c r="C16" s="420">
        <f t="shared" si="0"/>
        <v>5.8</v>
      </c>
      <c r="D16" s="420">
        <f t="shared" si="1"/>
        <v>13.5</v>
      </c>
      <c r="E16" s="419">
        <v>10</v>
      </c>
      <c r="F16" s="420">
        <f t="shared" si="2"/>
        <v>5.63</v>
      </c>
      <c r="G16" s="420">
        <f t="shared" si="3"/>
        <v>6.3</v>
      </c>
      <c r="J16" s="421"/>
      <c r="K16" s="418" t="s">
        <v>433</v>
      </c>
      <c r="L16" s="420">
        <v>5.8</v>
      </c>
      <c r="M16" s="420">
        <v>13.5</v>
      </c>
      <c r="N16" s="420">
        <v>5.63</v>
      </c>
      <c r="O16" s="420">
        <v>6.3</v>
      </c>
      <c r="Q16" s="87"/>
      <c r="R16" s="87"/>
      <c r="S16" s="87"/>
    </row>
    <row r="17" spans="1:15">
      <c r="A17" s="418" t="s">
        <v>434</v>
      </c>
      <c r="B17" s="419">
        <v>60</v>
      </c>
      <c r="C17" s="420">
        <f t="shared" si="0"/>
        <v>5.2</v>
      </c>
      <c r="D17" s="420">
        <f t="shared" si="1"/>
        <v>39.6</v>
      </c>
      <c r="E17" s="419">
        <v>10</v>
      </c>
      <c r="F17" s="420">
        <f t="shared" si="2"/>
        <v>6.77</v>
      </c>
      <c r="G17" s="420">
        <f t="shared" si="3"/>
        <v>7.4</v>
      </c>
      <c r="J17" s="421"/>
      <c r="K17" s="418" t="s">
        <v>434</v>
      </c>
      <c r="L17" s="420">
        <v>5.2</v>
      </c>
      <c r="M17" s="420">
        <v>39.6</v>
      </c>
      <c r="N17" s="420">
        <v>6.77</v>
      </c>
      <c r="O17" s="420">
        <v>7.4</v>
      </c>
    </row>
    <row r="18" spans="1:15">
      <c r="A18" s="418" t="s">
        <v>435</v>
      </c>
      <c r="B18" s="419">
        <v>60</v>
      </c>
      <c r="C18" s="420" t="str">
        <f t="shared" si="0"/>
        <v>-</v>
      </c>
      <c r="D18" s="420" t="str">
        <f t="shared" si="1"/>
        <v>-</v>
      </c>
      <c r="E18" s="419">
        <v>10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7.6090909090909085</v>
      </c>
      <c r="M19" s="423">
        <f>MAX(M7:M18)</f>
        <v>68.400000000000006</v>
      </c>
      <c r="N19" s="423">
        <f>AVERAGE(N7:N18)</f>
        <v>7.6890909090909085</v>
      </c>
      <c r="O19" s="423">
        <f>MAX(O7:O18)</f>
        <v>9.9</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36" t="s">
        <v>441</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H6" sqref="H6"/>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c r="F1" s="42"/>
      <c r="G1" s="42"/>
    </row>
    <row r="3" spans="1:19" ht="15">
      <c r="A3" s="25" t="s">
        <v>442</v>
      </c>
      <c r="D3" s="32" t="s">
        <v>405</v>
      </c>
      <c r="G3" s="36" t="s">
        <v>406</v>
      </c>
      <c r="J3" s="6" t="str">
        <f>+A3</f>
        <v>Monitoring of Sulphur dioxide emissions</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443</v>
      </c>
      <c r="C6" s="416" t="s">
        <v>413</v>
      </c>
      <c r="D6" s="416" t="s">
        <v>414</v>
      </c>
      <c r="E6" s="416" t="s">
        <v>444</v>
      </c>
      <c r="F6" s="416" t="s">
        <v>416</v>
      </c>
      <c r="G6" s="416" t="s">
        <v>417</v>
      </c>
      <c r="H6" s="24"/>
      <c r="J6" s="417">
        <f>+A6</f>
        <v>2022</v>
      </c>
      <c r="K6" s="417" t="s">
        <v>418</v>
      </c>
      <c r="L6" s="26" t="s">
        <v>413</v>
      </c>
      <c r="M6" s="26" t="s">
        <v>419</v>
      </c>
      <c r="N6" s="26" t="s">
        <v>416</v>
      </c>
      <c r="O6" s="26" t="s">
        <v>420</v>
      </c>
      <c r="Q6" s="85"/>
      <c r="R6" s="85"/>
      <c r="S6" s="85"/>
    </row>
    <row r="7" spans="1:19">
      <c r="A7" s="418" t="s">
        <v>421</v>
      </c>
      <c r="B7" s="419">
        <v>200</v>
      </c>
      <c r="C7" s="420">
        <f>L7</f>
        <v>7.8</v>
      </c>
      <c r="D7" s="420">
        <f>M7</f>
        <v>94.5</v>
      </c>
      <c r="E7" s="419">
        <v>50</v>
      </c>
      <c r="F7" s="420">
        <f>N7</f>
        <v>7.77</v>
      </c>
      <c r="G7" s="420">
        <f>O7</f>
        <v>18</v>
      </c>
      <c r="J7" s="421" t="s">
        <v>195</v>
      </c>
      <c r="K7" s="418" t="s">
        <v>421</v>
      </c>
      <c r="L7" s="50">
        <v>7.8</v>
      </c>
      <c r="M7" s="50">
        <v>94.5</v>
      </c>
      <c r="N7" s="50">
        <v>7.77</v>
      </c>
      <c r="O7" s="50">
        <v>18</v>
      </c>
      <c r="Q7" s="85"/>
      <c r="R7" s="85"/>
      <c r="S7" s="85"/>
    </row>
    <row r="8" spans="1:19">
      <c r="A8" s="418" t="s">
        <v>422</v>
      </c>
      <c r="B8" s="419">
        <v>200</v>
      </c>
      <c r="C8" s="420">
        <f t="shared" ref="C8:C18" si="0">L8</f>
        <v>7.2</v>
      </c>
      <c r="D8" s="420">
        <f t="shared" ref="D8:D18" si="1">M8</f>
        <v>38.799999999999997</v>
      </c>
      <c r="E8" s="419">
        <v>50</v>
      </c>
      <c r="F8" s="420">
        <f t="shared" ref="F8:F18" si="2">N8</f>
        <v>6.81</v>
      </c>
      <c r="G8" s="420">
        <f t="shared" ref="G8:G18" si="3">O8</f>
        <v>16.5</v>
      </c>
      <c r="J8" s="421"/>
      <c r="K8" s="418" t="s">
        <v>422</v>
      </c>
      <c r="L8" s="50">
        <v>7.2</v>
      </c>
      <c r="M8" s="50">
        <v>38.799999999999997</v>
      </c>
      <c r="N8" s="50">
        <v>6.81</v>
      </c>
      <c r="O8" s="50">
        <v>16.5</v>
      </c>
      <c r="Q8" s="85"/>
      <c r="R8" s="85"/>
      <c r="S8" s="85"/>
    </row>
    <row r="9" spans="1:19" ht="15">
      <c r="A9" s="418" t="s">
        <v>423</v>
      </c>
      <c r="B9" s="419">
        <v>200</v>
      </c>
      <c r="C9" s="420">
        <f t="shared" si="0"/>
        <v>4</v>
      </c>
      <c r="D9" s="420">
        <f t="shared" si="1"/>
        <v>30.9</v>
      </c>
      <c r="E9" s="419">
        <v>50</v>
      </c>
      <c r="F9" s="420">
        <f t="shared" si="2"/>
        <v>4.01</v>
      </c>
      <c r="G9" s="420">
        <f t="shared" si="3"/>
        <v>11.8</v>
      </c>
      <c r="J9" s="421"/>
      <c r="K9" s="418" t="s">
        <v>423</v>
      </c>
      <c r="L9" s="50">
        <v>4</v>
      </c>
      <c r="M9" s="50">
        <v>30.9</v>
      </c>
      <c r="N9" s="50">
        <v>4.01</v>
      </c>
      <c r="O9" s="50">
        <v>11.8</v>
      </c>
      <c r="Q9" s="34" t="s">
        <v>424</v>
      </c>
    </row>
    <row r="10" spans="1:19" ht="14.25" customHeight="1">
      <c r="A10" s="418" t="s">
        <v>425</v>
      </c>
      <c r="B10" s="419">
        <v>200</v>
      </c>
      <c r="C10" s="420">
        <f t="shared" si="0"/>
        <v>0.5</v>
      </c>
      <c r="D10" s="420">
        <f t="shared" si="1"/>
        <v>1.4</v>
      </c>
      <c r="E10" s="419">
        <v>50</v>
      </c>
      <c r="F10" s="420">
        <f t="shared" si="2"/>
        <v>0.5</v>
      </c>
      <c r="G10" s="420">
        <f t="shared" si="3"/>
        <v>0.5</v>
      </c>
      <c r="J10" s="421"/>
      <c r="K10" s="418" t="s">
        <v>425</v>
      </c>
      <c r="L10" s="50">
        <v>0.5</v>
      </c>
      <c r="M10" s="50">
        <v>1.4</v>
      </c>
      <c r="N10" s="50">
        <v>0.5</v>
      </c>
      <c r="O10" s="50">
        <v>0.5</v>
      </c>
      <c r="Q10" s="87" t="s">
        <v>426</v>
      </c>
      <c r="R10" s="87"/>
      <c r="S10" s="87"/>
    </row>
    <row r="11" spans="1:19">
      <c r="A11" s="418" t="s">
        <v>427</v>
      </c>
      <c r="B11" s="419">
        <v>200</v>
      </c>
      <c r="C11" s="420">
        <f t="shared" si="0"/>
        <v>0.4</v>
      </c>
      <c r="D11" s="420">
        <f t="shared" si="1"/>
        <v>6.9</v>
      </c>
      <c r="E11" s="419">
        <v>50</v>
      </c>
      <c r="F11" s="420">
        <f t="shared" si="2"/>
        <v>0.46</v>
      </c>
      <c r="G11" s="420">
        <f t="shared" si="3"/>
        <v>2.2000000000000002</v>
      </c>
      <c r="J11" s="421"/>
      <c r="K11" s="418" t="s">
        <v>427</v>
      </c>
      <c r="L11" s="50">
        <v>0.4</v>
      </c>
      <c r="M11" s="50">
        <v>6.9</v>
      </c>
      <c r="N11" s="50">
        <v>0.46</v>
      </c>
      <c r="O11" s="50">
        <v>2.2000000000000002</v>
      </c>
      <c r="Q11" s="87"/>
      <c r="R11" s="87"/>
      <c r="S11" s="87"/>
    </row>
    <row r="12" spans="1:19">
      <c r="A12" s="418" t="s">
        <v>428</v>
      </c>
      <c r="B12" s="419">
        <v>200</v>
      </c>
      <c r="C12" s="420">
        <f t="shared" si="0"/>
        <v>3.6</v>
      </c>
      <c r="D12" s="420">
        <f t="shared" si="1"/>
        <v>27.2</v>
      </c>
      <c r="E12" s="419">
        <v>50</v>
      </c>
      <c r="F12" s="420">
        <f t="shared" si="2"/>
        <v>3.85</v>
      </c>
      <c r="G12" s="420">
        <f t="shared" si="3"/>
        <v>11.1</v>
      </c>
      <c r="J12" s="421"/>
      <c r="K12" s="418" t="s">
        <v>428</v>
      </c>
      <c r="L12" s="50">
        <v>3.6</v>
      </c>
      <c r="M12" s="50">
        <v>27.2</v>
      </c>
      <c r="N12" s="50">
        <v>3.85</v>
      </c>
      <c r="O12" s="50">
        <v>11.1</v>
      </c>
      <c r="Q12" s="87"/>
      <c r="R12" s="87"/>
      <c r="S12" s="87"/>
    </row>
    <row r="13" spans="1:19" ht="14.25" customHeight="1">
      <c r="A13" s="418" t="s">
        <v>429</v>
      </c>
      <c r="B13" s="419">
        <v>200</v>
      </c>
      <c r="C13" s="420">
        <f t="shared" si="0"/>
        <v>10.6</v>
      </c>
      <c r="D13" s="420">
        <f t="shared" si="1"/>
        <v>47.4</v>
      </c>
      <c r="E13" s="419">
        <v>50</v>
      </c>
      <c r="F13" s="420">
        <f t="shared" si="2"/>
        <v>10.91</v>
      </c>
      <c r="G13" s="420">
        <f t="shared" si="3"/>
        <v>20.8</v>
      </c>
      <c r="J13" s="421"/>
      <c r="K13" s="418" t="s">
        <v>429</v>
      </c>
      <c r="L13" s="50">
        <v>10.6</v>
      </c>
      <c r="M13" s="50">
        <v>47.4</v>
      </c>
      <c r="N13" s="50">
        <v>10.91</v>
      </c>
      <c r="O13" s="50">
        <v>20.8</v>
      </c>
      <c r="Q13" s="87" t="s">
        <v>430</v>
      </c>
      <c r="R13" s="87"/>
      <c r="S13" s="87"/>
    </row>
    <row r="14" spans="1:19">
      <c r="A14" s="418" t="s">
        <v>431</v>
      </c>
      <c r="B14" s="419">
        <v>200</v>
      </c>
      <c r="C14" s="420">
        <f t="shared" si="0"/>
        <v>7.6</v>
      </c>
      <c r="D14" s="420">
        <f t="shared" si="1"/>
        <v>59.4</v>
      </c>
      <c r="E14" s="419">
        <v>50</v>
      </c>
      <c r="F14" s="420">
        <f t="shared" si="2"/>
        <v>8.2100000000000009</v>
      </c>
      <c r="G14" s="420">
        <f t="shared" si="3"/>
        <v>28</v>
      </c>
      <c r="J14" s="421"/>
      <c r="K14" s="418" t="s">
        <v>431</v>
      </c>
      <c r="L14" s="50">
        <v>7.6</v>
      </c>
      <c r="M14" s="50">
        <v>59.4</v>
      </c>
      <c r="N14" s="50">
        <v>8.2100000000000009</v>
      </c>
      <c r="O14" s="50">
        <v>28</v>
      </c>
      <c r="Q14" s="87"/>
      <c r="R14" s="87"/>
      <c r="S14" s="87"/>
    </row>
    <row r="15" spans="1:19">
      <c r="A15" s="418" t="s">
        <v>432</v>
      </c>
      <c r="B15" s="419">
        <v>200</v>
      </c>
      <c r="C15" s="420">
        <f t="shared" si="0"/>
        <v>7.8</v>
      </c>
      <c r="D15" s="420">
        <f t="shared" si="1"/>
        <v>62.6</v>
      </c>
      <c r="E15" s="419">
        <v>50</v>
      </c>
      <c r="F15" s="420">
        <f t="shared" si="2"/>
        <v>7.87</v>
      </c>
      <c r="G15" s="420">
        <f t="shared" si="3"/>
        <v>18.899999999999999</v>
      </c>
      <c r="J15" s="421"/>
      <c r="K15" s="418" t="s">
        <v>432</v>
      </c>
      <c r="L15" s="50">
        <v>7.8</v>
      </c>
      <c r="M15" s="50">
        <v>62.6</v>
      </c>
      <c r="N15" s="50">
        <v>7.87</v>
      </c>
      <c r="O15" s="50">
        <v>18.899999999999999</v>
      </c>
      <c r="Q15" s="87"/>
      <c r="R15" s="87"/>
      <c r="S15" s="87"/>
    </row>
    <row r="16" spans="1:19">
      <c r="A16" s="418" t="s">
        <v>433</v>
      </c>
      <c r="B16" s="419">
        <v>200</v>
      </c>
      <c r="C16" s="420">
        <f t="shared" si="0"/>
        <v>11.6</v>
      </c>
      <c r="D16" s="420">
        <f t="shared" si="1"/>
        <v>51.6</v>
      </c>
      <c r="E16" s="419">
        <v>50</v>
      </c>
      <c r="F16" s="420">
        <f t="shared" si="2"/>
        <v>11.97</v>
      </c>
      <c r="G16" s="420">
        <f t="shared" si="3"/>
        <v>14.1</v>
      </c>
      <c r="J16" s="421"/>
      <c r="K16" s="418" t="s">
        <v>433</v>
      </c>
      <c r="L16" s="420">
        <v>11.6</v>
      </c>
      <c r="M16" s="420">
        <v>51.6</v>
      </c>
      <c r="N16" s="420">
        <v>11.97</v>
      </c>
      <c r="O16" s="420">
        <v>14.1</v>
      </c>
      <c r="Q16" s="87"/>
      <c r="R16" s="87"/>
      <c r="S16" s="87"/>
    </row>
    <row r="17" spans="1:15">
      <c r="A17" s="418" t="s">
        <v>434</v>
      </c>
      <c r="B17" s="419">
        <v>200</v>
      </c>
      <c r="C17" s="420">
        <f t="shared" si="0"/>
        <v>17.399999999999999</v>
      </c>
      <c r="D17" s="420">
        <f t="shared" si="1"/>
        <v>74.7</v>
      </c>
      <c r="E17" s="419">
        <v>50</v>
      </c>
      <c r="F17" s="420">
        <f t="shared" si="2"/>
        <v>22.3</v>
      </c>
      <c r="G17" s="420">
        <f t="shared" si="3"/>
        <v>28.4</v>
      </c>
      <c r="J17" s="421"/>
      <c r="K17" s="418" t="s">
        <v>434</v>
      </c>
      <c r="L17" s="420">
        <v>17.399999999999999</v>
      </c>
      <c r="M17" s="420">
        <v>74.7</v>
      </c>
      <c r="N17" s="420">
        <v>22.3</v>
      </c>
      <c r="O17" s="420">
        <v>28.4</v>
      </c>
    </row>
    <row r="18" spans="1:15">
      <c r="A18" s="418" t="s">
        <v>435</v>
      </c>
      <c r="B18" s="419">
        <v>200</v>
      </c>
      <c r="C18" s="420" t="str">
        <f t="shared" si="0"/>
        <v>-</v>
      </c>
      <c r="D18" s="420" t="str">
        <f t="shared" si="1"/>
        <v>-</v>
      </c>
      <c r="E18" s="419">
        <v>50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7.1363636363636367</v>
      </c>
      <c r="M19" s="423">
        <f>MAX(M7:M18)</f>
        <v>94.5</v>
      </c>
      <c r="N19" s="423">
        <f>AVERAGE(N7:N18)</f>
        <v>7.6963636363636363</v>
      </c>
      <c r="O19" s="423">
        <f>MAX(O7:O18)</f>
        <v>28.4</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28" t="s">
        <v>437</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I43" sqref="I43"/>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row>
    <row r="3" spans="1:19" ht="15">
      <c r="A3" s="25" t="s">
        <v>445</v>
      </c>
      <c r="D3" s="32" t="s">
        <v>405</v>
      </c>
      <c r="G3" s="36" t="s">
        <v>406</v>
      </c>
      <c r="J3" s="6" t="str">
        <f>+A3</f>
        <v>Monitoring of Total organic carbon emissions</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446</v>
      </c>
      <c r="C6" s="416" t="s">
        <v>413</v>
      </c>
      <c r="D6" s="416" t="s">
        <v>414</v>
      </c>
      <c r="E6" s="416" t="s">
        <v>447</v>
      </c>
      <c r="F6" s="416" t="s">
        <v>416</v>
      </c>
      <c r="G6" s="416" t="s">
        <v>417</v>
      </c>
      <c r="H6" s="24"/>
      <c r="J6" s="417">
        <f>+A6</f>
        <v>2022</v>
      </c>
      <c r="K6" s="417" t="s">
        <v>418</v>
      </c>
      <c r="L6" s="26" t="s">
        <v>413</v>
      </c>
      <c r="M6" s="26" t="s">
        <v>419</v>
      </c>
      <c r="N6" s="26" t="s">
        <v>416</v>
      </c>
      <c r="O6" s="26" t="s">
        <v>420</v>
      </c>
      <c r="Q6" s="85"/>
      <c r="R6" s="85"/>
      <c r="S6" s="85"/>
    </row>
    <row r="7" spans="1:19">
      <c r="A7" s="418" t="s">
        <v>421</v>
      </c>
      <c r="B7" s="419">
        <v>20</v>
      </c>
      <c r="C7" s="420">
        <f>L7</f>
        <v>0.4</v>
      </c>
      <c r="D7" s="420">
        <f>M7</f>
        <v>9.1</v>
      </c>
      <c r="E7" s="419">
        <v>10</v>
      </c>
      <c r="F7" s="420">
        <f>N7</f>
        <v>0.42</v>
      </c>
      <c r="G7" s="420">
        <f>O7</f>
        <v>1.4</v>
      </c>
      <c r="J7" s="421" t="s">
        <v>195</v>
      </c>
      <c r="K7" s="418" t="s">
        <v>421</v>
      </c>
      <c r="L7" s="50">
        <v>0.4</v>
      </c>
      <c r="M7" s="50">
        <v>9.1</v>
      </c>
      <c r="N7" s="50">
        <v>0.42</v>
      </c>
      <c r="O7" s="50">
        <v>1.4</v>
      </c>
      <c r="Q7" s="85"/>
      <c r="R7" s="85"/>
      <c r="S7" s="85"/>
    </row>
    <row r="8" spans="1:19">
      <c r="A8" s="418" t="s">
        <v>422</v>
      </c>
      <c r="B8" s="419">
        <v>20</v>
      </c>
      <c r="C8" s="420">
        <f t="shared" ref="C8:C18" si="0">L8</f>
        <v>0.7</v>
      </c>
      <c r="D8" s="420">
        <f t="shared" ref="D8:D18" si="1">M8</f>
        <v>5.5</v>
      </c>
      <c r="E8" s="419">
        <v>10</v>
      </c>
      <c r="F8" s="420">
        <f t="shared" ref="F8:F18" si="2">N8</f>
        <v>0.74</v>
      </c>
      <c r="G8" s="420">
        <f t="shared" ref="G8:G18" si="3">O8</f>
        <v>1.1000000000000001</v>
      </c>
      <c r="J8" s="421"/>
      <c r="K8" s="418" t="s">
        <v>422</v>
      </c>
      <c r="L8" s="50">
        <v>0.7</v>
      </c>
      <c r="M8" s="50">
        <v>5.5</v>
      </c>
      <c r="N8" s="50">
        <v>0.74</v>
      </c>
      <c r="O8" s="50">
        <v>1.1000000000000001</v>
      </c>
      <c r="Q8" s="85"/>
      <c r="R8" s="85"/>
      <c r="S8" s="85"/>
    </row>
    <row r="9" spans="1:19" ht="15">
      <c r="A9" s="418" t="s">
        <v>423</v>
      </c>
      <c r="B9" s="419">
        <v>20</v>
      </c>
      <c r="C9" s="420">
        <f t="shared" si="0"/>
        <v>1.7</v>
      </c>
      <c r="D9" s="420">
        <f t="shared" si="1"/>
        <v>24.8</v>
      </c>
      <c r="E9" s="419">
        <v>10</v>
      </c>
      <c r="F9" s="420">
        <f t="shared" si="2"/>
        <v>1.76</v>
      </c>
      <c r="G9" s="420">
        <f t="shared" si="3"/>
        <v>2.7</v>
      </c>
      <c r="J9" s="421"/>
      <c r="K9" s="418" t="s">
        <v>423</v>
      </c>
      <c r="L9" s="50">
        <v>1.7</v>
      </c>
      <c r="M9" s="50">
        <v>24.8</v>
      </c>
      <c r="N9" s="50">
        <v>1.76</v>
      </c>
      <c r="O9" s="50">
        <v>2.7</v>
      </c>
      <c r="Q9" s="34" t="s">
        <v>424</v>
      </c>
    </row>
    <row r="10" spans="1:19" ht="14.25" customHeight="1">
      <c r="A10" s="418" t="s">
        <v>425</v>
      </c>
      <c r="B10" s="419">
        <v>20</v>
      </c>
      <c r="C10" s="420">
        <f t="shared" si="0"/>
        <v>2.1</v>
      </c>
      <c r="D10" s="420">
        <f t="shared" si="1"/>
        <v>5</v>
      </c>
      <c r="E10" s="419">
        <v>10</v>
      </c>
      <c r="F10" s="420">
        <f t="shared" si="2"/>
        <v>2.1</v>
      </c>
      <c r="G10" s="420">
        <f t="shared" si="3"/>
        <v>2.4</v>
      </c>
      <c r="J10" s="421"/>
      <c r="K10" s="418" t="s">
        <v>425</v>
      </c>
      <c r="L10" s="50">
        <v>2.1</v>
      </c>
      <c r="M10" s="50">
        <v>5</v>
      </c>
      <c r="N10" s="50">
        <v>2.1</v>
      </c>
      <c r="O10" s="50">
        <v>2.4</v>
      </c>
      <c r="Q10" s="87" t="s">
        <v>426</v>
      </c>
      <c r="R10" s="87"/>
      <c r="S10" s="87"/>
    </row>
    <row r="11" spans="1:19">
      <c r="A11" s="418" t="s">
        <v>427</v>
      </c>
      <c r="B11" s="419">
        <v>20</v>
      </c>
      <c r="C11" s="420">
        <f t="shared" si="0"/>
        <v>0.4</v>
      </c>
      <c r="D11" s="420">
        <f t="shared" si="1"/>
        <v>3.2</v>
      </c>
      <c r="E11" s="419">
        <v>10</v>
      </c>
      <c r="F11" s="420">
        <f t="shared" si="2"/>
        <v>0.42</v>
      </c>
      <c r="G11" s="420">
        <f t="shared" si="3"/>
        <v>1.1000000000000001</v>
      </c>
      <c r="J11" s="421"/>
      <c r="K11" s="418" t="s">
        <v>427</v>
      </c>
      <c r="L11" s="50">
        <v>0.4</v>
      </c>
      <c r="M11" s="50">
        <v>3.2</v>
      </c>
      <c r="N11" s="50">
        <v>0.42</v>
      </c>
      <c r="O11" s="50">
        <v>1.1000000000000001</v>
      </c>
      <c r="Q11" s="87"/>
      <c r="R11" s="87"/>
      <c r="S11" s="87"/>
    </row>
    <row r="12" spans="1:19">
      <c r="A12" s="418" t="s">
        <v>428</v>
      </c>
      <c r="B12" s="419">
        <v>20</v>
      </c>
      <c r="C12" s="420">
        <f t="shared" si="0"/>
        <v>0.5</v>
      </c>
      <c r="D12" s="420">
        <f t="shared" si="1"/>
        <v>5.0999999999999996</v>
      </c>
      <c r="E12" s="419">
        <v>10</v>
      </c>
      <c r="F12" s="420">
        <f t="shared" si="2"/>
        <v>0.49</v>
      </c>
      <c r="G12" s="420">
        <f t="shared" si="3"/>
        <v>0.8</v>
      </c>
      <c r="J12" s="421"/>
      <c r="K12" s="418" t="s">
        <v>428</v>
      </c>
      <c r="L12" s="50">
        <v>0.5</v>
      </c>
      <c r="M12" s="50">
        <v>5.0999999999999996</v>
      </c>
      <c r="N12" s="50">
        <v>0.49</v>
      </c>
      <c r="O12" s="50">
        <v>0.8</v>
      </c>
      <c r="Q12" s="87"/>
      <c r="R12" s="87"/>
      <c r="S12" s="87"/>
    </row>
    <row r="13" spans="1:19" ht="14.25" customHeight="1">
      <c r="A13" s="418" t="s">
        <v>429</v>
      </c>
      <c r="B13" s="419">
        <v>20</v>
      </c>
      <c r="C13" s="420">
        <f t="shared" si="0"/>
        <v>0.6</v>
      </c>
      <c r="D13" s="420">
        <f t="shared" si="1"/>
        <v>10.8</v>
      </c>
      <c r="E13" s="419">
        <v>10</v>
      </c>
      <c r="F13" s="420">
        <f t="shared" si="2"/>
        <v>0.56999999999999995</v>
      </c>
      <c r="G13" s="420">
        <f t="shared" si="3"/>
        <v>1.4</v>
      </c>
      <c r="J13" s="421"/>
      <c r="K13" s="418" t="s">
        <v>429</v>
      </c>
      <c r="L13" s="50">
        <v>0.6</v>
      </c>
      <c r="M13" s="50">
        <v>10.8</v>
      </c>
      <c r="N13" s="50">
        <v>0.56999999999999995</v>
      </c>
      <c r="O13" s="50">
        <v>1.4</v>
      </c>
      <c r="Q13" s="87" t="s">
        <v>430</v>
      </c>
      <c r="R13" s="87"/>
      <c r="S13" s="87"/>
    </row>
    <row r="14" spans="1:19">
      <c r="A14" s="418" t="s">
        <v>431</v>
      </c>
      <c r="B14" s="419">
        <v>20</v>
      </c>
      <c r="C14" s="420">
        <f t="shared" si="0"/>
        <v>0.6</v>
      </c>
      <c r="D14" s="420">
        <f t="shared" si="1"/>
        <v>37.200000000000003</v>
      </c>
      <c r="E14" s="419">
        <v>10</v>
      </c>
      <c r="F14" s="420">
        <f t="shared" si="2"/>
        <v>0.67</v>
      </c>
      <c r="G14" s="420">
        <f t="shared" si="3"/>
        <v>1.3</v>
      </c>
      <c r="J14" s="421"/>
      <c r="K14" s="418" t="s">
        <v>431</v>
      </c>
      <c r="L14" s="50">
        <v>0.6</v>
      </c>
      <c r="M14" s="50">
        <v>37.200000000000003</v>
      </c>
      <c r="N14" s="50">
        <v>0.67</v>
      </c>
      <c r="O14" s="50">
        <v>1.3</v>
      </c>
      <c r="Q14" s="87"/>
      <c r="R14" s="87"/>
      <c r="S14" s="87"/>
    </row>
    <row r="15" spans="1:19">
      <c r="A15" s="418" t="s">
        <v>432</v>
      </c>
      <c r="B15" s="419">
        <v>20</v>
      </c>
      <c r="C15" s="420">
        <f t="shared" si="0"/>
        <v>0.5</v>
      </c>
      <c r="D15" s="420">
        <f t="shared" si="1"/>
        <v>2.8</v>
      </c>
      <c r="E15" s="419">
        <v>10</v>
      </c>
      <c r="F15" s="420">
        <f t="shared" si="2"/>
        <v>0.38</v>
      </c>
      <c r="G15" s="420">
        <f t="shared" si="3"/>
        <v>0.5</v>
      </c>
      <c r="J15" s="421"/>
      <c r="K15" s="418" t="s">
        <v>432</v>
      </c>
      <c r="L15" s="50">
        <v>0.5</v>
      </c>
      <c r="M15" s="50">
        <v>2.8</v>
      </c>
      <c r="N15" s="50">
        <v>0.38</v>
      </c>
      <c r="O15" s="50">
        <v>0.5</v>
      </c>
      <c r="Q15" s="87"/>
      <c r="R15" s="87"/>
      <c r="S15" s="87"/>
    </row>
    <row r="16" spans="1:19">
      <c r="A16" s="418" t="s">
        <v>433</v>
      </c>
      <c r="B16" s="419">
        <v>20</v>
      </c>
      <c r="C16" s="420">
        <f t="shared" si="0"/>
        <v>0.4</v>
      </c>
      <c r="D16" s="420">
        <f t="shared" si="1"/>
        <v>1.4</v>
      </c>
      <c r="E16" s="419">
        <v>10</v>
      </c>
      <c r="F16" s="420">
        <f t="shared" si="2"/>
        <v>0.37</v>
      </c>
      <c r="G16" s="420">
        <f t="shared" si="3"/>
        <v>0.4</v>
      </c>
      <c r="J16" s="421"/>
      <c r="K16" s="418" t="s">
        <v>433</v>
      </c>
      <c r="L16" s="420">
        <v>0.4</v>
      </c>
      <c r="M16" s="420">
        <v>1.4</v>
      </c>
      <c r="N16" s="420">
        <v>0.37</v>
      </c>
      <c r="O16" s="420">
        <v>0.4</v>
      </c>
      <c r="Q16" s="87"/>
      <c r="R16" s="87"/>
      <c r="S16" s="87"/>
    </row>
    <row r="17" spans="1:15">
      <c r="A17" s="418" t="s">
        <v>434</v>
      </c>
      <c r="B17" s="419">
        <v>20</v>
      </c>
      <c r="C17" s="420">
        <f t="shared" si="0"/>
        <v>0.5</v>
      </c>
      <c r="D17" s="420">
        <f t="shared" si="1"/>
        <v>9.6999999999999993</v>
      </c>
      <c r="E17" s="419">
        <v>10</v>
      </c>
      <c r="F17" s="420">
        <f t="shared" si="2"/>
        <v>0.43</v>
      </c>
      <c r="G17" s="420">
        <f t="shared" si="3"/>
        <v>0.5</v>
      </c>
      <c r="J17" s="421"/>
      <c r="K17" s="418" t="s">
        <v>434</v>
      </c>
      <c r="L17" s="420">
        <v>0.5</v>
      </c>
      <c r="M17" s="420">
        <v>9.6999999999999993</v>
      </c>
      <c r="N17" s="420">
        <v>0.43</v>
      </c>
      <c r="O17" s="420">
        <v>0.5</v>
      </c>
    </row>
    <row r="18" spans="1:15">
      <c r="A18" s="418" t="s">
        <v>435</v>
      </c>
      <c r="B18" s="419">
        <v>20</v>
      </c>
      <c r="C18" s="420" t="str">
        <f t="shared" si="0"/>
        <v>-</v>
      </c>
      <c r="D18" s="420" t="str">
        <f t="shared" si="1"/>
        <v>-</v>
      </c>
      <c r="E18" s="419">
        <v>10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0.76363636363636367</v>
      </c>
      <c r="M19" s="423">
        <f>MAX(M7:M18)</f>
        <v>37.200000000000003</v>
      </c>
      <c r="N19" s="423">
        <f>AVERAGE(N7:N18)</f>
        <v>0.75909090909090904</v>
      </c>
      <c r="O19" s="423">
        <f>MAX(O7:O18)</f>
        <v>2.7</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36" t="s">
        <v>448</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H8" sqref="H8"/>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row>
    <row r="3" spans="1:19" ht="15">
      <c r="A3" s="25" t="s">
        <v>449</v>
      </c>
      <c r="D3" s="32" t="s">
        <v>405</v>
      </c>
      <c r="G3" s="36" t="s">
        <v>406</v>
      </c>
      <c r="J3" s="6" t="str">
        <f>+A3</f>
        <v>Monitoring of Particulate matter emissions</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450</v>
      </c>
      <c r="C6" s="416" t="s">
        <v>413</v>
      </c>
      <c r="D6" s="416" t="s">
        <v>414</v>
      </c>
      <c r="E6" s="416" t="s">
        <v>451</v>
      </c>
      <c r="F6" s="416" t="s">
        <v>416</v>
      </c>
      <c r="G6" s="416" t="s">
        <v>417</v>
      </c>
      <c r="H6" s="24"/>
      <c r="J6" s="417">
        <f>+A6</f>
        <v>2022</v>
      </c>
      <c r="K6" s="417" t="s">
        <v>418</v>
      </c>
      <c r="L6" s="26" t="s">
        <v>413</v>
      </c>
      <c r="M6" s="26" t="s">
        <v>419</v>
      </c>
      <c r="N6" s="26" t="s">
        <v>416</v>
      </c>
      <c r="O6" s="26" t="s">
        <v>420</v>
      </c>
      <c r="Q6" s="85"/>
      <c r="R6" s="85"/>
      <c r="S6" s="85"/>
    </row>
    <row r="7" spans="1:19">
      <c r="A7" s="418" t="s">
        <v>421</v>
      </c>
      <c r="B7" s="419">
        <v>30</v>
      </c>
      <c r="C7" s="420">
        <f>L7</f>
        <v>0.4</v>
      </c>
      <c r="D7" s="420">
        <f>M7</f>
        <v>2.7</v>
      </c>
      <c r="E7" s="419">
        <v>10</v>
      </c>
      <c r="F7" s="420">
        <f>N7</f>
        <v>0.34</v>
      </c>
      <c r="G7" s="420">
        <f>O7</f>
        <v>0.9</v>
      </c>
      <c r="J7" s="421" t="s">
        <v>195</v>
      </c>
      <c r="K7" s="418" t="s">
        <v>421</v>
      </c>
      <c r="L7" s="50">
        <v>0.4</v>
      </c>
      <c r="M7" s="50">
        <v>2.7</v>
      </c>
      <c r="N7" s="50">
        <v>0.34</v>
      </c>
      <c r="O7" s="50">
        <v>0.9</v>
      </c>
      <c r="Q7" s="85"/>
      <c r="R7" s="85"/>
      <c r="S7" s="85"/>
    </row>
    <row r="8" spans="1:19">
      <c r="A8" s="418" t="s">
        <v>422</v>
      </c>
      <c r="B8" s="419">
        <v>30</v>
      </c>
      <c r="C8" s="420">
        <f t="shared" ref="C8:C18" si="0">L8</f>
        <v>0.1</v>
      </c>
      <c r="D8" s="420">
        <f t="shared" ref="D8:D18" si="1">M8</f>
        <v>1.3</v>
      </c>
      <c r="E8" s="419">
        <v>10</v>
      </c>
      <c r="F8" s="420">
        <f t="shared" ref="F8:F18" si="2">N8</f>
        <v>0.11</v>
      </c>
      <c r="G8" s="420">
        <f t="shared" ref="G8:G18" si="3">O8</f>
        <v>0.4</v>
      </c>
      <c r="J8" s="421"/>
      <c r="K8" s="418" t="s">
        <v>422</v>
      </c>
      <c r="L8" s="50">
        <v>0.1</v>
      </c>
      <c r="M8" s="50">
        <v>1.3</v>
      </c>
      <c r="N8" s="50">
        <v>0.11</v>
      </c>
      <c r="O8" s="50">
        <v>0.4</v>
      </c>
      <c r="Q8" s="85"/>
      <c r="R8" s="85"/>
      <c r="S8" s="85"/>
    </row>
    <row r="9" spans="1:19" ht="15">
      <c r="A9" s="418" t="s">
        <v>423</v>
      </c>
      <c r="B9" s="419">
        <v>30</v>
      </c>
      <c r="C9" s="420">
        <f t="shared" si="0"/>
        <v>0.3</v>
      </c>
      <c r="D9" s="420">
        <f t="shared" si="1"/>
        <v>21.3</v>
      </c>
      <c r="E9" s="419">
        <v>10</v>
      </c>
      <c r="F9" s="420">
        <f t="shared" si="2"/>
        <v>0.33</v>
      </c>
      <c r="G9" s="420">
        <f t="shared" si="3"/>
        <v>2.9</v>
      </c>
      <c r="J9" s="421"/>
      <c r="K9" s="418" t="s">
        <v>423</v>
      </c>
      <c r="L9" s="50">
        <v>0.3</v>
      </c>
      <c r="M9" s="50">
        <v>21.3</v>
      </c>
      <c r="N9" s="50">
        <v>0.33</v>
      </c>
      <c r="O9" s="50">
        <v>2.9</v>
      </c>
      <c r="Q9" s="34" t="s">
        <v>424</v>
      </c>
    </row>
    <row r="10" spans="1:19" ht="14.25" customHeight="1">
      <c r="A10" s="418" t="s">
        <v>425</v>
      </c>
      <c r="B10" s="419">
        <v>30</v>
      </c>
      <c r="C10" s="420">
        <f t="shared" si="0"/>
        <v>0.1</v>
      </c>
      <c r="D10" s="420">
        <f t="shared" si="1"/>
        <v>0.3</v>
      </c>
      <c r="E10" s="419">
        <v>10</v>
      </c>
      <c r="F10" s="420">
        <f t="shared" si="2"/>
        <v>0.1</v>
      </c>
      <c r="G10" s="420">
        <f t="shared" si="3"/>
        <v>0.1</v>
      </c>
      <c r="J10" s="421"/>
      <c r="K10" s="418" t="s">
        <v>425</v>
      </c>
      <c r="L10" s="50">
        <v>0.1</v>
      </c>
      <c r="M10" s="50">
        <v>0.3</v>
      </c>
      <c r="N10" s="50">
        <v>0.1</v>
      </c>
      <c r="O10" s="50">
        <v>0.1</v>
      </c>
      <c r="Q10" s="87" t="s">
        <v>426</v>
      </c>
      <c r="R10" s="87"/>
      <c r="S10" s="87"/>
    </row>
    <row r="11" spans="1:19">
      <c r="A11" s="418" t="s">
        <v>427</v>
      </c>
      <c r="B11" s="419">
        <v>30</v>
      </c>
      <c r="C11" s="420">
        <f t="shared" si="0"/>
        <v>0.3</v>
      </c>
      <c r="D11" s="420">
        <f t="shared" si="1"/>
        <v>0.5</v>
      </c>
      <c r="E11" s="419">
        <v>10</v>
      </c>
      <c r="F11" s="420">
        <f t="shared" si="2"/>
        <v>0.31</v>
      </c>
      <c r="G11" s="420">
        <f t="shared" si="3"/>
        <v>0.4</v>
      </c>
      <c r="J11" s="421"/>
      <c r="K11" s="418" t="s">
        <v>427</v>
      </c>
      <c r="L11" s="50">
        <v>0.3</v>
      </c>
      <c r="M11" s="50">
        <v>0.5</v>
      </c>
      <c r="N11" s="50">
        <v>0.31</v>
      </c>
      <c r="O11" s="50">
        <v>0.4</v>
      </c>
      <c r="Q11" s="87"/>
      <c r="R11" s="87"/>
      <c r="S11" s="87"/>
    </row>
    <row r="12" spans="1:19">
      <c r="A12" s="418" t="s">
        <v>428</v>
      </c>
      <c r="B12" s="419">
        <v>30</v>
      </c>
      <c r="C12" s="420">
        <f t="shared" si="0"/>
        <v>0.4</v>
      </c>
      <c r="D12" s="420">
        <f t="shared" si="1"/>
        <v>1.4</v>
      </c>
      <c r="E12" s="419">
        <v>10</v>
      </c>
      <c r="F12" s="420">
        <f t="shared" si="2"/>
        <v>0.4</v>
      </c>
      <c r="G12" s="420">
        <f t="shared" si="3"/>
        <v>0.5</v>
      </c>
      <c r="J12" s="421"/>
      <c r="K12" s="418" t="s">
        <v>428</v>
      </c>
      <c r="L12" s="50">
        <v>0.4</v>
      </c>
      <c r="M12" s="50">
        <v>1.4</v>
      </c>
      <c r="N12" s="50">
        <v>0.4</v>
      </c>
      <c r="O12" s="50">
        <v>0.5</v>
      </c>
      <c r="Q12" s="87"/>
      <c r="R12" s="87"/>
      <c r="S12" s="87"/>
    </row>
    <row r="13" spans="1:19" ht="14.25" customHeight="1">
      <c r="A13" s="418" t="s">
        <v>429</v>
      </c>
      <c r="B13" s="419">
        <v>30</v>
      </c>
      <c r="C13" s="420">
        <f t="shared" si="0"/>
        <v>0.5</v>
      </c>
      <c r="D13" s="420">
        <f t="shared" si="1"/>
        <v>3.3</v>
      </c>
      <c r="E13" s="419">
        <v>10</v>
      </c>
      <c r="F13" s="420">
        <f t="shared" si="2"/>
        <v>0.49</v>
      </c>
      <c r="G13" s="420">
        <f t="shared" si="3"/>
        <v>0.8</v>
      </c>
      <c r="J13" s="421"/>
      <c r="K13" s="418" t="s">
        <v>429</v>
      </c>
      <c r="L13" s="50">
        <v>0.5</v>
      </c>
      <c r="M13" s="50">
        <v>3.3</v>
      </c>
      <c r="N13" s="50">
        <v>0.49</v>
      </c>
      <c r="O13" s="50">
        <v>0.8</v>
      </c>
      <c r="Q13" s="87" t="s">
        <v>430</v>
      </c>
      <c r="R13" s="87"/>
      <c r="S13" s="87"/>
    </row>
    <row r="14" spans="1:19">
      <c r="A14" s="418" t="s">
        <v>431</v>
      </c>
      <c r="B14" s="419">
        <v>30</v>
      </c>
      <c r="C14" s="420">
        <f t="shared" si="0"/>
        <v>0.4</v>
      </c>
      <c r="D14" s="420">
        <f t="shared" si="1"/>
        <v>1.2</v>
      </c>
      <c r="E14" s="419">
        <v>10</v>
      </c>
      <c r="F14" s="420">
        <f t="shared" si="2"/>
        <v>0.44</v>
      </c>
      <c r="G14" s="420">
        <f t="shared" si="3"/>
        <v>0.5</v>
      </c>
      <c r="J14" s="421"/>
      <c r="K14" s="418" t="s">
        <v>431</v>
      </c>
      <c r="L14" s="50">
        <v>0.4</v>
      </c>
      <c r="M14" s="50">
        <v>1.2</v>
      </c>
      <c r="N14" s="50">
        <v>0.44</v>
      </c>
      <c r="O14" s="50">
        <v>0.5</v>
      </c>
      <c r="Q14" s="87"/>
      <c r="R14" s="87"/>
      <c r="S14" s="87"/>
    </row>
    <row r="15" spans="1:19">
      <c r="A15" s="418" t="s">
        <v>432</v>
      </c>
      <c r="B15" s="419">
        <v>30</v>
      </c>
      <c r="C15" s="420">
        <f t="shared" si="0"/>
        <v>0.4</v>
      </c>
      <c r="D15" s="420">
        <f t="shared" si="1"/>
        <v>1</v>
      </c>
      <c r="E15" s="419">
        <v>10</v>
      </c>
      <c r="F15" s="420">
        <f t="shared" si="2"/>
        <v>0.42</v>
      </c>
      <c r="G15" s="420">
        <f t="shared" si="3"/>
        <v>0.5</v>
      </c>
      <c r="J15" s="421"/>
      <c r="K15" s="418" t="s">
        <v>432</v>
      </c>
      <c r="L15" s="50">
        <v>0.4</v>
      </c>
      <c r="M15" s="50">
        <v>1</v>
      </c>
      <c r="N15" s="50">
        <v>0.42</v>
      </c>
      <c r="O15" s="50">
        <v>0.5</v>
      </c>
      <c r="Q15" s="87"/>
      <c r="R15" s="87"/>
      <c r="S15" s="87"/>
    </row>
    <row r="16" spans="1:19">
      <c r="A16" s="418" t="s">
        <v>433</v>
      </c>
      <c r="B16" s="419">
        <v>30</v>
      </c>
      <c r="C16" s="420">
        <f t="shared" si="0"/>
        <v>0.4</v>
      </c>
      <c r="D16" s="420">
        <f t="shared" si="1"/>
        <v>1</v>
      </c>
      <c r="E16" s="419">
        <v>10</v>
      </c>
      <c r="F16" s="420">
        <f t="shared" si="2"/>
        <v>0.4</v>
      </c>
      <c r="G16" s="420">
        <f t="shared" si="3"/>
        <v>0.4</v>
      </c>
      <c r="J16" s="421"/>
      <c r="K16" s="418" t="s">
        <v>433</v>
      </c>
      <c r="L16" s="420">
        <v>0.4</v>
      </c>
      <c r="M16" s="420">
        <v>1</v>
      </c>
      <c r="N16" s="420">
        <v>0.4</v>
      </c>
      <c r="O16" s="420">
        <v>0.4</v>
      </c>
      <c r="Q16" s="87"/>
      <c r="R16" s="87"/>
      <c r="S16" s="87"/>
    </row>
    <row r="17" spans="1:15">
      <c r="A17" s="418" t="s">
        <v>434</v>
      </c>
      <c r="B17" s="419">
        <v>30</v>
      </c>
      <c r="C17" s="420">
        <f t="shared" si="0"/>
        <v>0.5</v>
      </c>
      <c r="D17" s="420">
        <f t="shared" si="1"/>
        <v>1.2</v>
      </c>
      <c r="E17" s="419">
        <v>10</v>
      </c>
      <c r="F17" s="420">
        <f t="shared" si="2"/>
        <v>0.47</v>
      </c>
      <c r="G17" s="420">
        <f t="shared" si="3"/>
        <v>0.5</v>
      </c>
      <c r="J17" s="421"/>
      <c r="K17" s="418" t="s">
        <v>434</v>
      </c>
      <c r="L17" s="420">
        <v>0.5</v>
      </c>
      <c r="M17" s="420">
        <v>1.2</v>
      </c>
      <c r="N17" s="420">
        <v>0.47</v>
      </c>
      <c r="O17" s="420">
        <v>0.5</v>
      </c>
    </row>
    <row r="18" spans="1:15">
      <c r="A18" s="418" t="s">
        <v>435</v>
      </c>
      <c r="B18" s="419">
        <v>30</v>
      </c>
      <c r="C18" s="420" t="str">
        <f t="shared" si="0"/>
        <v>-</v>
      </c>
      <c r="D18" s="420" t="str">
        <f t="shared" si="1"/>
        <v>-</v>
      </c>
      <c r="E18" s="419">
        <v>10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0.34545454545454546</v>
      </c>
      <c r="M19" s="423">
        <f>MAX(M7:M18)</f>
        <v>21.3</v>
      </c>
      <c r="N19" s="423">
        <f>AVERAGE(N7:N18)</f>
        <v>0.34636363636363632</v>
      </c>
      <c r="O19" s="423">
        <f>MAX(O7:O18)</f>
        <v>2.9</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28" t="s">
        <v>437</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H9" sqref="H9"/>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row>
    <row r="3" spans="1:19" ht="15">
      <c r="A3" s="25" t="s">
        <v>452</v>
      </c>
      <c r="D3" s="32" t="s">
        <v>405</v>
      </c>
      <c r="G3" s="36" t="s">
        <v>406</v>
      </c>
      <c r="J3" s="6" t="str">
        <f>+A3</f>
        <v>Monitoring of Carbon Monoxide (half hourly)</v>
      </c>
      <c r="L3" s="6"/>
      <c r="N3" s="6" t="s">
        <v>407</v>
      </c>
      <c r="Q3" s="35" t="s">
        <v>2</v>
      </c>
      <c r="R3" s="30"/>
      <c r="S3" s="30"/>
    </row>
    <row r="4" spans="1:19" ht="13.9" customHeight="1">
      <c r="Q4" s="85" t="s">
        <v>408</v>
      </c>
      <c r="R4" s="85"/>
      <c r="S4" s="85"/>
    </row>
    <row r="5" spans="1:19" ht="17.25">
      <c r="A5" s="27" t="s">
        <v>409</v>
      </c>
      <c r="B5" s="413" t="s">
        <v>453</v>
      </c>
      <c r="C5" s="413"/>
      <c r="D5" s="413"/>
      <c r="E5" s="413" t="s">
        <v>411</v>
      </c>
      <c r="F5" s="413"/>
      <c r="G5" s="413"/>
      <c r="J5" s="414"/>
      <c r="K5" s="414"/>
      <c r="L5" s="414"/>
      <c r="M5" s="414"/>
      <c r="N5" s="414"/>
      <c r="O5" s="414"/>
      <c r="Q5" s="85"/>
      <c r="R5" s="85"/>
      <c r="S5" s="85"/>
    </row>
    <row r="6" spans="1:19" s="23" customFormat="1" ht="37.5" customHeight="1">
      <c r="A6" s="415">
        <f>+'Cover Page'!C39</f>
        <v>2022</v>
      </c>
      <c r="B6" s="416" t="s">
        <v>454</v>
      </c>
      <c r="C6" s="416" t="s">
        <v>455</v>
      </c>
      <c r="D6" s="416" t="s">
        <v>456</v>
      </c>
      <c r="E6" s="416" t="s">
        <v>457</v>
      </c>
      <c r="F6" s="416" t="s">
        <v>416</v>
      </c>
      <c r="G6" s="416" t="s">
        <v>417</v>
      </c>
      <c r="H6" s="24"/>
      <c r="J6" s="417">
        <f>+A6</f>
        <v>2022</v>
      </c>
      <c r="K6" s="417" t="s">
        <v>418</v>
      </c>
      <c r="L6" s="26" t="s">
        <v>455</v>
      </c>
      <c r="M6" s="26" t="s">
        <v>458</v>
      </c>
      <c r="N6" s="26" t="s">
        <v>416</v>
      </c>
      <c r="O6" s="26" t="s">
        <v>420</v>
      </c>
      <c r="Q6" s="85"/>
      <c r="R6" s="85"/>
      <c r="S6" s="85"/>
    </row>
    <row r="7" spans="1:19">
      <c r="A7" s="418" t="s">
        <v>421</v>
      </c>
      <c r="B7" s="419">
        <v>100</v>
      </c>
      <c r="C7" s="420">
        <f>L7</f>
        <v>5.6</v>
      </c>
      <c r="D7" s="420">
        <f>M7</f>
        <v>104.7</v>
      </c>
      <c r="E7" s="419">
        <v>50</v>
      </c>
      <c r="F7" s="420">
        <f>N7</f>
        <v>5.42</v>
      </c>
      <c r="G7" s="420">
        <f>O7</f>
        <v>27.1</v>
      </c>
      <c r="J7" s="421" t="s">
        <v>195</v>
      </c>
      <c r="K7" s="418" t="s">
        <v>421</v>
      </c>
      <c r="L7" s="50">
        <v>5.6</v>
      </c>
      <c r="M7" s="50">
        <v>104.7</v>
      </c>
      <c r="N7" s="50">
        <v>5.42</v>
      </c>
      <c r="O7" s="50">
        <v>27.1</v>
      </c>
      <c r="Q7" s="85"/>
      <c r="R7" s="85"/>
      <c r="S7" s="85"/>
    </row>
    <row r="8" spans="1:19">
      <c r="A8" s="418" t="s">
        <v>422</v>
      </c>
      <c r="B8" s="419">
        <f>+B7</f>
        <v>100</v>
      </c>
      <c r="C8" s="420">
        <f t="shared" ref="C8:C18" si="0">L8</f>
        <v>10.6</v>
      </c>
      <c r="D8" s="420">
        <f t="shared" ref="D8:D18" si="1">M8</f>
        <v>47</v>
      </c>
      <c r="E8" s="419">
        <f>+E7</f>
        <v>50</v>
      </c>
      <c r="F8" s="420">
        <f t="shared" ref="F8:F18" si="2">N8</f>
        <v>10.81</v>
      </c>
      <c r="G8" s="420">
        <f t="shared" ref="G8:G18" si="3">O8</f>
        <v>17.100000000000001</v>
      </c>
      <c r="J8" s="421"/>
      <c r="K8" s="418" t="s">
        <v>422</v>
      </c>
      <c r="L8" s="51">
        <v>10.6</v>
      </c>
      <c r="M8" s="51">
        <v>47</v>
      </c>
      <c r="N8" s="51">
        <v>10.81</v>
      </c>
      <c r="O8" s="51">
        <v>17.100000000000001</v>
      </c>
      <c r="Q8" s="85"/>
      <c r="R8" s="85"/>
      <c r="S8" s="85"/>
    </row>
    <row r="9" spans="1:19" ht="15">
      <c r="A9" s="418" t="s">
        <v>423</v>
      </c>
      <c r="B9" s="419">
        <f t="shared" ref="B9:B18" si="4">+B8</f>
        <v>100</v>
      </c>
      <c r="C9" s="420">
        <f t="shared" si="0"/>
        <v>12.9</v>
      </c>
      <c r="D9" s="420">
        <f t="shared" si="1"/>
        <v>186.1</v>
      </c>
      <c r="E9" s="419">
        <f t="shared" ref="E9:E18" si="5">+E8</f>
        <v>50</v>
      </c>
      <c r="F9" s="420">
        <f t="shared" si="2"/>
        <v>13.39</v>
      </c>
      <c r="G9" s="420">
        <f t="shared" si="3"/>
        <v>31.6</v>
      </c>
      <c r="J9" s="421"/>
      <c r="K9" s="418" t="s">
        <v>423</v>
      </c>
      <c r="L9" s="51">
        <v>12.9</v>
      </c>
      <c r="M9" s="51">
        <v>186.1</v>
      </c>
      <c r="N9" s="51">
        <v>13.39</v>
      </c>
      <c r="O9" s="51">
        <v>31.6</v>
      </c>
      <c r="Q9" s="34" t="s">
        <v>424</v>
      </c>
    </row>
    <row r="10" spans="1:19" ht="14.25" customHeight="1">
      <c r="A10" s="418" t="s">
        <v>425</v>
      </c>
      <c r="B10" s="419">
        <f t="shared" si="4"/>
        <v>100</v>
      </c>
      <c r="C10" s="420">
        <f t="shared" si="0"/>
        <v>21.1</v>
      </c>
      <c r="D10" s="420">
        <f t="shared" si="1"/>
        <v>56.6</v>
      </c>
      <c r="E10" s="419">
        <f t="shared" si="5"/>
        <v>50</v>
      </c>
      <c r="F10" s="420">
        <f t="shared" si="2"/>
        <v>15.85</v>
      </c>
      <c r="G10" s="420">
        <f t="shared" si="3"/>
        <v>22.5</v>
      </c>
      <c r="J10" s="421"/>
      <c r="K10" s="418" t="s">
        <v>425</v>
      </c>
      <c r="L10" s="51">
        <v>21.1</v>
      </c>
      <c r="M10" s="51">
        <v>56.6</v>
      </c>
      <c r="N10" s="51">
        <v>15.85</v>
      </c>
      <c r="O10" s="51">
        <v>22.5</v>
      </c>
      <c r="Q10" s="87" t="s">
        <v>426</v>
      </c>
      <c r="R10" s="87"/>
      <c r="S10" s="87"/>
    </row>
    <row r="11" spans="1:19">
      <c r="A11" s="418" t="s">
        <v>427</v>
      </c>
      <c r="B11" s="419">
        <f t="shared" si="4"/>
        <v>100</v>
      </c>
      <c r="C11" s="420">
        <f t="shared" si="0"/>
        <v>5.0999999999999996</v>
      </c>
      <c r="D11" s="420">
        <f t="shared" si="1"/>
        <v>52</v>
      </c>
      <c r="E11" s="419">
        <f t="shared" si="5"/>
        <v>50</v>
      </c>
      <c r="F11" s="420">
        <f t="shared" si="2"/>
        <v>5.24</v>
      </c>
      <c r="G11" s="420">
        <f t="shared" si="3"/>
        <v>13.1</v>
      </c>
      <c r="J11" s="421"/>
      <c r="K11" s="418" t="s">
        <v>427</v>
      </c>
      <c r="L11" s="51">
        <v>5.0999999999999996</v>
      </c>
      <c r="M11" s="51">
        <v>52</v>
      </c>
      <c r="N11" s="51">
        <v>5.24</v>
      </c>
      <c r="O11" s="51">
        <v>13.1</v>
      </c>
      <c r="Q11" s="87"/>
      <c r="R11" s="87"/>
      <c r="S11" s="87"/>
    </row>
    <row r="12" spans="1:19">
      <c r="A12" s="418" t="s">
        <v>428</v>
      </c>
      <c r="B12" s="419">
        <f t="shared" si="4"/>
        <v>100</v>
      </c>
      <c r="C12" s="420">
        <f t="shared" si="0"/>
        <v>1.7</v>
      </c>
      <c r="D12" s="420">
        <f t="shared" si="1"/>
        <v>80.8</v>
      </c>
      <c r="E12" s="419">
        <f t="shared" si="5"/>
        <v>50</v>
      </c>
      <c r="F12" s="420">
        <f t="shared" si="2"/>
        <v>0.68</v>
      </c>
      <c r="G12" s="420">
        <f t="shared" si="3"/>
        <v>1.9</v>
      </c>
      <c r="J12" s="421"/>
      <c r="K12" s="418" t="s">
        <v>428</v>
      </c>
      <c r="L12" s="51">
        <v>1.7</v>
      </c>
      <c r="M12" s="51">
        <v>80.8</v>
      </c>
      <c r="N12" s="51">
        <v>0.68</v>
      </c>
      <c r="O12" s="51">
        <v>1.9</v>
      </c>
      <c r="Q12" s="87"/>
      <c r="R12" s="87"/>
      <c r="S12" s="87"/>
    </row>
    <row r="13" spans="1:19" ht="14.25" customHeight="1">
      <c r="A13" s="418" t="s">
        <v>429</v>
      </c>
      <c r="B13" s="419">
        <f t="shared" si="4"/>
        <v>100</v>
      </c>
      <c r="C13" s="420">
        <f t="shared" si="0"/>
        <v>8.1</v>
      </c>
      <c r="D13" s="420">
        <f t="shared" si="1"/>
        <v>149.19999999999999</v>
      </c>
      <c r="E13" s="419">
        <f t="shared" si="5"/>
        <v>50</v>
      </c>
      <c r="F13" s="420">
        <f t="shared" si="2"/>
        <v>7.87</v>
      </c>
      <c r="G13" s="420">
        <f t="shared" si="3"/>
        <v>36</v>
      </c>
      <c r="J13" s="421"/>
      <c r="K13" s="418" t="s">
        <v>429</v>
      </c>
      <c r="L13" s="51">
        <v>8.1</v>
      </c>
      <c r="M13" s="51">
        <v>149.19999999999999</v>
      </c>
      <c r="N13" s="51">
        <v>7.87</v>
      </c>
      <c r="O13" s="51">
        <v>36</v>
      </c>
      <c r="Q13" s="87" t="s">
        <v>430</v>
      </c>
      <c r="R13" s="87"/>
      <c r="S13" s="87"/>
    </row>
    <row r="14" spans="1:19">
      <c r="A14" s="418" t="s">
        <v>431</v>
      </c>
      <c r="B14" s="419">
        <f t="shared" si="4"/>
        <v>100</v>
      </c>
      <c r="C14" s="420">
        <f t="shared" si="0"/>
        <v>7</v>
      </c>
      <c r="D14" s="420">
        <f t="shared" si="1"/>
        <v>80.8</v>
      </c>
      <c r="E14" s="419">
        <f t="shared" si="5"/>
        <v>50</v>
      </c>
      <c r="F14" s="420">
        <f t="shared" si="2"/>
        <v>7.33</v>
      </c>
      <c r="G14" s="420">
        <f t="shared" si="3"/>
        <v>17.2</v>
      </c>
      <c r="J14" s="421"/>
      <c r="K14" s="418" t="s">
        <v>431</v>
      </c>
      <c r="L14" s="51">
        <v>7</v>
      </c>
      <c r="M14" s="51">
        <v>80.8</v>
      </c>
      <c r="N14" s="51">
        <v>7.33</v>
      </c>
      <c r="O14" s="51">
        <v>17.2</v>
      </c>
      <c r="Q14" s="87"/>
      <c r="R14" s="87"/>
      <c r="S14" s="87"/>
    </row>
    <row r="15" spans="1:19">
      <c r="A15" s="418" t="s">
        <v>432</v>
      </c>
      <c r="B15" s="419">
        <f t="shared" si="4"/>
        <v>100</v>
      </c>
      <c r="C15" s="420">
        <f t="shared" si="0"/>
        <v>2.2000000000000002</v>
      </c>
      <c r="D15" s="420">
        <f t="shared" si="1"/>
        <v>15.3</v>
      </c>
      <c r="E15" s="419">
        <f t="shared" si="5"/>
        <v>50</v>
      </c>
      <c r="F15" s="420">
        <f t="shared" si="2"/>
        <v>1.78</v>
      </c>
      <c r="G15" s="420">
        <f t="shared" si="3"/>
        <v>4.7</v>
      </c>
      <c r="J15" s="421"/>
      <c r="K15" s="418" t="s">
        <v>432</v>
      </c>
      <c r="L15" s="51">
        <v>2.2000000000000002</v>
      </c>
      <c r="M15" s="51">
        <v>15.3</v>
      </c>
      <c r="N15" s="51">
        <v>1.78</v>
      </c>
      <c r="O15" s="51">
        <v>4.7</v>
      </c>
      <c r="Q15" s="87"/>
      <c r="R15" s="87"/>
      <c r="S15" s="87"/>
    </row>
    <row r="16" spans="1:19">
      <c r="A16" s="418" t="s">
        <v>433</v>
      </c>
      <c r="B16" s="419">
        <f t="shared" si="4"/>
        <v>100</v>
      </c>
      <c r="C16" s="420">
        <f t="shared" si="0"/>
        <v>1.8</v>
      </c>
      <c r="D16" s="420">
        <f t="shared" si="1"/>
        <v>13.1</v>
      </c>
      <c r="E16" s="419">
        <f t="shared" si="5"/>
        <v>50</v>
      </c>
      <c r="F16" s="420">
        <f t="shared" si="2"/>
        <v>1.97</v>
      </c>
      <c r="G16" s="420">
        <f t="shared" si="3"/>
        <v>2.8</v>
      </c>
      <c r="J16" s="421"/>
      <c r="K16" s="418" t="s">
        <v>433</v>
      </c>
      <c r="L16" s="420">
        <v>1.8</v>
      </c>
      <c r="M16" s="420">
        <v>13.1</v>
      </c>
      <c r="N16" s="420">
        <v>1.97</v>
      </c>
      <c r="O16" s="420">
        <v>2.8</v>
      </c>
      <c r="Q16" s="87"/>
      <c r="R16" s="87"/>
      <c r="S16" s="87"/>
    </row>
    <row r="17" spans="1:15">
      <c r="A17" s="418" t="s">
        <v>434</v>
      </c>
      <c r="B17" s="419">
        <f t="shared" si="4"/>
        <v>100</v>
      </c>
      <c r="C17" s="420">
        <f t="shared" si="0"/>
        <v>2.5</v>
      </c>
      <c r="D17" s="420">
        <f t="shared" si="1"/>
        <v>20.399999999999999</v>
      </c>
      <c r="E17" s="419">
        <f t="shared" si="5"/>
        <v>50</v>
      </c>
      <c r="F17" s="420">
        <f t="shared" si="2"/>
        <v>1.37</v>
      </c>
      <c r="G17" s="420">
        <f t="shared" si="3"/>
        <v>1.7</v>
      </c>
      <c r="J17" s="421"/>
      <c r="K17" s="418" t="s">
        <v>434</v>
      </c>
      <c r="L17" s="420">
        <v>2.5</v>
      </c>
      <c r="M17" s="420">
        <v>20.399999999999999</v>
      </c>
      <c r="N17" s="420">
        <v>1.37</v>
      </c>
      <c r="O17" s="420">
        <v>1.7</v>
      </c>
    </row>
    <row r="18" spans="1:15">
      <c r="A18" s="418" t="s">
        <v>435</v>
      </c>
      <c r="B18" s="419">
        <f t="shared" si="4"/>
        <v>100</v>
      </c>
      <c r="C18" s="420" t="str">
        <f t="shared" si="0"/>
        <v>-</v>
      </c>
      <c r="D18" s="420" t="str">
        <f t="shared" si="1"/>
        <v>-</v>
      </c>
      <c r="E18" s="419">
        <f t="shared" si="5"/>
        <v>50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7.1454545454545464</v>
      </c>
      <c r="M19" s="423">
        <f>MAX(M7:M18)</f>
        <v>186.1</v>
      </c>
      <c r="N19" s="423">
        <f>AVERAGE(N7:N18)</f>
        <v>6.5190909090909095</v>
      </c>
      <c r="O19" s="423">
        <f>MAX(O7:O18)</f>
        <v>36</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36" t="s">
        <v>459</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4.25"/>
  <cols>
    <col min="1" max="1" width="14" style="3" customWidth="1"/>
    <col min="2" max="2" width="12.7109375" style="15" customWidth="1"/>
    <col min="3" max="3" width="15.28515625" style="15" customWidth="1"/>
    <col min="4" max="4" width="17.7109375" style="15" customWidth="1"/>
    <col min="5" max="5" width="14.7109375" style="15" customWidth="1"/>
    <col min="6" max="6" width="11.5703125" style="15" customWidth="1"/>
    <col min="7" max="7" width="15" style="15" customWidth="1"/>
    <col min="8" max="8" width="14.7109375" style="1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42" t="str">
        <f>+'Cover Page'!$B$29</f>
        <v>Annual Performance Report 2022</v>
      </c>
      <c r="B1" s="42"/>
      <c r="C1" s="42"/>
      <c r="D1" s="42"/>
      <c r="E1" s="42" t="str">
        <f>+'Cover Page'!$B$33</f>
        <v>Energy Works Hull</v>
      </c>
    </row>
    <row r="3" spans="1:21" ht="15">
      <c r="A3" s="25" t="s">
        <v>460</v>
      </c>
      <c r="E3" s="32" t="s">
        <v>405</v>
      </c>
      <c r="H3" s="36" t="s">
        <v>461</v>
      </c>
      <c r="J3" s="6" t="str">
        <f>+A3</f>
        <v>Monitoring of Carbon Monoxide (10-minute avg)</v>
      </c>
      <c r="L3" s="6"/>
      <c r="O3" s="6" t="s">
        <v>407</v>
      </c>
      <c r="Q3" s="33" t="s">
        <v>2</v>
      </c>
      <c r="S3" s="35" t="s">
        <v>2</v>
      </c>
      <c r="T3" s="30"/>
      <c r="U3" s="30"/>
    </row>
    <row r="4" spans="1:21" ht="13.9" customHeight="1">
      <c r="S4" s="85" t="s">
        <v>462</v>
      </c>
      <c r="T4" s="85"/>
      <c r="U4" s="85"/>
    </row>
    <row r="5" spans="1:21" ht="17.25">
      <c r="A5" s="27" t="s">
        <v>409</v>
      </c>
      <c r="B5" s="413" t="s">
        <v>463</v>
      </c>
      <c r="C5" s="413"/>
      <c r="D5" s="413"/>
      <c r="E5" s="413"/>
      <c r="F5" s="413" t="s">
        <v>411</v>
      </c>
      <c r="G5" s="413"/>
      <c r="H5" s="413"/>
      <c r="K5" s="414"/>
      <c r="L5" s="414"/>
      <c r="M5" s="414"/>
      <c r="N5" s="414"/>
      <c r="O5" s="414"/>
      <c r="P5" s="414"/>
      <c r="Q5" s="414"/>
      <c r="S5" s="85"/>
      <c r="T5" s="85"/>
      <c r="U5" s="85"/>
    </row>
    <row r="6" spans="1:21" s="23" customFormat="1" ht="37.5" customHeight="1">
      <c r="A6" s="415">
        <f>+'Cover Page'!C39</f>
        <v>2022</v>
      </c>
      <c r="B6" s="416" t="s">
        <v>464</v>
      </c>
      <c r="C6" s="416" t="s">
        <v>465</v>
      </c>
      <c r="D6" s="416" t="s">
        <v>466</v>
      </c>
      <c r="E6" s="416" t="s">
        <v>467</v>
      </c>
      <c r="F6" s="416" t="s">
        <v>457</v>
      </c>
      <c r="G6" s="416" t="s">
        <v>416</v>
      </c>
      <c r="H6" s="416" t="s">
        <v>417</v>
      </c>
      <c r="I6" s="24"/>
      <c r="K6" s="417">
        <f>+A6</f>
        <v>2022</v>
      </c>
      <c r="L6" s="417" t="s">
        <v>418</v>
      </c>
      <c r="M6" s="416" t="s">
        <v>465</v>
      </c>
      <c r="N6" s="416" t="s">
        <v>466</v>
      </c>
      <c r="O6" s="416" t="s">
        <v>467</v>
      </c>
      <c r="P6" s="26" t="s">
        <v>416</v>
      </c>
      <c r="Q6" s="26" t="s">
        <v>420</v>
      </c>
      <c r="S6" s="85"/>
      <c r="T6" s="85"/>
      <c r="U6" s="85"/>
    </row>
    <row r="7" spans="1:21">
      <c r="A7" s="418" t="s">
        <v>421</v>
      </c>
      <c r="B7" s="437">
        <v>150</v>
      </c>
      <c r="C7" s="424"/>
      <c r="D7" s="424"/>
      <c r="E7" s="424"/>
      <c r="F7" s="437">
        <v>50</v>
      </c>
      <c r="G7" s="424"/>
      <c r="H7" s="424"/>
      <c r="K7" s="421" t="s">
        <v>195</v>
      </c>
      <c r="L7" s="418" t="s">
        <v>421</v>
      </c>
      <c r="M7" s="424"/>
      <c r="N7" s="424"/>
      <c r="O7" s="424"/>
      <c r="P7" s="424"/>
      <c r="Q7" s="424"/>
      <c r="S7" s="85"/>
      <c r="T7" s="85"/>
      <c r="U7" s="85"/>
    </row>
    <row r="8" spans="1:21">
      <c r="A8" s="418" t="s">
        <v>422</v>
      </c>
      <c r="B8" s="419">
        <f>+B7</f>
        <v>150</v>
      </c>
      <c r="C8" s="424"/>
      <c r="D8" s="424"/>
      <c r="E8" s="424"/>
      <c r="F8" s="419">
        <f>+F7</f>
        <v>50</v>
      </c>
      <c r="G8" s="424"/>
      <c r="H8" s="424"/>
      <c r="K8" s="421"/>
      <c r="L8" s="418" t="s">
        <v>422</v>
      </c>
      <c r="M8" s="424"/>
      <c r="N8" s="424"/>
      <c r="O8" s="424"/>
      <c r="P8" s="424"/>
      <c r="Q8" s="424"/>
      <c r="S8" s="85"/>
      <c r="T8" s="85"/>
      <c r="U8" s="85"/>
    </row>
    <row r="9" spans="1:21" ht="15">
      <c r="A9" s="418" t="s">
        <v>423</v>
      </c>
      <c r="B9" s="419">
        <f t="shared" ref="B9:B18" si="0">+B8</f>
        <v>150</v>
      </c>
      <c r="C9" s="424"/>
      <c r="D9" s="424"/>
      <c r="E9" s="424"/>
      <c r="F9" s="419">
        <f t="shared" ref="F9:F18" si="1">+F8</f>
        <v>50</v>
      </c>
      <c r="G9" s="424"/>
      <c r="H9" s="424"/>
      <c r="K9" s="421"/>
      <c r="L9" s="418" t="s">
        <v>423</v>
      </c>
      <c r="M9" s="424"/>
      <c r="N9" s="424"/>
      <c r="O9" s="424"/>
      <c r="P9" s="424"/>
      <c r="Q9" s="424"/>
      <c r="S9" s="34" t="s">
        <v>468</v>
      </c>
    </row>
    <row r="10" spans="1:21">
      <c r="A10" s="418" t="s">
        <v>425</v>
      </c>
      <c r="B10" s="419">
        <f t="shared" si="0"/>
        <v>150</v>
      </c>
      <c r="C10" s="424"/>
      <c r="D10" s="424"/>
      <c r="E10" s="424"/>
      <c r="F10" s="419">
        <f t="shared" si="1"/>
        <v>50</v>
      </c>
      <c r="G10" s="424"/>
      <c r="H10" s="424"/>
      <c r="K10" s="421"/>
      <c r="L10" s="418" t="s">
        <v>425</v>
      </c>
      <c r="M10" s="424"/>
      <c r="N10" s="424"/>
      <c r="O10" s="424"/>
      <c r="P10" s="424"/>
      <c r="Q10" s="424"/>
      <c r="S10" s="87" t="s">
        <v>469</v>
      </c>
      <c r="T10" s="87"/>
      <c r="U10" s="87"/>
    </row>
    <row r="11" spans="1:21">
      <c r="A11" s="418" t="s">
        <v>427</v>
      </c>
      <c r="B11" s="419">
        <f t="shared" si="0"/>
        <v>150</v>
      </c>
      <c r="C11" s="424"/>
      <c r="D11" s="424"/>
      <c r="E11" s="424"/>
      <c r="F11" s="419">
        <f t="shared" si="1"/>
        <v>50</v>
      </c>
      <c r="G11" s="424"/>
      <c r="H11" s="424"/>
      <c r="K11" s="421"/>
      <c r="L11" s="418" t="s">
        <v>427</v>
      </c>
      <c r="M11" s="424"/>
      <c r="N11" s="424"/>
      <c r="O11" s="424"/>
      <c r="P11" s="424"/>
      <c r="Q11" s="424"/>
      <c r="S11" s="87"/>
      <c r="T11" s="87"/>
      <c r="U11" s="87"/>
    </row>
    <row r="12" spans="1:21">
      <c r="A12" s="418" t="s">
        <v>428</v>
      </c>
      <c r="B12" s="419">
        <f t="shared" si="0"/>
        <v>150</v>
      </c>
      <c r="C12" s="424"/>
      <c r="D12" s="424"/>
      <c r="E12" s="424"/>
      <c r="F12" s="419">
        <f t="shared" si="1"/>
        <v>50</v>
      </c>
      <c r="G12" s="424"/>
      <c r="H12" s="424"/>
      <c r="K12" s="421"/>
      <c r="L12" s="418" t="s">
        <v>428</v>
      </c>
      <c r="M12" s="424"/>
      <c r="N12" s="424"/>
      <c r="O12" s="424"/>
      <c r="P12" s="424"/>
      <c r="Q12" s="424"/>
      <c r="S12" s="87"/>
      <c r="T12" s="87"/>
      <c r="U12" s="87"/>
    </row>
    <row r="13" spans="1:21">
      <c r="A13" s="418" t="s">
        <v>429</v>
      </c>
      <c r="B13" s="419">
        <f t="shared" si="0"/>
        <v>150</v>
      </c>
      <c r="C13" s="424"/>
      <c r="D13" s="424"/>
      <c r="E13" s="424"/>
      <c r="F13" s="419">
        <f t="shared" si="1"/>
        <v>50</v>
      </c>
      <c r="G13" s="424"/>
      <c r="H13" s="424"/>
      <c r="K13" s="421"/>
      <c r="L13" s="418" t="s">
        <v>429</v>
      </c>
      <c r="M13" s="424"/>
      <c r="N13" s="424"/>
      <c r="O13" s="424"/>
      <c r="P13" s="424"/>
      <c r="Q13" s="424"/>
      <c r="S13" s="87" t="s">
        <v>470</v>
      </c>
      <c r="T13" s="87"/>
      <c r="U13" s="87"/>
    </row>
    <row r="14" spans="1:21">
      <c r="A14" s="418" t="s">
        <v>431</v>
      </c>
      <c r="B14" s="419">
        <f t="shared" si="0"/>
        <v>150</v>
      </c>
      <c r="C14" s="424"/>
      <c r="D14" s="424"/>
      <c r="E14" s="424"/>
      <c r="F14" s="419">
        <f t="shared" si="1"/>
        <v>50</v>
      </c>
      <c r="G14" s="424"/>
      <c r="H14" s="424"/>
      <c r="K14" s="421"/>
      <c r="L14" s="418" t="s">
        <v>431</v>
      </c>
      <c r="M14" s="424"/>
      <c r="N14" s="424"/>
      <c r="O14" s="424"/>
      <c r="P14" s="424"/>
      <c r="Q14" s="424"/>
      <c r="S14" s="87"/>
      <c r="T14" s="87"/>
      <c r="U14" s="87"/>
    </row>
    <row r="15" spans="1:21">
      <c r="A15" s="418" t="s">
        <v>432</v>
      </c>
      <c r="B15" s="419">
        <f t="shared" si="0"/>
        <v>150</v>
      </c>
      <c r="C15" s="424"/>
      <c r="D15" s="424"/>
      <c r="E15" s="424"/>
      <c r="F15" s="419">
        <f t="shared" si="1"/>
        <v>50</v>
      </c>
      <c r="G15" s="424"/>
      <c r="H15" s="424"/>
      <c r="K15" s="421"/>
      <c r="L15" s="418" t="s">
        <v>432</v>
      </c>
      <c r="M15" s="424"/>
      <c r="N15" s="424"/>
      <c r="O15" s="424"/>
      <c r="P15" s="424"/>
      <c r="Q15" s="424"/>
      <c r="S15" s="87"/>
      <c r="T15" s="87"/>
      <c r="U15" s="87"/>
    </row>
    <row r="16" spans="1:21">
      <c r="A16" s="418" t="s">
        <v>433</v>
      </c>
      <c r="B16" s="419">
        <f t="shared" si="0"/>
        <v>150</v>
      </c>
      <c r="C16" s="424"/>
      <c r="D16" s="424"/>
      <c r="E16" s="424"/>
      <c r="F16" s="419">
        <f t="shared" si="1"/>
        <v>50</v>
      </c>
      <c r="G16" s="424"/>
      <c r="H16" s="424"/>
      <c r="K16" s="421"/>
      <c r="L16" s="418" t="s">
        <v>433</v>
      </c>
      <c r="M16" s="424"/>
      <c r="N16" s="424"/>
      <c r="O16" s="424"/>
      <c r="P16" s="424"/>
      <c r="Q16" s="424"/>
      <c r="S16" s="87"/>
      <c r="T16" s="87"/>
      <c r="U16" s="87"/>
    </row>
    <row r="17" spans="1:17">
      <c r="A17" s="418" t="s">
        <v>434</v>
      </c>
      <c r="B17" s="419">
        <f t="shared" si="0"/>
        <v>150</v>
      </c>
      <c r="C17" s="424"/>
      <c r="D17" s="424"/>
      <c r="E17" s="424"/>
      <c r="F17" s="419">
        <f t="shared" si="1"/>
        <v>50</v>
      </c>
      <c r="G17" s="424"/>
      <c r="H17" s="424"/>
      <c r="K17" s="421"/>
      <c r="L17" s="418" t="s">
        <v>434</v>
      </c>
      <c r="M17" s="424"/>
      <c r="N17" s="424"/>
      <c r="O17" s="424"/>
      <c r="P17" s="424"/>
      <c r="Q17" s="424"/>
    </row>
    <row r="18" spans="1:17">
      <c r="A18" s="418" t="s">
        <v>435</v>
      </c>
      <c r="B18" s="419">
        <f t="shared" si="0"/>
        <v>150</v>
      </c>
      <c r="C18" s="424"/>
      <c r="D18" s="424"/>
      <c r="E18" s="424"/>
      <c r="F18" s="419">
        <f t="shared" si="1"/>
        <v>50</v>
      </c>
      <c r="G18" s="424"/>
      <c r="H18" s="424"/>
      <c r="K18" s="421"/>
      <c r="L18" s="418" t="s">
        <v>435</v>
      </c>
      <c r="M18" s="424"/>
      <c r="N18" s="424"/>
      <c r="O18" s="424"/>
      <c r="P18" s="424"/>
      <c r="Q18" s="424"/>
    </row>
    <row r="19" spans="1:17">
      <c r="K19" s="421"/>
      <c r="L19" s="422" t="s">
        <v>436</v>
      </c>
      <c r="M19" s="422" t="e">
        <f>AVERAGE(M7:M18)</f>
        <v>#DIV/0!</v>
      </c>
      <c r="N19" s="422"/>
      <c r="O19" s="422">
        <f>MAX(O7:O18)</f>
        <v>0</v>
      </c>
      <c r="P19" s="422" t="e">
        <f>AVERAGE(P7:P18)</f>
        <v>#DIV/0!</v>
      </c>
      <c r="Q19" s="422">
        <f>MAX(Q7:Q18)</f>
        <v>0</v>
      </c>
    </row>
    <row r="21" spans="1:17" ht="30">
      <c r="K21" s="417">
        <f>+A6</f>
        <v>2022</v>
      </c>
      <c r="L21" s="417" t="s">
        <v>418</v>
      </c>
      <c r="M21" s="416" t="s">
        <v>465</v>
      </c>
      <c r="N21" s="416" t="s">
        <v>466</v>
      </c>
      <c r="O21" s="416" t="s">
        <v>467</v>
      </c>
      <c r="P21" s="26" t="s">
        <v>416</v>
      </c>
      <c r="Q21" s="26" t="s">
        <v>420</v>
      </c>
    </row>
    <row r="22" spans="1:17">
      <c r="K22" s="421" t="s">
        <v>196</v>
      </c>
      <c r="L22" s="418" t="s">
        <v>421</v>
      </c>
      <c r="M22" s="424"/>
      <c r="N22" s="424"/>
      <c r="O22" s="424"/>
      <c r="P22" s="424"/>
      <c r="Q22" s="424"/>
    </row>
    <row r="23" spans="1:17">
      <c r="K23" s="421"/>
      <c r="L23" s="418" t="s">
        <v>422</v>
      </c>
      <c r="M23" s="424"/>
      <c r="N23" s="424"/>
      <c r="O23" s="424"/>
      <c r="P23" s="424"/>
      <c r="Q23" s="424"/>
    </row>
    <row r="24" spans="1:17">
      <c r="K24" s="421"/>
      <c r="L24" s="418" t="s">
        <v>423</v>
      </c>
      <c r="M24" s="424"/>
      <c r="N24" s="424"/>
      <c r="O24" s="424"/>
      <c r="P24" s="424"/>
      <c r="Q24" s="424"/>
    </row>
    <row r="25" spans="1:17">
      <c r="K25" s="421"/>
      <c r="L25" s="418" t="s">
        <v>425</v>
      </c>
      <c r="M25" s="424"/>
      <c r="N25" s="424"/>
      <c r="O25" s="424"/>
      <c r="P25" s="424"/>
      <c r="Q25" s="424"/>
    </row>
    <row r="26" spans="1:17">
      <c r="K26" s="421"/>
      <c r="L26" s="418" t="s">
        <v>427</v>
      </c>
      <c r="M26" s="424"/>
      <c r="N26" s="424"/>
      <c r="O26" s="424"/>
      <c r="P26" s="424"/>
      <c r="Q26" s="424"/>
    </row>
    <row r="27" spans="1:17">
      <c r="K27" s="421"/>
      <c r="L27" s="418" t="s">
        <v>428</v>
      </c>
      <c r="M27" s="424"/>
      <c r="N27" s="424"/>
      <c r="O27" s="424"/>
      <c r="P27" s="424"/>
      <c r="Q27" s="424"/>
    </row>
    <row r="28" spans="1:17">
      <c r="K28" s="421"/>
      <c r="L28" s="418" t="s">
        <v>429</v>
      </c>
      <c r="M28" s="424"/>
      <c r="N28" s="424"/>
      <c r="O28" s="424"/>
      <c r="P28" s="424"/>
      <c r="Q28" s="424"/>
    </row>
    <row r="29" spans="1:17">
      <c r="K29" s="421"/>
      <c r="L29" s="418" t="s">
        <v>431</v>
      </c>
      <c r="M29" s="424"/>
      <c r="N29" s="424"/>
      <c r="O29" s="424"/>
      <c r="P29" s="424"/>
      <c r="Q29" s="424"/>
    </row>
    <row r="30" spans="1:17">
      <c r="K30" s="421"/>
      <c r="L30" s="418" t="s">
        <v>432</v>
      </c>
      <c r="M30" s="424"/>
      <c r="N30" s="424"/>
      <c r="O30" s="424"/>
      <c r="P30" s="424"/>
      <c r="Q30" s="424"/>
    </row>
    <row r="31" spans="1:17">
      <c r="K31" s="421"/>
      <c r="L31" s="418" t="s">
        <v>433</v>
      </c>
      <c r="M31" s="424"/>
      <c r="N31" s="424"/>
      <c r="O31" s="424"/>
      <c r="P31" s="424"/>
      <c r="Q31" s="424"/>
    </row>
    <row r="32" spans="1:17">
      <c r="K32" s="421"/>
      <c r="L32" s="418" t="s">
        <v>434</v>
      </c>
      <c r="M32" s="424"/>
      <c r="N32" s="424"/>
      <c r="O32" s="424"/>
      <c r="P32" s="424"/>
      <c r="Q32" s="424"/>
    </row>
    <row r="33" spans="1:17">
      <c r="K33" s="421"/>
      <c r="L33" s="418" t="s">
        <v>435</v>
      </c>
      <c r="M33" s="424"/>
      <c r="N33" s="424"/>
      <c r="O33" s="424"/>
      <c r="P33" s="424"/>
      <c r="Q33" s="424"/>
    </row>
    <row r="34" spans="1:17">
      <c r="K34" s="421"/>
      <c r="L34" s="422" t="s">
        <v>436</v>
      </c>
      <c r="M34" s="422" t="e">
        <f>AVERAGE(M22:M33)</f>
        <v>#DIV/0!</v>
      </c>
      <c r="N34" s="422"/>
      <c r="O34" s="422">
        <f>MAX(O22:O33)</f>
        <v>0</v>
      </c>
      <c r="P34" s="422" t="e">
        <f>AVERAGE(P22:P33)</f>
        <v>#DIV/0!</v>
      </c>
      <c r="Q34" s="422">
        <f>MAX(Q22:Q33)</f>
        <v>0</v>
      </c>
    </row>
    <row r="36" spans="1:17" ht="30">
      <c r="K36" s="417">
        <f>+A6</f>
        <v>2022</v>
      </c>
      <c r="L36" s="417" t="s">
        <v>418</v>
      </c>
      <c r="M36" s="416" t="s">
        <v>465</v>
      </c>
      <c r="N36" s="416" t="s">
        <v>466</v>
      </c>
      <c r="O36" s="416" t="s">
        <v>467</v>
      </c>
      <c r="P36" s="26" t="s">
        <v>416</v>
      </c>
      <c r="Q36" s="26" t="s">
        <v>420</v>
      </c>
    </row>
    <row r="37" spans="1:17">
      <c r="K37" s="421" t="s">
        <v>197</v>
      </c>
      <c r="L37" s="418" t="s">
        <v>421</v>
      </c>
      <c r="M37" s="424"/>
      <c r="N37" s="424"/>
      <c r="O37" s="424"/>
      <c r="P37" s="424"/>
      <c r="Q37" s="424"/>
    </row>
    <row r="38" spans="1:17">
      <c r="K38" s="421"/>
      <c r="L38" s="418" t="s">
        <v>422</v>
      </c>
      <c r="M38" s="424"/>
      <c r="N38" s="424"/>
      <c r="O38" s="424"/>
      <c r="P38" s="424"/>
      <c r="Q38" s="424"/>
    </row>
    <row r="39" spans="1:17">
      <c r="K39" s="421"/>
      <c r="L39" s="418" t="s">
        <v>423</v>
      </c>
      <c r="M39" s="424"/>
      <c r="N39" s="424"/>
      <c r="O39" s="424"/>
      <c r="P39" s="424"/>
      <c r="Q39" s="424"/>
    </row>
    <row r="40" spans="1:17">
      <c r="K40" s="421"/>
      <c r="L40" s="418" t="s">
        <v>425</v>
      </c>
      <c r="M40" s="424"/>
      <c r="N40" s="424"/>
      <c r="O40" s="424"/>
      <c r="P40" s="424"/>
      <c r="Q40" s="424"/>
    </row>
    <row r="41" spans="1:17">
      <c r="K41" s="421"/>
      <c r="L41" s="418" t="s">
        <v>427</v>
      </c>
      <c r="M41" s="424"/>
      <c r="N41" s="424"/>
      <c r="O41" s="424"/>
      <c r="P41" s="424"/>
      <c r="Q41" s="424"/>
    </row>
    <row r="42" spans="1:17">
      <c r="K42" s="421"/>
      <c r="L42" s="418" t="s">
        <v>428</v>
      </c>
      <c r="M42" s="424"/>
      <c r="N42" s="424"/>
      <c r="O42" s="424"/>
      <c r="P42" s="424"/>
      <c r="Q42" s="424"/>
    </row>
    <row r="43" spans="1:17">
      <c r="K43" s="421"/>
      <c r="L43" s="418" t="s">
        <v>429</v>
      </c>
      <c r="M43" s="424"/>
      <c r="N43" s="424"/>
      <c r="O43" s="424"/>
      <c r="P43" s="424"/>
      <c r="Q43" s="424"/>
    </row>
    <row r="44" spans="1:17">
      <c r="K44" s="421"/>
      <c r="L44" s="418" t="s">
        <v>431</v>
      </c>
      <c r="M44" s="424"/>
      <c r="N44" s="424"/>
      <c r="O44" s="424"/>
      <c r="P44" s="424"/>
      <c r="Q44" s="424"/>
    </row>
    <row r="45" spans="1:17">
      <c r="K45" s="421"/>
      <c r="L45" s="418" t="s">
        <v>432</v>
      </c>
      <c r="M45" s="424"/>
      <c r="N45" s="424"/>
      <c r="O45" s="424"/>
      <c r="P45" s="424"/>
      <c r="Q45" s="424"/>
    </row>
    <row r="46" spans="1:17">
      <c r="K46" s="421"/>
      <c r="L46" s="418" t="s">
        <v>433</v>
      </c>
      <c r="M46" s="424"/>
      <c r="N46" s="424"/>
      <c r="O46" s="424"/>
      <c r="P46" s="424"/>
      <c r="Q46" s="424"/>
    </row>
    <row r="47" spans="1:17">
      <c r="K47" s="421"/>
      <c r="L47" s="418" t="s">
        <v>434</v>
      </c>
      <c r="M47" s="424"/>
      <c r="N47" s="424"/>
      <c r="O47" s="424"/>
      <c r="P47" s="424"/>
      <c r="Q47" s="424"/>
    </row>
    <row r="48" spans="1:17" ht="15">
      <c r="A48" s="425" t="s">
        <v>324</v>
      </c>
      <c r="B48" s="426"/>
      <c r="C48" s="426"/>
      <c r="D48" s="426"/>
      <c r="E48" s="426"/>
      <c r="F48" s="426"/>
      <c r="G48" s="426"/>
      <c r="H48" s="427"/>
      <c r="K48" s="421"/>
      <c r="L48" s="418" t="s">
        <v>435</v>
      </c>
      <c r="M48" s="424"/>
      <c r="N48" s="424"/>
      <c r="O48" s="424"/>
      <c r="P48" s="424"/>
      <c r="Q48" s="424"/>
    </row>
    <row r="49" spans="1:17">
      <c r="A49" s="436" t="s">
        <v>471</v>
      </c>
      <c r="B49" s="438"/>
      <c r="C49" s="438"/>
      <c r="D49" s="438"/>
      <c r="E49" s="438"/>
      <c r="F49" s="438"/>
      <c r="G49" s="438"/>
      <c r="H49" s="439"/>
      <c r="K49" s="421"/>
      <c r="L49" s="422" t="s">
        <v>436</v>
      </c>
      <c r="M49" s="422" t="e">
        <f>AVERAGE(M37:M48)</f>
        <v>#DIV/0!</v>
      </c>
      <c r="N49" s="422"/>
      <c r="O49" s="422">
        <f>MAX(O37:O48)</f>
        <v>0</v>
      </c>
      <c r="P49" s="422" t="e">
        <f>AVERAGE(P37:P48)</f>
        <v>#DIV/0!</v>
      </c>
      <c r="Q49" s="422">
        <f>MAX(Q37:Q48)</f>
        <v>0</v>
      </c>
    </row>
    <row r="50" spans="1:17">
      <c r="A50" s="440"/>
      <c r="B50" s="89"/>
      <c r="C50" s="89"/>
      <c r="D50" s="89"/>
      <c r="E50" s="89"/>
      <c r="F50" s="89"/>
      <c r="G50" s="89"/>
      <c r="H50" s="441"/>
    </row>
    <row r="51" spans="1:17" ht="30">
      <c r="A51" s="440"/>
      <c r="B51" s="89"/>
      <c r="C51" s="89"/>
      <c r="D51" s="89"/>
      <c r="E51" s="89"/>
      <c r="F51" s="89"/>
      <c r="G51" s="89"/>
      <c r="H51" s="441"/>
      <c r="K51" s="417">
        <f>+A6</f>
        <v>2022</v>
      </c>
      <c r="L51" s="417" t="s">
        <v>418</v>
      </c>
      <c r="M51" s="416" t="s">
        <v>465</v>
      </c>
      <c r="N51" s="416" t="s">
        <v>466</v>
      </c>
      <c r="O51" s="416" t="s">
        <v>467</v>
      </c>
      <c r="P51" s="26" t="s">
        <v>416</v>
      </c>
      <c r="Q51" s="26" t="s">
        <v>420</v>
      </c>
    </row>
    <row r="52" spans="1:17">
      <c r="A52" s="442"/>
      <c r="B52" s="443"/>
      <c r="C52" s="443"/>
      <c r="D52" s="443"/>
      <c r="E52" s="443"/>
      <c r="F52" s="443"/>
      <c r="G52" s="443"/>
      <c r="H52" s="444"/>
      <c r="K52" s="421" t="s">
        <v>198</v>
      </c>
      <c r="L52" s="418" t="s">
        <v>421</v>
      </c>
      <c r="M52" s="424"/>
      <c r="N52" s="424"/>
      <c r="O52" s="424"/>
      <c r="P52" s="424"/>
      <c r="Q52" s="424"/>
    </row>
    <row r="53" spans="1:17">
      <c r="K53" s="421"/>
      <c r="L53" s="418" t="s">
        <v>422</v>
      </c>
      <c r="M53" s="424"/>
      <c r="N53" s="424"/>
      <c r="O53" s="424"/>
      <c r="P53" s="424"/>
      <c r="Q53" s="424"/>
    </row>
    <row r="54" spans="1:17">
      <c r="K54" s="421"/>
      <c r="L54" s="418" t="s">
        <v>423</v>
      </c>
      <c r="M54" s="424"/>
      <c r="N54" s="424"/>
      <c r="O54" s="424"/>
      <c r="P54" s="424"/>
      <c r="Q54" s="424"/>
    </row>
    <row r="55" spans="1:17">
      <c r="K55" s="421"/>
      <c r="L55" s="418" t="s">
        <v>425</v>
      </c>
      <c r="M55" s="424"/>
      <c r="N55" s="424"/>
      <c r="O55" s="424"/>
      <c r="P55" s="424"/>
      <c r="Q55" s="424"/>
    </row>
    <row r="56" spans="1:17">
      <c r="K56" s="421"/>
      <c r="L56" s="418" t="s">
        <v>427</v>
      </c>
      <c r="M56" s="424"/>
      <c r="N56" s="424"/>
      <c r="O56" s="424"/>
      <c r="P56" s="424"/>
      <c r="Q56" s="424"/>
    </row>
    <row r="57" spans="1:17">
      <c r="K57" s="421"/>
      <c r="L57" s="418" t="s">
        <v>428</v>
      </c>
      <c r="M57" s="424"/>
      <c r="N57" s="424"/>
      <c r="O57" s="424"/>
      <c r="P57" s="424"/>
      <c r="Q57" s="424"/>
    </row>
    <row r="58" spans="1:17">
      <c r="K58" s="421"/>
      <c r="L58" s="418" t="s">
        <v>429</v>
      </c>
      <c r="M58" s="424"/>
      <c r="N58" s="424"/>
      <c r="O58" s="424"/>
      <c r="P58" s="424"/>
      <c r="Q58" s="424"/>
    </row>
    <row r="59" spans="1:17">
      <c r="K59" s="421"/>
      <c r="L59" s="418" t="s">
        <v>431</v>
      </c>
      <c r="M59" s="424"/>
      <c r="N59" s="424"/>
      <c r="O59" s="424"/>
      <c r="P59" s="424"/>
      <c r="Q59" s="424"/>
    </row>
    <row r="60" spans="1:17">
      <c r="K60" s="421"/>
      <c r="L60" s="418" t="s">
        <v>432</v>
      </c>
      <c r="M60" s="424"/>
      <c r="N60" s="424"/>
      <c r="O60" s="424"/>
      <c r="P60" s="424"/>
      <c r="Q60" s="424"/>
    </row>
    <row r="61" spans="1:17">
      <c r="K61" s="421"/>
      <c r="L61" s="418" t="s">
        <v>433</v>
      </c>
      <c r="M61" s="424"/>
      <c r="N61" s="424"/>
      <c r="O61" s="424"/>
      <c r="P61" s="424"/>
      <c r="Q61" s="424"/>
    </row>
    <row r="62" spans="1:17">
      <c r="K62" s="421"/>
      <c r="L62" s="418" t="s">
        <v>434</v>
      </c>
      <c r="M62" s="424"/>
      <c r="N62" s="424"/>
      <c r="O62" s="424"/>
      <c r="P62" s="424"/>
      <c r="Q62" s="424"/>
    </row>
    <row r="63" spans="1:17">
      <c r="K63" s="421"/>
      <c r="L63" s="418" t="s">
        <v>435</v>
      </c>
      <c r="M63" s="424"/>
      <c r="N63" s="424"/>
      <c r="O63" s="424"/>
      <c r="P63" s="424"/>
      <c r="Q63" s="424"/>
    </row>
    <row r="64" spans="1:17">
      <c r="K64" s="421"/>
      <c r="L64" s="422" t="s">
        <v>436</v>
      </c>
      <c r="M64" s="422" t="e">
        <f>AVERAGE(M52:M63)</f>
        <v>#DIV/0!</v>
      </c>
      <c r="N64" s="422"/>
      <c r="O64" s="422">
        <f>MAX(O52:O63)</f>
        <v>0</v>
      </c>
      <c r="P64" s="422" t="e">
        <f>AVERAGE(P52:P63)</f>
        <v>#DIV/0!</v>
      </c>
      <c r="Q64" s="422">
        <f>MAX(Q52:Q63)</f>
        <v>0</v>
      </c>
    </row>
    <row r="66" spans="11:17" ht="30">
      <c r="K66" s="417">
        <f>+A6</f>
        <v>2022</v>
      </c>
      <c r="L66" s="417" t="s">
        <v>418</v>
      </c>
      <c r="M66" s="416" t="s">
        <v>465</v>
      </c>
      <c r="N66" s="416" t="s">
        <v>466</v>
      </c>
      <c r="O66" s="416" t="s">
        <v>467</v>
      </c>
      <c r="P66" s="26" t="s">
        <v>416</v>
      </c>
      <c r="Q66" s="26" t="s">
        <v>420</v>
      </c>
    </row>
    <row r="67" spans="11:17">
      <c r="K67" s="421" t="s">
        <v>199</v>
      </c>
      <c r="L67" s="418" t="s">
        <v>421</v>
      </c>
      <c r="M67" s="424"/>
      <c r="N67" s="424"/>
      <c r="O67" s="424"/>
      <c r="P67" s="424"/>
      <c r="Q67" s="424"/>
    </row>
    <row r="68" spans="11:17">
      <c r="K68" s="421"/>
      <c r="L68" s="418" t="s">
        <v>422</v>
      </c>
      <c r="M68" s="424"/>
      <c r="N68" s="424"/>
      <c r="O68" s="424"/>
      <c r="P68" s="424"/>
      <c r="Q68" s="424"/>
    </row>
    <row r="69" spans="11:17">
      <c r="K69" s="421"/>
      <c r="L69" s="418" t="s">
        <v>423</v>
      </c>
      <c r="M69" s="424"/>
      <c r="N69" s="424"/>
      <c r="O69" s="424"/>
      <c r="P69" s="424"/>
      <c r="Q69" s="424"/>
    </row>
    <row r="70" spans="11:17">
      <c r="K70" s="421"/>
      <c r="L70" s="418" t="s">
        <v>425</v>
      </c>
      <c r="M70" s="424"/>
      <c r="N70" s="424"/>
      <c r="O70" s="424"/>
      <c r="P70" s="424"/>
      <c r="Q70" s="424"/>
    </row>
    <row r="71" spans="11:17">
      <c r="K71" s="421"/>
      <c r="L71" s="418" t="s">
        <v>427</v>
      </c>
      <c r="M71" s="424"/>
      <c r="N71" s="424"/>
      <c r="O71" s="424"/>
      <c r="P71" s="424"/>
      <c r="Q71" s="424"/>
    </row>
    <row r="72" spans="11:17">
      <c r="K72" s="421"/>
      <c r="L72" s="418" t="s">
        <v>428</v>
      </c>
      <c r="M72" s="424"/>
      <c r="N72" s="424"/>
      <c r="O72" s="424"/>
      <c r="P72" s="424"/>
      <c r="Q72" s="424"/>
    </row>
    <row r="73" spans="11:17">
      <c r="K73" s="421"/>
      <c r="L73" s="418" t="s">
        <v>429</v>
      </c>
      <c r="M73" s="424"/>
      <c r="N73" s="424"/>
      <c r="O73" s="424"/>
      <c r="P73" s="424"/>
      <c r="Q73" s="424"/>
    </row>
    <row r="74" spans="11:17">
      <c r="K74" s="421"/>
      <c r="L74" s="418" t="s">
        <v>431</v>
      </c>
      <c r="M74" s="424"/>
      <c r="N74" s="424"/>
      <c r="O74" s="424"/>
      <c r="P74" s="424"/>
      <c r="Q74" s="424"/>
    </row>
    <row r="75" spans="11:17">
      <c r="K75" s="421"/>
      <c r="L75" s="418" t="s">
        <v>432</v>
      </c>
      <c r="M75" s="424"/>
      <c r="N75" s="424"/>
      <c r="O75" s="424"/>
      <c r="P75" s="424"/>
      <c r="Q75" s="424"/>
    </row>
    <row r="76" spans="11:17">
      <c r="K76" s="421"/>
      <c r="L76" s="418" t="s">
        <v>433</v>
      </c>
      <c r="M76" s="424"/>
      <c r="N76" s="424"/>
      <c r="O76" s="424"/>
      <c r="P76" s="424"/>
      <c r="Q76" s="424"/>
    </row>
    <row r="77" spans="11:17">
      <c r="K77" s="421"/>
      <c r="L77" s="418" t="s">
        <v>434</v>
      </c>
      <c r="M77" s="424"/>
      <c r="N77" s="424"/>
      <c r="O77" s="424"/>
      <c r="P77" s="424"/>
      <c r="Q77" s="424"/>
    </row>
    <row r="78" spans="11:17">
      <c r="K78" s="421"/>
      <c r="L78" s="418" t="s">
        <v>435</v>
      </c>
      <c r="M78" s="424"/>
      <c r="N78" s="424"/>
      <c r="O78" s="424"/>
      <c r="P78" s="424"/>
      <c r="Q78" s="424"/>
    </row>
    <row r="79" spans="11:17">
      <c r="K79" s="421"/>
      <c r="L79" s="422" t="s">
        <v>436</v>
      </c>
      <c r="M79" s="422" t="e">
        <f>AVERAGE(M67:M78)</f>
        <v>#DIV/0!</v>
      </c>
      <c r="N79" s="422"/>
      <c r="O79" s="422">
        <f>MAX(O67:O78)</f>
        <v>0</v>
      </c>
      <c r="P79" s="422" t="e">
        <f>AVERAGE(P67:P78)</f>
        <v>#DIV/0!</v>
      </c>
      <c r="Q79" s="42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H9" sqref="H9"/>
    </sheetView>
  </sheetViews>
  <sheetFormatPr defaultRowHeight="14.25"/>
  <cols>
    <col min="1" max="1" width="14" style="3" customWidth="1"/>
    <col min="2" max="4" width="17" style="15" customWidth="1"/>
    <col min="5" max="5" width="14.7109375" style="15" customWidth="1"/>
    <col min="6" max="7" width="17" style="1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42" t="str">
        <f>+'Cover Page'!$B$29</f>
        <v>Annual Performance Report 2022</v>
      </c>
      <c r="B1" s="42"/>
      <c r="C1" s="42"/>
      <c r="D1" s="42"/>
      <c r="E1" s="42" t="str">
        <f>+'Cover Page'!$B$33</f>
        <v>Energy Works Hull</v>
      </c>
    </row>
    <row r="3" spans="1:19" ht="15">
      <c r="A3" s="25" t="s">
        <v>472</v>
      </c>
      <c r="D3" s="32" t="s">
        <v>405</v>
      </c>
      <c r="G3" s="36" t="s">
        <v>406</v>
      </c>
      <c r="J3" s="6" t="str">
        <f>+A3</f>
        <v xml:space="preserve">Monitoring of Ammonia emissions </v>
      </c>
      <c r="L3" s="6"/>
      <c r="N3" s="6" t="s">
        <v>407</v>
      </c>
      <c r="Q3" s="35" t="s">
        <v>2</v>
      </c>
      <c r="R3" s="30"/>
      <c r="S3" s="30"/>
    </row>
    <row r="4" spans="1:19" ht="13.9" customHeight="1">
      <c r="Q4" s="85" t="s">
        <v>408</v>
      </c>
      <c r="R4" s="85"/>
      <c r="S4" s="85"/>
    </row>
    <row r="5" spans="1:19" ht="17.25">
      <c r="A5" s="27" t="s">
        <v>409</v>
      </c>
      <c r="B5" s="413" t="s">
        <v>410</v>
      </c>
      <c r="C5" s="413"/>
      <c r="D5" s="413"/>
      <c r="E5" s="413" t="s">
        <v>411</v>
      </c>
      <c r="F5" s="413"/>
      <c r="G5" s="413"/>
      <c r="J5" s="414"/>
      <c r="K5" s="414"/>
      <c r="L5" s="414"/>
      <c r="M5" s="414"/>
      <c r="N5" s="414"/>
      <c r="O5" s="414"/>
      <c r="Q5" s="85"/>
      <c r="R5" s="85"/>
      <c r="S5" s="85"/>
    </row>
    <row r="6" spans="1:19" s="23" customFormat="1" ht="37.5" customHeight="1">
      <c r="A6" s="415">
        <f>+'Cover Page'!C39</f>
        <v>2022</v>
      </c>
      <c r="B6" s="416" t="s">
        <v>473</v>
      </c>
      <c r="C6" s="416" t="s">
        <v>413</v>
      </c>
      <c r="D6" s="416" t="s">
        <v>414</v>
      </c>
      <c r="E6" s="416" t="s">
        <v>474</v>
      </c>
      <c r="F6" s="416" t="s">
        <v>416</v>
      </c>
      <c r="G6" s="416" t="s">
        <v>417</v>
      </c>
      <c r="H6" s="24"/>
      <c r="J6" s="417">
        <f>+A6</f>
        <v>2022</v>
      </c>
      <c r="K6" s="417" t="s">
        <v>418</v>
      </c>
      <c r="L6" s="26" t="s">
        <v>413</v>
      </c>
      <c r="M6" s="26" t="s">
        <v>419</v>
      </c>
      <c r="N6" s="26" t="s">
        <v>416</v>
      </c>
      <c r="O6" s="26" t="s">
        <v>420</v>
      </c>
      <c r="Q6" s="85"/>
      <c r="R6" s="85"/>
      <c r="S6" s="85"/>
    </row>
    <row r="7" spans="1:19">
      <c r="A7" s="418" t="s">
        <v>421</v>
      </c>
      <c r="B7" s="419">
        <v>0</v>
      </c>
      <c r="C7" s="420">
        <f>L7</f>
        <v>0.5</v>
      </c>
      <c r="D7" s="420">
        <f>M7</f>
        <v>2.8</v>
      </c>
      <c r="E7" s="419">
        <v>0</v>
      </c>
      <c r="F7" s="420">
        <f>N7</f>
        <v>0.47</v>
      </c>
      <c r="G7" s="420">
        <f>O7</f>
        <v>1.2</v>
      </c>
      <c r="J7" s="421" t="s">
        <v>195</v>
      </c>
      <c r="K7" s="418" t="s">
        <v>421</v>
      </c>
      <c r="L7" s="50">
        <v>0.5</v>
      </c>
      <c r="M7" s="50">
        <v>2.8</v>
      </c>
      <c r="N7" s="50">
        <v>0.47</v>
      </c>
      <c r="O7" s="50">
        <v>1.2</v>
      </c>
      <c r="Q7" s="85"/>
      <c r="R7" s="85"/>
      <c r="S7" s="85"/>
    </row>
    <row r="8" spans="1:19">
      <c r="A8" s="418" t="s">
        <v>422</v>
      </c>
      <c r="B8" s="419">
        <f>+B7</f>
        <v>0</v>
      </c>
      <c r="C8" s="420">
        <f t="shared" ref="C8:C18" si="0">L8</f>
        <v>0.1</v>
      </c>
      <c r="D8" s="420">
        <f t="shared" ref="D8:D18" si="1">M8</f>
        <v>0.5</v>
      </c>
      <c r="E8" s="419">
        <f>+E7</f>
        <v>0</v>
      </c>
      <c r="F8" s="420">
        <f t="shared" ref="F8:F18" si="2">N8</f>
        <v>0.1</v>
      </c>
      <c r="G8" s="420">
        <f t="shared" ref="G8:G18" si="3">O8</f>
        <v>0.2</v>
      </c>
      <c r="J8" s="421"/>
      <c r="K8" s="418" t="s">
        <v>422</v>
      </c>
      <c r="L8" s="50">
        <v>0.1</v>
      </c>
      <c r="M8" s="50">
        <v>0.5</v>
      </c>
      <c r="N8" s="50">
        <v>0.1</v>
      </c>
      <c r="O8" s="50">
        <v>0.2</v>
      </c>
      <c r="Q8" s="85"/>
      <c r="R8" s="85"/>
      <c r="S8" s="85"/>
    </row>
    <row r="9" spans="1:19" ht="15">
      <c r="A9" s="418" t="s">
        <v>423</v>
      </c>
      <c r="B9" s="419">
        <f t="shared" ref="B9:B18" si="4">+B8</f>
        <v>0</v>
      </c>
      <c r="C9" s="420">
        <f t="shared" si="0"/>
        <v>0.1</v>
      </c>
      <c r="D9" s="420">
        <f t="shared" si="1"/>
        <v>0.6</v>
      </c>
      <c r="E9" s="419">
        <f t="shared" ref="E9:E18" si="5">+E8</f>
        <v>0</v>
      </c>
      <c r="F9" s="420">
        <f t="shared" si="2"/>
        <v>0.06</v>
      </c>
      <c r="G9" s="420">
        <f t="shared" si="3"/>
        <v>0.1</v>
      </c>
      <c r="J9" s="421"/>
      <c r="K9" s="418" t="s">
        <v>423</v>
      </c>
      <c r="L9" s="50">
        <v>0.1</v>
      </c>
      <c r="M9" s="50">
        <v>0.6</v>
      </c>
      <c r="N9" s="50">
        <v>0.06</v>
      </c>
      <c r="O9" s="50">
        <v>0.1</v>
      </c>
      <c r="Q9" s="34" t="s">
        <v>424</v>
      </c>
    </row>
    <row r="10" spans="1:19" ht="14.25" customHeight="1">
      <c r="A10" s="418" t="s">
        <v>425</v>
      </c>
      <c r="B10" s="419">
        <f t="shared" si="4"/>
        <v>0</v>
      </c>
      <c r="C10" s="420">
        <f t="shared" si="0"/>
        <v>0.1</v>
      </c>
      <c r="D10" s="420">
        <f t="shared" si="1"/>
        <v>0.4</v>
      </c>
      <c r="E10" s="419">
        <f t="shared" si="5"/>
        <v>0</v>
      </c>
      <c r="F10" s="420">
        <f t="shared" si="2"/>
        <v>0.1</v>
      </c>
      <c r="G10" s="420">
        <f t="shared" si="3"/>
        <v>0.1</v>
      </c>
      <c r="J10" s="421"/>
      <c r="K10" s="418" t="s">
        <v>425</v>
      </c>
      <c r="L10" s="50">
        <v>0.1</v>
      </c>
      <c r="M10" s="50">
        <v>0.4</v>
      </c>
      <c r="N10" s="50">
        <v>0.1</v>
      </c>
      <c r="O10" s="50">
        <v>0.1</v>
      </c>
      <c r="Q10" s="87" t="s">
        <v>426</v>
      </c>
      <c r="R10" s="87"/>
      <c r="S10" s="87"/>
    </row>
    <row r="11" spans="1:19">
      <c r="A11" s="418" t="s">
        <v>427</v>
      </c>
      <c r="B11" s="419">
        <f t="shared" si="4"/>
        <v>0</v>
      </c>
      <c r="C11" s="420">
        <f t="shared" si="0"/>
        <v>0</v>
      </c>
      <c r="D11" s="420">
        <f t="shared" si="1"/>
        <v>0.2</v>
      </c>
      <c r="E11" s="419">
        <f t="shared" si="5"/>
        <v>0</v>
      </c>
      <c r="F11" s="420">
        <f t="shared" si="2"/>
        <v>0.04</v>
      </c>
      <c r="G11" s="420">
        <f t="shared" si="3"/>
        <v>0.1</v>
      </c>
      <c r="J11" s="421"/>
      <c r="K11" s="418" t="s">
        <v>427</v>
      </c>
      <c r="L11" s="50">
        <v>0</v>
      </c>
      <c r="M11" s="50">
        <v>0.2</v>
      </c>
      <c r="N11" s="50">
        <v>0.04</v>
      </c>
      <c r="O11" s="50">
        <v>0.1</v>
      </c>
      <c r="Q11" s="87"/>
      <c r="R11" s="87"/>
      <c r="S11" s="87"/>
    </row>
    <row r="12" spans="1:19">
      <c r="A12" s="418" t="s">
        <v>428</v>
      </c>
      <c r="B12" s="419">
        <f t="shared" si="4"/>
        <v>0</v>
      </c>
      <c r="C12" s="420">
        <f t="shared" si="0"/>
        <v>0.1</v>
      </c>
      <c r="D12" s="420">
        <f t="shared" si="1"/>
        <v>1.3</v>
      </c>
      <c r="E12" s="419">
        <f t="shared" si="5"/>
        <v>0</v>
      </c>
      <c r="F12" s="420">
        <f t="shared" si="2"/>
        <v>0.06</v>
      </c>
      <c r="G12" s="420">
        <f t="shared" si="3"/>
        <v>0.4</v>
      </c>
      <c r="J12" s="421"/>
      <c r="K12" s="418" t="s">
        <v>428</v>
      </c>
      <c r="L12" s="50">
        <v>0.1</v>
      </c>
      <c r="M12" s="50">
        <v>1.3</v>
      </c>
      <c r="N12" s="50">
        <v>0.06</v>
      </c>
      <c r="O12" s="50">
        <v>0.4</v>
      </c>
      <c r="Q12" s="87"/>
      <c r="R12" s="87"/>
      <c r="S12" s="87"/>
    </row>
    <row r="13" spans="1:19" ht="14.25" customHeight="1">
      <c r="A13" s="418" t="s">
        <v>429</v>
      </c>
      <c r="B13" s="419">
        <f t="shared" si="4"/>
        <v>0</v>
      </c>
      <c r="C13" s="420">
        <f t="shared" si="0"/>
        <v>0.1</v>
      </c>
      <c r="D13" s="420">
        <f t="shared" si="1"/>
        <v>0.7</v>
      </c>
      <c r="E13" s="419">
        <f t="shared" si="5"/>
        <v>0</v>
      </c>
      <c r="F13" s="420">
        <f t="shared" si="2"/>
        <v>0.05</v>
      </c>
      <c r="G13" s="420">
        <f t="shared" si="3"/>
        <v>0.2</v>
      </c>
      <c r="J13" s="421"/>
      <c r="K13" s="418" t="s">
        <v>429</v>
      </c>
      <c r="L13" s="50">
        <v>0.1</v>
      </c>
      <c r="M13" s="50">
        <v>0.7</v>
      </c>
      <c r="N13" s="50">
        <v>0.05</v>
      </c>
      <c r="O13" s="50">
        <v>0.2</v>
      </c>
      <c r="Q13" s="87" t="s">
        <v>430</v>
      </c>
      <c r="R13" s="87"/>
      <c r="S13" s="87"/>
    </row>
    <row r="14" spans="1:19">
      <c r="A14" s="418" t="s">
        <v>431</v>
      </c>
      <c r="B14" s="419">
        <f t="shared" si="4"/>
        <v>0</v>
      </c>
      <c r="C14" s="420">
        <f t="shared" si="0"/>
        <v>0.1</v>
      </c>
      <c r="D14" s="420">
        <f t="shared" si="1"/>
        <v>0.5</v>
      </c>
      <c r="E14" s="419">
        <f t="shared" si="5"/>
        <v>0</v>
      </c>
      <c r="F14" s="420">
        <f t="shared" si="2"/>
        <v>0.09</v>
      </c>
      <c r="G14" s="420">
        <f t="shared" si="3"/>
        <v>0.2</v>
      </c>
      <c r="J14" s="421"/>
      <c r="K14" s="418" t="s">
        <v>431</v>
      </c>
      <c r="L14" s="50">
        <v>0.1</v>
      </c>
      <c r="M14" s="50">
        <v>0.5</v>
      </c>
      <c r="N14" s="50">
        <v>0.09</v>
      </c>
      <c r="O14" s="50">
        <v>0.2</v>
      </c>
      <c r="Q14" s="87"/>
      <c r="R14" s="87"/>
      <c r="S14" s="87"/>
    </row>
    <row r="15" spans="1:19">
      <c r="A15" s="418" t="s">
        <v>432</v>
      </c>
      <c r="B15" s="419">
        <f t="shared" si="4"/>
        <v>0</v>
      </c>
      <c r="C15" s="420">
        <f t="shared" si="0"/>
        <v>0.1</v>
      </c>
      <c r="D15" s="420">
        <f t="shared" si="1"/>
        <v>0.6</v>
      </c>
      <c r="E15" s="419">
        <f t="shared" si="5"/>
        <v>0</v>
      </c>
      <c r="F15" s="420">
        <f t="shared" si="2"/>
        <v>0.13</v>
      </c>
      <c r="G15" s="420">
        <f t="shared" si="3"/>
        <v>0.3</v>
      </c>
      <c r="J15" s="421"/>
      <c r="K15" s="418" t="s">
        <v>432</v>
      </c>
      <c r="L15" s="50">
        <v>0.1</v>
      </c>
      <c r="M15" s="50">
        <v>0.6</v>
      </c>
      <c r="N15" s="50">
        <v>0.13</v>
      </c>
      <c r="O15" s="50">
        <v>0.3</v>
      </c>
      <c r="Q15" s="87"/>
      <c r="R15" s="87"/>
      <c r="S15" s="87"/>
    </row>
    <row r="16" spans="1:19">
      <c r="A16" s="418" t="s">
        <v>433</v>
      </c>
      <c r="B16" s="419">
        <f t="shared" si="4"/>
        <v>0</v>
      </c>
      <c r="C16" s="420">
        <f t="shared" si="0"/>
        <v>0</v>
      </c>
      <c r="D16" s="420">
        <f t="shared" si="1"/>
        <v>0.2</v>
      </c>
      <c r="E16" s="419">
        <f t="shared" si="5"/>
        <v>0</v>
      </c>
      <c r="F16" s="420">
        <f t="shared" si="2"/>
        <v>0</v>
      </c>
      <c r="G16" s="420">
        <f t="shared" si="3"/>
        <v>0</v>
      </c>
      <c r="J16" s="421"/>
      <c r="K16" s="418" t="s">
        <v>433</v>
      </c>
      <c r="L16" s="420">
        <v>0</v>
      </c>
      <c r="M16" s="420">
        <v>0.2</v>
      </c>
      <c r="N16" s="420">
        <v>0</v>
      </c>
      <c r="O16" s="420">
        <v>0</v>
      </c>
      <c r="Q16" s="87"/>
      <c r="R16" s="87"/>
      <c r="S16" s="87"/>
    </row>
    <row r="17" spans="1:15">
      <c r="A17" s="418" t="s">
        <v>434</v>
      </c>
      <c r="B17" s="419">
        <f t="shared" si="4"/>
        <v>0</v>
      </c>
      <c r="C17" s="420">
        <f t="shared" si="0"/>
        <v>0</v>
      </c>
      <c r="D17" s="420">
        <f t="shared" si="1"/>
        <v>0.1</v>
      </c>
      <c r="E17" s="419">
        <f t="shared" si="5"/>
        <v>0</v>
      </c>
      <c r="F17" s="420">
        <f t="shared" si="2"/>
        <v>0.03</v>
      </c>
      <c r="G17" s="420">
        <f t="shared" si="3"/>
        <v>0.1</v>
      </c>
      <c r="J17" s="421"/>
      <c r="K17" s="418" t="s">
        <v>434</v>
      </c>
      <c r="L17" s="420">
        <v>0</v>
      </c>
      <c r="M17" s="420">
        <v>0.1</v>
      </c>
      <c r="N17" s="420">
        <v>0.03</v>
      </c>
      <c r="O17" s="420">
        <v>0.1</v>
      </c>
    </row>
    <row r="18" spans="1:15">
      <c r="A18" s="418" t="s">
        <v>435</v>
      </c>
      <c r="B18" s="419">
        <f t="shared" si="4"/>
        <v>0</v>
      </c>
      <c r="C18" s="420" t="str">
        <f t="shared" si="0"/>
        <v>-</v>
      </c>
      <c r="D18" s="420" t="str">
        <f t="shared" si="1"/>
        <v>-</v>
      </c>
      <c r="E18" s="419">
        <f t="shared" si="5"/>
        <v>0</v>
      </c>
      <c r="F18" s="420" t="str">
        <f t="shared" si="2"/>
        <v>-</v>
      </c>
      <c r="G18" s="420" t="str">
        <f t="shared" si="3"/>
        <v>-</v>
      </c>
      <c r="J18" s="421"/>
      <c r="K18" s="418" t="s">
        <v>435</v>
      </c>
      <c r="L18" s="420" t="s">
        <v>137</v>
      </c>
      <c r="M18" s="420" t="s">
        <v>137</v>
      </c>
      <c r="N18" s="420" t="s">
        <v>137</v>
      </c>
      <c r="O18" s="420" t="s">
        <v>137</v>
      </c>
    </row>
    <row r="19" spans="1:15">
      <c r="J19" s="421"/>
      <c r="K19" s="422" t="s">
        <v>436</v>
      </c>
      <c r="L19" s="423">
        <f>AVERAGE(L7:L18)</f>
        <v>0.10909090909090909</v>
      </c>
      <c r="M19" s="423">
        <f>MAX(M7:M18)</f>
        <v>2.8</v>
      </c>
      <c r="N19" s="423">
        <f>AVERAGE(N7:N18)</f>
        <v>0.10272727272727272</v>
      </c>
      <c r="O19" s="423">
        <f>MAX(O7:O18)</f>
        <v>1.2</v>
      </c>
    </row>
    <row r="21" spans="1:15" ht="30">
      <c r="J21" s="417">
        <f>+A6</f>
        <v>2022</v>
      </c>
      <c r="K21" s="417" t="s">
        <v>418</v>
      </c>
      <c r="L21" s="26" t="s">
        <v>413</v>
      </c>
      <c r="M21" s="26" t="s">
        <v>419</v>
      </c>
      <c r="N21" s="26" t="s">
        <v>416</v>
      </c>
      <c r="O21" s="26" t="s">
        <v>420</v>
      </c>
    </row>
    <row r="22" spans="1:15">
      <c r="J22" s="421" t="s">
        <v>196</v>
      </c>
      <c r="K22" s="418" t="s">
        <v>421</v>
      </c>
      <c r="L22" s="424"/>
      <c r="M22" s="424"/>
      <c r="N22" s="424"/>
      <c r="O22" s="424"/>
    </row>
    <row r="23" spans="1:15">
      <c r="J23" s="421"/>
      <c r="K23" s="418" t="s">
        <v>422</v>
      </c>
      <c r="L23" s="424"/>
      <c r="M23" s="424"/>
      <c r="N23" s="424"/>
      <c r="O23" s="424"/>
    </row>
    <row r="24" spans="1:15">
      <c r="J24" s="421"/>
      <c r="K24" s="418" t="s">
        <v>423</v>
      </c>
      <c r="L24" s="424"/>
      <c r="M24" s="424"/>
      <c r="N24" s="424"/>
      <c r="O24" s="424"/>
    </row>
    <row r="25" spans="1:15">
      <c r="J25" s="421"/>
      <c r="K25" s="418" t="s">
        <v>425</v>
      </c>
      <c r="L25" s="424"/>
      <c r="M25" s="424"/>
      <c r="N25" s="424"/>
      <c r="O25" s="424"/>
    </row>
    <row r="26" spans="1:15">
      <c r="J26" s="421"/>
      <c r="K26" s="418" t="s">
        <v>427</v>
      </c>
      <c r="L26" s="424"/>
      <c r="M26" s="424"/>
      <c r="N26" s="424"/>
      <c r="O26" s="424"/>
    </row>
    <row r="27" spans="1:15">
      <c r="J27" s="421"/>
      <c r="K27" s="418" t="s">
        <v>428</v>
      </c>
      <c r="L27" s="424"/>
      <c r="M27" s="424"/>
      <c r="N27" s="424"/>
      <c r="O27" s="424"/>
    </row>
    <row r="28" spans="1:15">
      <c r="J28" s="421"/>
      <c r="K28" s="418" t="s">
        <v>429</v>
      </c>
      <c r="L28" s="424"/>
      <c r="M28" s="424"/>
      <c r="N28" s="424"/>
      <c r="O28" s="424"/>
    </row>
    <row r="29" spans="1:15">
      <c r="J29" s="421"/>
      <c r="K29" s="418" t="s">
        <v>431</v>
      </c>
      <c r="L29" s="424"/>
      <c r="M29" s="424"/>
      <c r="N29" s="424"/>
      <c r="O29" s="424"/>
    </row>
    <row r="30" spans="1:15">
      <c r="J30" s="421"/>
      <c r="K30" s="418" t="s">
        <v>432</v>
      </c>
      <c r="L30" s="424"/>
      <c r="M30" s="424"/>
      <c r="N30" s="424"/>
      <c r="O30" s="424"/>
    </row>
    <row r="31" spans="1:15">
      <c r="J31" s="421"/>
      <c r="K31" s="418" t="s">
        <v>433</v>
      </c>
      <c r="L31" s="424"/>
      <c r="M31" s="424"/>
      <c r="N31" s="424"/>
      <c r="O31" s="424"/>
    </row>
    <row r="32" spans="1:15">
      <c r="J32" s="421"/>
      <c r="K32" s="418" t="s">
        <v>434</v>
      </c>
      <c r="L32" s="424"/>
      <c r="M32" s="424"/>
      <c r="N32" s="424"/>
      <c r="O32" s="424"/>
    </row>
    <row r="33" spans="1:15">
      <c r="J33" s="421"/>
      <c r="K33" s="418" t="s">
        <v>435</v>
      </c>
      <c r="L33" s="424"/>
      <c r="M33" s="424"/>
      <c r="N33" s="424"/>
      <c r="O33" s="424"/>
    </row>
    <row r="34" spans="1:15">
      <c r="J34" s="421"/>
      <c r="K34" s="422" t="s">
        <v>436</v>
      </c>
      <c r="L34" s="422" t="e">
        <f>AVERAGE(L22:L33)</f>
        <v>#DIV/0!</v>
      </c>
      <c r="M34" s="422">
        <f>MAX(M22:M33)</f>
        <v>0</v>
      </c>
      <c r="N34" s="422" t="e">
        <f>AVERAGE(N22:N33)</f>
        <v>#DIV/0!</v>
      </c>
      <c r="O34" s="422">
        <f>MAX(O22:O33)</f>
        <v>0</v>
      </c>
    </row>
    <row r="36" spans="1:15" ht="30">
      <c r="J36" s="417">
        <f>+A6</f>
        <v>2022</v>
      </c>
      <c r="K36" s="417" t="s">
        <v>418</v>
      </c>
      <c r="L36" s="26" t="s">
        <v>413</v>
      </c>
      <c r="M36" s="26" t="s">
        <v>419</v>
      </c>
      <c r="N36" s="26" t="s">
        <v>416</v>
      </c>
      <c r="O36" s="26" t="s">
        <v>420</v>
      </c>
    </row>
    <row r="37" spans="1:15">
      <c r="J37" s="421" t="s">
        <v>197</v>
      </c>
      <c r="K37" s="418" t="s">
        <v>421</v>
      </c>
      <c r="L37" s="424"/>
      <c r="M37" s="424"/>
      <c r="N37" s="424"/>
      <c r="O37" s="424"/>
    </row>
    <row r="38" spans="1:15">
      <c r="J38" s="421"/>
      <c r="K38" s="418" t="s">
        <v>422</v>
      </c>
      <c r="L38" s="424"/>
      <c r="M38" s="424"/>
      <c r="N38" s="424"/>
      <c r="O38" s="424"/>
    </row>
    <row r="39" spans="1:15">
      <c r="J39" s="421"/>
      <c r="K39" s="418" t="s">
        <v>423</v>
      </c>
      <c r="L39" s="424"/>
      <c r="M39" s="424"/>
      <c r="N39" s="424"/>
      <c r="O39" s="424"/>
    </row>
    <row r="40" spans="1:15">
      <c r="J40" s="421"/>
      <c r="K40" s="418" t="s">
        <v>425</v>
      </c>
      <c r="L40" s="424"/>
      <c r="M40" s="424"/>
      <c r="N40" s="424"/>
      <c r="O40" s="424"/>
    </row>
    <row r="41" spans="1:15">
      <c r="J41" s="421"/>
      <c r="K41" s="418" t="s">
        <v>427</v>
      </c>
      <c r="L41" s="424"/>
      <c r="M41" s="424"/>
      <c r="N41" s="424"/>
      <c r="O41" s="424"/>
    </row>
    <row r="42" spans="1:15">
      <c r="J42" s="421"/>
      <c r="K42" s="418" t="s">
        <v>428</v>
      </c>
      <c r="L42" s="424"/>
      <c r="M42" s="424"/>
      <c r="N42" s="424"/>
      <c r="O42" s="424"/>
    </row>
    <row r="43" spans="1:15">
      <c r="J43" s="421"/>
      <c r="K43" s="418" t="s">
        <v>429</v>
      </c>
      <c r="L43" s="424"/>
      <c r="M43" s="424"/>
      <c r="N43" s="424"/>
      <c r="O43" s="424"/>
    </row>
    <row r="44" spans="1:15">
      <c r="J44" s="421"/>
      <c r="K44" s="418" t="s">
        <v>431</v>
      </c>
      <c r="L44" s="424"/>
      <c r="M44" s="424"/>
      <c r="N44" s="424"/>
      <c r="O44" s="424"/>
    </row>
    <row r="45" spans="1:15">
      <c r="J45" s="421"/>
      <c r="K45" s="418" t="s">
        <v>432</v>
      </c>
      <c r="L45" s="424"/>
      <c r="M45" s="424"/>
      <c r="N45" s="424"/>
      <c r="O45" s="424"/>
    </row>
    <row r="46" spans="1:15">
      <c r="J46" s="421"/>
      <c r="K46" s="418" t="s">
        <v>433</v>
      </c>
      <c r="L46" s="424"/>
      <c r="M46" s="424"/>
      <c r="N46" s="424"/>
      <c r="O46" s="424"/>
    </row>
    <row r="47" spans="1:15">
      <c r="J47" s="421"/>
      <c r="K47" s="418" t="s">
        <v>434</v>
      </c>
      <c r="L47" s="424"/>
      <c r="M47" s="424"/>
      <c r="N47" s="424"/>
      <c r="O47" s="424"/>
    </row>
    <row r="48" spans="1:15" ht="15">
      <c r="A48" s="425" t="s">
        <v>324</v>
      </c>
      <c r="B48" s="426"/>
      <c r="C48" s="426"/>
      <c r="D48" s="426"/>
      <c r="E48" s="426"/>
      <c r="F48" s="426"/>
      <c r="G48" s="427"/>
      <c r="J48" s="421"/>
      <c r="K48" s="418" t="s">
        <v>435</v>
      </c>
      <c r="L48" s="424"/>
      <c r="M48" s="424"/>
      <c r="N48" s="424"/>
      <c r="O48" s="424"/>
    </row>
    <row r="49" spans="1:15">
      <c r="A49" s="436" t="s">
        <v>475</v>
      </c>
      <c r="B49" s="429"/>
      <c r="C49" s="429"/>
      <c r="D49" s="429"/>
      <c r="E49" s="429"/>
      <c r="F49" s="429"/>
      <c r="G49" s="430"/>
      <c r="J49" s="421"/>
      <c r="K49" s="422" t="s">
        <v>436</v>
      </c>
      <c r="L49" s="422" t="e">
        <f>AVERAGE(L37:L48)</f>
        <v>#DIV/0!</v>
      </c>
      <c r="M49" s="422">
        <f>MAX(M37:M48)</f>
        <v>0</v>
      </c>
      <c r="N49" s="422" t="e">
        <f>AVERAGE(N37:N48)</f>
        <v>#DIV/0!</v>
      </c>
      <c r="O49" s="422">
        <f>MAX(O37:O48)</f>
        <v>0</v>
      </c>
    </row>
    <row r="50" spans="1:15">
      <c r="A50" s="431"/>
      <c r="B50" s="88"/>
      <c r="C50" s="88"/>
      <c r="D50" s="88"/>
      <c r="E50" s="88"/>
      <c r="F50" s="88"/>
      <c r="G50" s="432"/>
    </row>
    <row r="51" spans="1:15" ht="30">
      <c r="A51" s="431"/>
      <c r="B51" s="88"/>
      <c r="C51" s="88"/>
      <c r="D51" s="88"/>
      <c r="E51" s="88"/>
      <c r="F51" s="88"/>
      <c r="G51" s="432"/>
      <c r="J51" s="417">
        <f>+A6</f>
        <v>2022</v>
      </c>
      <c r="K51" s="417" t="s">
        <v>418</v>
      </c>
      <c r="L51" s="26" t="s">
        <v>413</v>
      </c>
      <c r="M51" s="26" t="s">
        <v>419</v>
      </c>
      <c r="N51" s="26" t="s">
        <v>416</v>
      </c>
      <c r="O51" s="26" t="s">
        <v>420</v>
      </c>
    </row>
    <row r="52" spans="1:15">
      <c r="A52" s="433"/>
      <c r="B52" s="434"/>
      <c r="C52" s="434"/>
      <c r="D52" s="434"/>
      <c r="E52" s="434"/>
      <c r="F52" s="434"/>
      <c r="G52" s="435"/>
      <c r="J52" s="421" t="s">
        <v>198</v>
      </c>
      <c r="K52" s="418" t="s">
        <v>421</v>
      </c>
      <c r="L52" s="424"/>
      <c r="M52" s="424"/>
      <c r="N52" s="424"/>
      <c r="O52" s="424"/>
    </row>
    <row r="53" spans="1:15">
      <c r="J53" s="421"/>
      <c r="K53" s="418" t="s">
        <v>422</v>
      </c>
      <c r="L53" s="424"/>
      <c r="M53" s="424"/>
      <c r="N53" s="424"/>
      <c r="O53" s="424"/>
    </row>
    <row r="54" spans="1:15">
      <c r="J54" s="421"/>
      <c r="K54" s="418" t="s">
        <v>423</v>
      </c>
      <c r="L54" s="424"/>
      <c r="M54" s="424"/>
      <c r="N54" s="424"/>
      <c r="O54" s="424"/>
    </row>
    <row r="55" spans="1:15">
      <c r="J55" s="421"/>
      <c r="K55" s="418" t="s">
        <v>425</v>
      </c>
      <c r="L55" s="424"/>
      <c r="M55" s="424"/>
      <c r="N55" s="424"/>
      <c r="O55" s="424"/>
    </row>
    <row r="56" spans="1:15">
      <c r="J56" s="421"/>
      <c r="K56" s="418" t="s">
        <v>427</v>
      </c>
      <c r="L56" s="424"/>
      <c r="M56" s="424"/>
      <c r="N56" s="424"/>
      <c r="O56" s="424"/>
    </row>
    <row r="57" spans="1:15">
      <c r="J57" s="421"/>
      <c r="K57" s="418" t="s">
        <v>428</v>
      </c>
      <c r="L57" s="424"/>
      <c r="M57" s="424"/>
      <c r="N57" s="424"/>
      <c r="O57" s="424"/>
    </row>
    <row r="58" spans="1:15">
      <c r="J58" s="421"/>
      <c r="K58" s="418" t="s">
        <v>429</v>
      </c>
      <c r="L58" s="424"/>
      <c r="M58" s="424"/>
      <c r="N58" s="424"/>
      <c r="O58" s="424"/>
    </row>
    <row r="59" spans="1:15">
      <c r="J59" s="421"/>
      <c r="K59" s="418" t="s">
        <v>431</v>
      </c>
      <c r="L59" s="424"/>
      <c r="M59" s="424"/>
      <c r="N59" s="424"/>
      <c r="O59" s="424"/>
    </row>
    <row r="60" spans="1:15">
      <c r="J60" s="421"/>
      <c r="K60" s="418" t="s">
        <v>432</v>
      </c>
      <c r="L60" s="424"/>
      <c r="M60" s="424"/>
      <c r="N60" s="424"/>
      <c r="O60" s="424"/>
    </row>
    <row r="61" spans="1:15">
      <c r="J61" s="421"/>
      <c r="K61" s="418" t="s">
        <v>433</v>
      </c>
      <c r="L61" s="424"/>
      <c r="M61" s="424"/>
      <c r="N61" s="424"/>
      <c r="O61" s="424"/>
    </row>
    <row r="62" spans="1:15">
      <c r="J62" s="421"/>
      <c r="K62" s="418" t="s">
        <v>434</v>
      </c>
      <c r="L62" s="424"/>
      <c r="M62" s="424"/>
      <c r="N62" s="424"/>
      <c r="O62" s="424"/>
    </row>
    <row r="63" spans="1:15">
      <c r="J63" s="421"/>
      <c r="K63" s="418" t="s">
        <v>435</v>
      </c>
      <c r="L63" s="424"/>
      <c r="M63" s="424"/>
      <c r="N63" s="424"/>
      <c r="O63" s="424"/>
    </row>
    <row r="64" spans="1:15">
      <c r="J64" s="421"/>
      <c r="K64" s="422" t="s">
        <v>436</v>
      </c>
      <c r="L64" s="422" t="e">
        <f>AVERAGE(L52:L63)</f>
        <v>#DIV/0!</v>
      </c>
      <c r="M64" s="422">
        <f>MAX(M52:M63)</f>
        <v>0</v>
      </c>
      <c r="N64" s="422" t="e">
        <f>AVERAGE(N52:N63)</f>
        <v>#DIV/0!</v>
      </c>
      <c r="O64" s="422">
        <f>MAX(O52:O63)</f>
        <v>0</v>
      </c>
    </row>
    <row r="66" spans="10:15" ht="30">
      <c r="J66" s="417">
        <f>+A6</f>
        <v>2022</v>
      </c>
      <c r="K66" s="417" t="s">
        <v>418</v>
      </c>
      <c r="L66" s="26" t="s">
        <v>413</v>
      </c>
      <c r="M66" s="26" t="s">
        <v>419</v>
      </c>
      <c r="N66" s="26" t="s">
        <v>416</v>
      </c>
      <c r="O66" s="26" t="s">
        <v>420</v>
      </c>
    </row>
    <row r="67" spans="10:15">
      <c r="J67" s="421" t="s">
        <v>199</v>
      </c>
      <c r="K67" s="418" t="s">
        <v>421</v>
      </c>
      <c r="L67" s="424"/>
      <c r="M67" s="424"/>
      <c r="N67" s="424"/>
      <c r="O67" s="424"/>
    </row>
    <row r="68" spans="10:15">
      <c r="J68" s="421"/>
      <c r="K68" s="418" t="s">
        <v>422</v>
      </c>
      <c r="L68" s="424"/>
      <c r="M68" s="424"/>
      <c r="N68" s="424"/>
      <c r="O68" s="424"/>
    </row>
    <row r="69" spans="10:15">
      <c r="J69" s="421"/>
      <c r="K69" s="418" t="s">
        <v>423</v>
      </c>
      <c r="L69" s="424"/>
      <c r="M69" s="424"/>
      <c r="N69" s="424"/>
      <c r="O69" s="424"/>
    </row>
    <row r="70" spans="10:15">
      <c r="J70" s="421"/>
      <c r="K70" s="418" t="s">
        <v>425</v>
      </c>
      <c r="L70" s="424"/>
      <c r="M70" s="424"/>
      <c r="N70" s="424"/>
      <c r="O70" s="424"/>
    </row>
    <row r="71" spans="10:15">
      <c r="J71" s="421"/>
      <c r="K71" s="418" t="s">
        <v>427</v>
      </c>
      <c r="L71" s="424"/>
      <c r="M71" s="424"/>
      <c r="N71" s="424"/>
      <c r="O71" s="424"/>
    </row>
    <row r="72" spans="10:15">
      <c r="J72" s="421"/>
      <c r="K72" s="418" t="s">
        <v>428</v>
      </c>
      <c r="L72" s="424"/>
      <c r="M72" s="424"/>
      <c r="N72" s="424"/>
      <c r="O72" s="424"/>
    </row>
    <row r="73" spans="10:15">
      <c r="J73" s="421"/>
      <c r="K73" s="418" t="s">
        <v>429</v>
      </c>
      <c r="L73" s="424"/>
      <c r="M73" s="424"/>
      <c r="N73" s="424"/>
      <c r="O73" s="424"/>
    </row>
    <row r="74" spans="10:15">
      <c r="J74" s="421"/>
      <c r="K74" s="418" t="s">
        <v>431</v>
      </c>
      <c r="L74" s="424"/>
      <c r="M74" s="424"/>
      <c r="N74" s="424"/>
      <c r="O74" s="424"/>
    </row>
    <row r="75" spans="10:15">
      <c r="J75" s="421"/>
      <c r="K75" s="418" t="s">
        <v>432</v>
      </c>
      <c r="L75" s="424"/>
      <c r="M75" s="424"/>
      <c r="N75" s="424"/>
      <c r="O75" s="424"/>
    </row>
    <row r="76" spans="10:15">
      <c r="J76" s="421"/>
      <c r="K76" s="418" t="s">
        <v>433</v>
      </c>
      <c r="L76" s="424"/>
      <c r="M76" s="424"/>
      <c r="N76" s="424"/>
      <c r="O76" s="424"/>
    </row>
    <row r="77" spans="10:15">
      <c r="J77" s="421"/>
      <c r="K77" s="418" t="s">
        <v>434</v>
      </c>
      <c r="L77" s="424"/>
      <c r="M77" s="424"/>
      <c r="N77" s="424"/>
      <c r="O77" s="424"/>
    </row>
    <row r="78" spans="10:15">
      <c r="J78" s="421"/>
      <c r="K78" s="418" t="s">
        <v>435</v>
      </c>
      <c r="L78" s="424"/>
      <c r="M78" s="424"/>
      <c r="N78" s="424"/>
      <c r="O78" s="424"/>
    </row>
    <row r="79" spans="10:15">
      <c r="J79" s="421"/>
      <c r="K79" s="422" t="s">
        <v>436</v>
      </c>
      <c r="L79" s="422" t="e">
        <f>AVERAGE(L67:L78)</f>
        <v>#DIV/0!</v>
      </c>
      <c r="M79" s="422">
        <f>MAX(M67:M78)</f>
        <v>0</v>
      </c>
      <c r="N79" s="422" t="e">
        <f>AVERAGE(N67:N78)</f>
        <v>#DIV/0!</v>
      </c>
      <c r="O79" s="42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SyracuseOfficeCustomData>{"createMode":"plain_doc","forceRefresh":"0"}</SyracuseOfficeCustomData>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B0A4DF-ECB2-40D2-955F-48C5EB7176CD}"/>
</file>

<file path=customXml/itemProps2.xml><?xml version="1.0" encoding="utf-8"?>
<ds:datastoreItem xmlns:ds="http://schemas.openxmlformats.org/officeDocument/2006/customXml" ds:itemID="{7A5CDE23-4AEE-4655-8775-94F3729D7C32}"/>
</file>

<file path=customXml/itemProps3.xml><?xml version="1.0" encoding="utf-8"?>
<ds:datastoreItem xmlns:ds="http://schemas.openxmlformats.org/officeDocument/2006/customXml" ds:itemID="{4BD9B07D-EB4B-4037-85A7-8493FEE1C9C0}"/>
</file>

<file path=customXml/itemProps4.xml><?xml version="1.0" encoding="utf-8"?>
<ds:datastoreItem xmlns:ds="http://schemas.openxmlformats.org/officeDocument/2006/customXml" ds:itemID="{03A65312-EDD8-4ED5-85CD-21EC9D2BFEF5}"/>
</file>

<file path=customXml/itemProps5.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Tee, Howard</cp:lastModifiedBy>
  <cp:revision/>
  <dcterms:created xsi:type="dcterms:W3CDTF">2019-04-02T06:44:55Z</dcterms:created>
  <dcterms:modified xsi:type="dcterms:W3CDTF">2023-05-03T08:49:05Z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