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notteaminatayacineseck/Downloads/"/>
    </mc:Choice>
  </mc:AlternateContent>
  <xr:revisionPtr revIDLastSave="0" documentId="13_ncr:1_{1525B091-2A15-AB4D-AC77-40BFB8FAC9DD}" xr6:coauthVersionLast="47" xr6:coauthVersionMax="47" xr10:uidLastSave="{00000000-0000-0000-0000-000000000000}"/>
  <bookViews>
    <workbookView xWindow="11160" yWindow="760" windowWidth="19080" windowHeight="17960" xr2:uid="{00000000-000D-0000-FFFF-FFFF00000000}"/>
  </bookViews>
  <sheets>
    <sheet name="Scandi Financial Stat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I4" i="1"/>
  <c r="L45" i="1"/>
  <c r="L43" i="1"/>
  <c r="L11" i="1"/>
  <c r="L10" i="1"/>
  <c r="L56" i="1"/>
  <c r="K37" i="1"/>
  <c r="K57" i="1"/>
  <c r="K58" i="1"/>
  <c r="K59" i="1"/>
  <c r="K56" i="1"/>
  <c r="K50" i="1"/>
  <c r="K51" i="1"/>
  <c r="K52" i="1"/>
  <c r="K49" i="1"/>
  <c r="K42" i="1"/>
  <c r="K43" i="1"/>
  <c r="K44" i="1"/>
  <c r="K45" i="1"/>
  <c r="K41" i="1"/>
  <c r="I24" i="1"/>
  <c r="I25" i="1"/>
  <c r="I26" i="1"/>
  <c r="I27" i="1"/>
  <c r="I28" i="1"/>
  <c r="I30" i="1"/>
  <c r="I31" i="1"/>
  <c r="I32" i="1"/>
  <c r="I33" i="1"/>
  <c r="I34" i="1"/>
  <c r="I35" i="1"/>
  <c r="J35" i="1"/>
  <c r="J24" i="1"/>
  <c r="J25" i="1"/>
  <c r="J26" i="1"/>
  <c r="J27" i="1"/>
  <c r="K27" i="1" s="1"/>
  <c r="J28" i="1"/>
  <c r="K28" i="1" s="1"/>
  <c r="J29" i="1"/>
  <c r="J36" i="1" s="1"/>
  <c r="J37" i="1" s="1"/>
  <c r="J30" i="1"/>
  <c r="K30" i="1" s="1"/>
  <c r="J31" i="1"/>
  <c r="J32" i="1"/>
  <c r="J33" i="1"/>
  <c r="K33" i="1" s="1"/>
  <c r="J34" i="1"/>
  <c r="K24" i="1"/>
  <c r="K26" i="1"/>
  <c r="K34" i="1"/>
  <c r="K20" i="1"/>
  <c r="K21" i="1"/>
  <c r="K19" i="1"/>
  <c r="K11" i="1"/>
  <c r="K14" i="1"/>
  <c r="K10" i="1"/>
  <c r="K6" i="1"/>
  <c r="K5" i="1"/>
  <c r="K4" i="1"/>
  <c r="I13" i="1"/>
  <c r="K13" i="1" s="1"/>
  <c r="J14" i="1"/>
  <c r="I14" i="1"/>
  <c r="J11" i="1"/>
  <c r="I11" i="1"/>
  <c r="J10" i="1"/>
  <c r="J13" i="1" s="1"/>
  <c r="I10" i="1"/>
  <c r="I19" i="1"/>
  <c r="J19" i="1"/>
  <c r="J21" i="1"/>
  <c r="J59" i="1"/>
  <c r="I59" i="1"/>
  <c r="J58" i="1"/>
  <c r="I58" i="1"/>
  <c r="I52" i="1"/>
  <c r="I57" i="1"/>
  <c r="J57" i="1"/>
  <c r="J56" i="1"/>
  <c r="I56" i="1"/>
  <c r="J52" i="1"/>
  <c r="J51" i="1"/>
  <c r="I51" i="1"/>
  <c r="J50" i="1"/>
  <c r="I50" i="1"/>
  <c r="J49" i="1"/>
  <c r="I49" i="1"/>
  <c r="J45" i="1"/>
  <c r="I45" i="1"/>
  <c r="J44" i="1"/>
  <c r="I44" i="1"/>
  <c r="C27" i="1"/>
  <c r="I6" i="1" s="1"/>
  <c r="D27" i="1"/>
  <c r="J43" i="1" s="1"/>
  <c r="I5" i="1"/>
  <c r="I43" i="1"/>
  <c r="J42" i="1"/>
  <c r="I42" i="1"/>
  <c r="C31" i="1"/>
  <c r="I41" i="1"/>
  <c r="J41" i="1"/>
  <c r="I29" i="1"/>
  <c r="J20" i="1"/>
  <c r="I20" i="1"/>
  <c r="J5" i="1"/>
  <c r="J6" i="1"/>
  <c r="J4" i="1"/>
  <c r="B2" i="1"/>
  <c r="B17" i="1" s="1"/>
  <c r="K12" i="1" l="1"/>
  <c r="K32" i="1"/>
  <c r="K35" i="1"/>
  <c r="K31" i="1"/>
  <c r="K25" i="1"/>
  <c r="I36" i="1"/>
  <c r="I37" i="1" s="1"/>
  <c r="I21" i="1"/>
  <c r="C17" i="1"/>
  <c r="D17" i="1" s="1"/>
  <c r="C2" i="1"/>
  <c r="I3" i="1" s="1"/>
  <c r="I9" i="1" s="1"/>
  <c r="I17" i="1" s="1"/>
  <c r="I40" i="1" s="1"/>
  <c r="I48" i="1" s="1"/>
  <c r="I55" i="1" s="1"/>
  <c r="J55" i="1" s="1"/>
  <c r="K36" i="1" l="1"/>
  <c r="K29" i="1"/>
  <c r="D2" i="1"/>
  <c r="J3" i="1" s="1"/>
  <c r="J9" i="1" s="1"/>
  <c r="J17" i="1" s="1"/>
  <c r="J40" i="1" s="1"/>
  <c r="J48" i="1" s="1"/>
  <c r="D31" i="1"/>
  <c r="B27" i="1"/>
  <c r="B31" i="1" s="1"/>
  <c r="B21" i="1"/>
  <c r="D5" i="1"/>
  <c r="C5" i="1"/>
  <c r="C9" i="1" s="1"/>
  <c r="C11" i="1" s="1"/>
  <c r="C12" i="1" s="1"/>
  <c r="B5" i="1"/>
  <c r="B9" i="1" s="1"/>
  <c r="B11" i="1" s="1"/>
  <c r="B12" i="1" s="1"/>
  <c r="D21" i="1"/>
  <c r="C21" i="1"/>
  <c r="B13" i="1" l="1"/>
  <c r="B23" i="1"/>
  <c r="D9" i="1"/>
  <c r="C13" i="1"/>
  <c r="D11" i="1" l="1"/>
  <c r="D12" i="1" s="1"/>
  <c r="D13" i="1" l="1"/>
</calcChain>
</file>

<file path=xl/sharedStrings.xml><?xml version="1.0" encoding="utf-8"?>
<sst xmlns="http://schemas.openxmlformats.org/spreadsheetml/2006/main" count="123" uniqueCount="82">
  <si>
    <t>Income Statements</t>
  </si>
  <si>
    <t xml:space="preserve"> </t>
  </si>
  <si>
    <t xml:space="preserve">Net Sales </t>
  </si>
  <si>
    <t xml:space="preserve">Cost of Goods Sold </t>
  </si>
  <si>
    <t xml:space="preserve">Gross Profit </t>
  </si>
  <si>
    <t xml:space="preserve">Marketing </t>
  </si>
  <si>
    <t xml:space="preserve">General &amp; Administrative </t>
  </si>
  <si>
    <t xml:space="preserve">Depreciation </t>
  </si>
  <si>
    <t xml:space="preserve"> EBIT </t>
  </si>
  <si>
    <t xml:space="preserve">Interest </t>
  </si>
  <si>
    <t xml:space="preserve"> Earnings Before Taxes </t>
  </si>
  <si>
    <t xml:space="preserve"> Net Income </t>
  </si>
  <si>
    <r>
      <t xml:space="preserve"> </t>
    </r>
    <r>
      <rPr>
        <b/>
        <sz val="12"/>
        <color indexed="8"/>
        <rFont val="Times New Roman"/>
        <family val="2"/>
      </rPr>
      <t xml:space="preserve">Balance Sheets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</si>
  <si>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Cash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</si>
  <si>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Accounts Receivables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</si>
  <si>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Inventories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</si>
  <si>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 Total Current Assets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</si>
  <si>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Fixed Assets, Net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</si>
  <si>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 Total Assets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</si>
  <si>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Accounts Payable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</si>
  <si>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Accruals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</si>
  <si>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Bank Loan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</si>
  <si>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Total Current Liabilities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</si>
  <si>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Long-Term Debt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</si>
  <si>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Retained Earnings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</si>
  <si>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 Total Liab. &amp; Equity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</si>
  <si>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Liquidity Ratios: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</si>
  <si>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Change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</si>
  <si>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Current Ratio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</si>
  <si>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Quick Ratio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</si>
  <si>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NWC-to-Total-Assets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</si>
  <si>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Cash Conversion Cycle (in Days):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</si>
  <si>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Inventory-to-Sale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</si>
  <si>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Sale-to-Cash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</si>
  <si>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Purchase-to-Payment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</si>
  <si>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Cash Conversion Cycle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</si>
  <si>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Cash Build Versus Cash Burn: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</si>
  <si>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Cash Build: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</si>
  <si>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Net Sales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</si>
  <si>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 Cash Build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</si>
  <si>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Cash Burn: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</si>
  <si>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Cost of Goods Sold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</si>
  <si>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Marketing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</si>
  <si>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General &amp; Admin.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</si>
  <si>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Interest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</si>
  <si>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Income Taxes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</si>
  <si>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 Cash Burn from Inc. Stmt.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</si>
  <si>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Increase in Inventories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</si>
  <si>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Increase in Fixed Assets, Net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</si>
  <si>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Depreciation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</si>
  <si>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 Inc. in Gross Fixed Assets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</si>
  <si>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Cash Burn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</si>
  <si>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Net Cash Build (Burn)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</si>
  <si>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Increase in Receivables </t>
    </r>
    <r>
      <rPr>
        <sz val="12"/>
        <rFont val="Times New Roman"/>
        <family val="2"/>
      </rPr>
      <t xml:space="preserve"> (negative effect)</t>
    </r>
  </si>
  <si>
    <t>Industry</t>
  </si>
  <si>
    <r>
      <t xml:space="preserve"> </t>
    </r>
    <r>
      <rPr>
        <b/>
        <sz val="12"/>
        <color indexed="8"/>
        <rFont val="Times New Roman"/>
        <family val="2"/>
      </rPr>
      <t xml:space="preserve">Financial Leverage: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</si>
  <si>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Total-Debt-to-Total-Assets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</si>
  <si>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Equity Multiplier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</si>
  <si>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Debt-to-Equity Ratio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</si>
  <si>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Current-Liab.-to-Total Debt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</si>
  <si>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Interest Coverage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</si>
  <si>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Profitability Ratios: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</si>
  <si>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Gross Profit Margin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</si>
  <si>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Operating Profit Margin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</si>
  <si>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Net Profit Margin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</si>
  <si>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NOPAT Margin </t>
    </r>
    <r>
      <rPr>
        <sz val="12"/>
        <rFont val="Times New Roman"/>
        <family val="2"/>
      </rPr>
      <t xml:space="preserve"> </t>
    </r>
  </si>
  <si>
    <r>
      <t xml:space="preserve"> </t>
    </r>
    <r>
      <rPr>
        <b/>
        <sz val="12"/>
        <color indexed="8"/>
        <rFont val="Times New Roman"/>
        <family val="2"/>
      </rPr>
      <t xml:space="preserve">Efficiency and Return Ratios: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</si>
  <si>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Sales-to-Total-Assets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</si>
  <si>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Operating Return on Assets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</si>
  <si>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Return on Assets (ROA)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</si>
  <si>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 xml:space="preserve">Return on Equity (ROE) </t>
    </r>
    <r>
      <rPr>
        <sz val="12"/>
        <rFont val="Times New Roman"/>
        <family val="2"/>
      </rPr>
      <t xml:space="preserve"> </t>
    </r>
  </si>
  <si>
    <r>
      <t xml:space="preserve"> </t>
    </r>
    <r>
      <rPr>
        <sz val="12"/>
        <color indexed="8"/>
        <rFont val="Times New Roman"/>
        <family val="2"/>
      </rPr>
      <t>Common Stock  Issued</t>
    </r>
  </si>
  <si>
    <t>Cash Dividends</t>
  </si>
  <si>
    <t>- Change in Payables</t>
  </si>
  <si>
    <t>- Change in Accrued Liab.</t>
  </si>
  <si>
    <t xml:space="preserve">Income Taxes (21%) </t>
  </si>
  <si>
    <t>Operating Cycle</t>
  </si>
  <si>
    <t>abnormal change</t>
  </si>
  <si>
    <t>Source</t>
  </si>
  <si>
    <t>MarketAtlas</t>
  </si>
  <si>
    <t>CSIMarket</t>
  </si>
  <si>
    <t>ReadyRatios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</si>
</sst>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_);\(&quot;$&quot;#,##0\)"/>
    <numFmt numFmtId="165" formatCode="&quot;$&quot;#,##0_);[Red]\(&quot;$&quot;#,##0\)"/>
    <numFmt numFmtId="166" formatCode="0.000"/>
    <numFmt numFmtId="167" formatCode="0.0000"/>
    <numFmt numFmtId="168" formatCode="_(* #,##0.0000_);_(* \(#,##0.0000\);_(* &quot;-&quot;??_);_(@_)"/>
  </numFmts>
  <fonts count="2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indexed="8"/>
      <name val="Times New Roman"/>
      <family val="2"/>
    </font>
    <font>
      <sz val="12"/>
      <name val="Times New Roman"/>
      <family val="2"/>
    </font>
    <font>
      <sz val="12"/>
      <color indexed="8"/>
      <name val="Times New Roman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7">
    <xf numFmtId="0" fontId="0" fillId="0" borderId="0" xfId="0"/>
    <xf numFmtId="0" fontId="19" fillId="0" borderId="0" xfId="0" applyFont="1"/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19" fillId="0" borderId="11" xfId="0" applyFont="1" applyBorder="1"/>
    <xf numFmtId="10" fontId="19" fillId="0" borderId="0" xfId="2" applyNumberFormat="1" applyFont="1" applyFill="1" applyBorder="1" applyAlignment="1" applyProtection="1"/>
    <xf numFmtId="164" fontId="0" fillId="0" borderId="0" xfId="0" applyNumberFormat="1"/>
    <xf numFmtId="0" fontId="19" fillId="0" borderId="0" xfId="0" quotePrefix="1" applyFont="1"/>
    <xf numFmtId="0" fontId="22" fillId="34" borderId="10" xfId="0" applyFont="1" applyFill="1" applyBorder="1" applyAlignment="1">
      <alignment horizontal="center"/>
    </xf>
    <xf numFmtId="165" fontId="0" fillId="33" borderId="0" xfId="0" applyNumberFormat="1" applyFill="1"/>
    <xf numFmtId="3" fontId="0" fillId="33" borderId="10" xfId="0" applyNumberFormat="1" applyFill="1" applyBorder="1"/>
    <xf numFmtId="3" fontId="0" fillId="33" borderId="0" xfId="0" applyNumberFormat="1" applyFill="1"/>
    <xf numFmtId="164" fontId="0" fillId="33" borderId="0" xfId="0" applyNumberFormat="1" applyFill="1"/>
    <xf numFmtId="165" fontId="19" fillId="33" borderId="0" xfId="0" applyNumberFormat="1" applyFont="1" applyFill="1"/>
    <xf numFmtId="3" fontId="19" fillId="33" borderId="0" xfId="0" applyNumberFormat="1" applyFont="1" applyFill="1"/>
    <xf numFmtId="3" fontId="19" fillId="33" borderId="10" xfId="0" applyNumberFormat="1" applyFont="1" applyFill="1" applyBorder="1"/>
    <xf numFmtId="165" fontId="19" fillId="33" borderId="11" xfId="0" applyNumberFormat="1" applyFont="1" applyFill="1" applyBorder="1"/>
    <xf numFmtId="166" fontId="19" fillId="35" borderId="0" xfId="0" applyNumberFormat="1" applyFont="1" applyFill="1"/>
    <xf numFmtId="10" fontId="19" fillId="35" borderId="0" xfId="2" applyNumberFormat="1" applyFont="1" applyFill="1" applyBorder="1" applyAlignment="1" applyProtection="1"/>
    <xf numFmtId="0" fontId="0" fillId="35" borderId="0" xfId="0" applyFill="1"/>
    <xf numFmtId="165" fontId="19" fillId="35" borderId="0" xfId="0" applyNumberFormat="1" applyFont="1" applyFill="1"/>
    <xf numFmtId="3" fontId="19" fillId="35" borderId="0" xfId="0" applyNumberFormat="1" applyFont="1" applyFill="1"/>
    <xf numFmtId="3" fontId="0" fillId="35" borderId="0" xfId="0" applyNumberFormat="1" applyFill="1"/>
    <xf numFmtId="168" fontId="19" fillId="35" borderId="0" xfId="1" applyNumberFormat="1" applyFont="1" applyFill="1" applyBorder="1" applyAlignment="1" applyProtection="1"/>
    <xf numFmtId="167" fontId="19" fillId="35" borderId="0" xfId="0" applyNumberFormat="1" applyFont="1" applyFill="1"/>
    <xf numFmtId="10" fontId="0" fillId="35" borderId="0" xfId="0" applyNumberFormat="1" applyFill="1"/>
    <xf numFmtId="10" fontId="0" fillId="35" borderId="0" xfId="2" applyNumberFormat="1" applyFont="1" applyFill="1"/>
    <xf numFmtId="3" fontId="0" fillId="0" borderId="0" xfId="0" applyNumberFormat="1"/>
    <xf numFmtId="3" fontId="19" fillId="0" borderId="0" xfId="0" applyNumberFormat="1" applyFont="1"/>
    <xf numFmtId="166" fontId="19" fillId="0" borderId="0" xfId="0" applyNumberFormat="1" applyFont="1"/>
    <xf numFmtId="165" fontId="19" fillId="0" borderId="0" xfId="0" applyNumberFormat="1" applyFont="1"/>
    <xf numFmtId="1" fontId="19" fillId="35" borderId="0" xfId="0" applyNumberFormat="1" applyFont="1" applyFill="1"/>
    <xf numFmtId="1" fontId="0" fillId="35" borderId="0" xfId="0" applyNumberFormat="1" applyFill="1"/>
    <xf numFmtId="0" fontId="23" fillId="0" borderId="0" xfId="44"/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colors>
    <mruColors>
      <color rgb="FFFFCC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419100</xdr:colOff>
      <xdr:row>0</xdr:row>
      <xdr:rowOff>88901</xdr:rowOff>
    </xdr:from>
    <xdr:to>
      <xdr:col>23</xdr:col>
      <xdr:colOff>9486</xdr:colOff>
      <xdr:row>14</xdr:row>
      <xdr:rowOff>25401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27DE3F-B97E-B20D-10B1-06F0F2532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8300" y="88901"/>
          <a:ext cx="6664286" cy="27813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596900</xdr:colOff>
      <xdr:row>14</xdr:row>
      <xdr:rowOff>139700</xdr:rowOff>
    </xdr:from>
    <xdr:to>
      <xdr:col>22</xdr:col>
      <xdr:colOff>406400</xdr:colOff>
      <xdr:row>33</xdr:row>
      <xdr:rowOff>4022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B90219-4149-B749-88BB-DDF23343B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6100" y="2984500"/>
          <a:ext cx="6210300" cy="3775922"/>
        </a:xfrm>
        <a:prstGeom prst="rect">
          <a:avLst/>
        </a:prstGeom>
      </xdr:spPr>
    </xdr:pic>
    <xdr:clientData/>
  </xdr:twoCellAnchor>
  <xdr:twoCellAnchor editAs="oneCell">
    <xdr:from>
      <xdr:col>13</xdr:col>
      <xdr:colOff>279400</xdr:colOff>
      <xdr:row>53</xdr:row>
      <xdr:rowOff>88900</xdr:rowOff>
    </xdr:from>
    <xdr:to>
      <xdr:col>21</xdr:col>
      <xdr:colOff>560254</xdr:colOff>
      <xdr:row>65</xdr:row>
      <xdr:rowOff>126999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696969-84BC-D542-7E4B-029F40CEB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98600" y="10909300"/>
          <a:ext cx="6008554" cy="2476499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33</xdr:row>
      <xdr:rowOff>72917</xdr:rowOff>
    </xdr:from>
    <xdr:to>
      <xdr:col>20</xdr:col>
      <xdr:colOff>469900</xdr:colOff>
      <xdr:row>52</xdr:row>
      <xdr:rowOff>194676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8289CD-5497-5334-0372-8D2CAE25B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6829317"/>
          <a:ext cx="4965700" cy="3982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imarket.com/Industry/industry_Profitability_Ratios.php?ind=407" TargetMode="External"/><Relationship Id="rId3" Type="http://schemas.openxmlformats.org/officeDocument/2006/relationships/hyperlink" Target="https://marketatlas.mergent.com/industry/?page=reports&amp;showNav=true&amp;universe=supersector" TargetMode="External"/><Relationship Id="rId7" Type="http://schemas.openxmlformats.org/officeDocument/2006/relationships/hyperlink" Target="https://csimarket.com/Industry/industry_Profitability_Ratios.php?ind=407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marketatlas.mergent.com/industry/?page=reports&amp;showNav=true&amp;universe=supersector" TargetMode="External"/><Relationship Id="rId1" Type="http://schemas.openxmlformats.org/officeDocument/2006/relationships/hyperlink" Target="https://marketatlas.mergent.com/industry/?page=reports&amp;showNav=true&amp;universe=supersector" TargetMode="External"/><Relationship Id="rId6" Type="http://schemas.openxmlformats.org/officeDocument/2006/relationships/hyperlink" Target="https://csimarket.com/Industry/industry_Profitability_Ratios.php?ind=40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arketatlas.mergent.com/industry/?page=reports&amp;showNav=true&amp;universe=supersector" TargetMode="External"/><Relationship Id="rId10" Type="http://schemas.openxmlformats.org/officeDocument/2006/relationships/hyperlink" Target="https://www.readyratios.com/sec/industry/25/?measure=average" TargetMode="External"/><Relationship Id="rId4" Type="http://schemas.openxmlformats.org/officeDocument/2006/relationships/hyperlink" Target="https://marketatlas.mergent.com/industry/?page=reports&amp;showNav=true&amp;universe=supersector" TargetMode="External"/><Relationship Id="rId9" Type="http://schemas.openxmlformats.org/officeDocument/2006/relationships/hyperlink" Target="https://csimarket.com/Industry/industry_Profitability_Ratios.php?ind=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Normal="100" workbookViewId="0">
      <selection activeCell="F16" sqref="F16"/>
    </sheetView>
  </sheetViews>
  <sheetFormatPr baseColWidth="10" defaultColWidth="8.83203125" defaultRowHeight="16" x14ac:dyDescent="0.2"/>
  <cols>
    <col min="1" max="1" width="20.6640625" bestFit="1" customWidth="1"/>
    <col min="2" max="4" width="12.33203125" bestFit="1" customWidth="1"/>
    <col min="8" max="8" width="34.33203125" bestFit="1" customWidth="1"/>
    <col min="9" max="10" width="12.33203125" bestFit="1" customWidth="1"/>
    <col min="11" max="11" width="14" bestFit="1" customWidth="1"/>
    <col min="12" max="12" width="14.5" bestFit="1" customWidth="1"/>
    <col min="13" max="13" width="11" bestFit="1" customWidth="1"/>
    <col min="14" max="14" width="13.33203125" bestFit="1" customWidth="1"/>
  </cols>
  <sheetData>
    <row r="1" spans="1:13" x14ac:dyDescent="0.2">
      <c r="A1" s="35" t="s">
        <v>0</v>
      </c>
      <c r="B1" s="35"/>
      <c r="C1" s="35"/>
      <c r="D1" s="35"/>
      <c r="E1" t="s">
        <v>1</v>
      </c>
    </row>
    <row r="2" spans="1:13" x14ac:dyDescent="0.2">
      <c r="B2" s="9">
        <f ca="1">YEAR(TODAY())-3</f>
        <v>2022</v>
      </c>
      <c r="C2" s="4">
        <f ca="1">B2+1</f>
        <v>2023</v>
      </c>
      <c r="D2" s="4">
        <f ca="1">C2+1</f>
        <v>2024</v>
      </c>
      <c r="E2" t="s">
        <v>1</v>
      </c>
      <c r="H2" s="36" t="s">
        <v>26</v>
      </c>
      <c r="I2" s="36"/>
      <c r="J2" s="36"/>
      <c r="K2" s="36"/>
    </row>
    <row r="3" spans="1:13" x14ac:dyDescent="0.2">
      <c r="A3" t="s">
        <v>2</v>
      </c>
      <c r="B3" s="10">
        <v>1300000</v>
      </c>
      <c r="C3" s="10">
        <v>1500000</v>
      </c>
      <c r="D3" s="10">
        <v>1800000</v>
      </c>
      <c r="E3" t="s">
        <v>1</v>
      </c>
      <c r="H3" t="s">
        <v>1</v>
      </c>
      <c r="I3" s="2">
        <f ca="1">'Scandi Financial Statements'!C2</f>
        <v>2023</v>
      </c>
      <c r="J3" s="2">
        <f ca="1">'Scandi Financial Statements'!D2</f>
        <v>2024</v>
      </c>
      <c r="K3" s="1" t="s">
        <v>27</v>
      </c>
      <c r="L3" s="2" t="s">
        <v>54</v>
      </c>
      <c r="M3" s="2" t="s">
        <v>78</v>
      </c>
    </row>
    <row r="4" spans="1:13" x14ac:dyDescent="0.2">
      <c r="A4" t="s">
        <v>3</v>
      </c>
      <c r="B4" s="11">
        <v>780000</v>
      </c>
      <c r="C4" s="11">
        <v>900000</v>
      </c>
      <c r="D4" s="11">
        <v>1260000</v>
      </c>
      <c r="E4" t="s">
        <v>1</v>
      </c>
      <c r="H4" s="1" t="s">
        <v>28</v>
      </c>
      <c r="I4" s="18">
        <f>C21/C27</f>
        <v>2.4242424242424243</v>
      </c>
      <c r="J4" s="18">
        <f>D21/D27</f>
        <v>2.1846846846846848</v>
      </c>
      <c r="K4" s="19">
        <f>(J4/I4)-1</f>
        <v>-9.8817567567567544E-2</v>
      </c>
      <c r="L4" s="20">
        <v>1.88</v>
      </c>
      <c r="M4" s="34" t="s">
        <v>81</v>
      </c>
    </row>
    <row r="5" spans="1:13" x14ac:dyDescent="0.2">
      <c r="A5" t="s">
        <v>4</v>
      </c>
      <c r="B5" s="12">
        <f>B3-B4</f>
        <v>520000</v>
      </c>
      <c r="C5" s="12">
        <f t="shared" ref="C5:D5" si="0">C3-C4</f>
        <v>600000</v>
      </c>
      <c r="D5" s="12">
        <f t="shared" si="0"/>
        <v>540000</v>
      </c>
      <c r="E5" t="s">
        <v>1</v>
      </c>
      <c r="H5" s="1" t="s">
        <v>29</v>
      </c>
      <c r="I5" s="18">
        <f>(C21-C20)/C27</f>
        <v>0.90909090909090906</v>
      </c>
      <c r="J5" s="18">
        <f>(D21-D20)/D27</f>
        <v>0.83333333333333337</v>
      </c>
      <c r="K5" s="19">
        <f>(J5/I5)-1</f>
        <v>-8.3333333333333259E-2</v>
      </c>
      <c r="L5" s="20">
        <v>0.89</v>
      </c>
      <c r="M5" s="34" t="s">
        <v>81</v>
      </c>
    </row>
    <row r="6" spans="1:13" x14ac:dyDescent="0.2">
      <c r="A6" t="s">
        <v>5</v>
      </c>
      <c r="B6" s="12">
        <v>130000</v>
      </c>
      <c r="C6" s="12">
        <v>150000</v>
      </c>
      <c r="D6" s="12">
        <v>200000</v>
      </c>
      <c r="E6" t="s">
        <v>1</v>
      </c>
      <c r="H6" s="1" t="s">
        <v>30</v>
      </c>
      <c r="I6" s="18">
        <f>(C21-C27)/C23</f>
        <v>0.39166666666666666</v>
      </c>
      <c r="J6" s="18">
        <f>(D21-D27)/D23</f>
        <v>0.35782312925170068</v>
      </c>
      <c r="K6" s="19">
        <f>(J6/I6)-1</f>
        <v>-8.6409031697785466E-2</v>
      </c>
      <c r="L6" s="20"/>
      <c r="M6" s="34"/>
    </row>
    <row r="7" spans="1:13" x14ac:dyDescent="0.2">
      <c r="A7" t="s">
        <v>6</v>
      </c>
      <c r="B7" s="12">
        <v>150000</v>
      </c>
      <c r="C7" s="12">
        <v>150000</v>
      </c>
      <c r="D7" s="12">
        <v>200000</v>
      </c>
      <c r="E7" t="s">
        <v>1</v>
      </c>
    </row>
    <row r="8" spans="1:13" x14ac:dyDescent="0.2">
      <c r="A8" t="s">
        <v>7</v>
      </c>
      <c r="B8" s="11">
        <v>40000</v>
      </c>
      <c r="C8" s="11">
        <v>53000</v>
      </c>
      <c r="D8" s="11">
        <v>60000</v>
      </c>
      <c r="E8" t="s">
        <v>1</v>
      </c>
      <c r="H8" s="36" t="s">
        <v>31</v>
      </c>
      <c r="I8" s="36"/>
      <c r="J8" s="36"/>
      <c r="K8" s="36"/>
    </row>
    <row r="9" spans="1:13" x14ac:dyDescent="0.2">
      <c r="A9" t="s">
        <v>8</v>
      </c>
      <c r="B9" s="12">
        <f>B5-SUM(B6:B8)</f>
        <v>200000</v>
      </c>
      <c r="C9" s="12">
        <f t="shared" ref="C9:D9" si="1">C5-SUM(C6:C8)</f>
        <v>247000</v>
      </c>
      <c r="D9" s="12">
        <f t="shared" si="1"/>
        <v>80000</v>
      </c>
      <c r="E9" t="s">
        <v>1</v>
      </c>
      <c r="I9" s="2">
        <f ca="1">I3</f>
        <v>2023</v>
      </c>
      <c r="J9" s="2">
        <f ca="1">J3</f>
        <v>2024</v>
      </c>
      <c r="K9" s="3" t="s">
        <v>27</v>
      </c>
      <c r="L9" s="2" t="s">
        <v>54</v>
      </c>
      <c r="M9" s="2" t="s">
        <v>78</v>
      </c>
    </row>
    <row r="10" spans="1:13" x14ac:dyDescent="0.2">
      <c r="A10" t="s">
        <v>9</v>
      </c>
      <c r="B10" s="11">
        <v>45000</v>
      </c>
      <c r="C10" s="11">
        <v>57000</v>
      </c>
      <c r="D10" s="11">
        <v>70000</v>
      </c>
      <c r="E10" t="s">
        <v>1</v>
      </c>
      <c r="H10" s="1" t="s">
        <v>32</v>
      </c>
      <c r="I10" s="32">
        <f>AVERAGE(B20:C20)/(C4/365)</f>
        <v>192.63888888888889</v>
      </c>
      <c r="J10" s="32">
        <f>AVERAGE(C20:D20)/(D4/365)</f>
        <v>159.32539682539681</v>
      </c>
      <c r="K10" s="19">
        <f>(J10/I10)-1</f>
        <v>-0.17293233082706772</v>
      </c>
      <c r="L10" s="33">
        <f>365/((6.14+6.1+5.68+5.72)/4)</f>
        <v>61.759729272419634</v>
      </c>
      <c r="M10" s="34" t="s">
        <v>80</v>
      </c>
    </row>
    <row r="11" spans="1:13" x14ac:dyDescent="0.2">
      <c r="A11" t="s">
        <v>10</v>
      </c>
      <c r="B11" s="12">
        <f>B9-B10</f>
        <v>155000</v>
      </c>
      <c r="C11" s="12">
        <f t="shared" ref="C11:D11" si="2">C9-C10</f>
        <v>190000</v>
      </c>
      <c r="D11" s="12">
        <f t="shared" si="2"/>
        <v>10000</v>
      </c>
      <c r="E11" t="s">
        <v>1</v>
      </c>
      <c r="H11" s="1" t="s">
        <v>33</v>
      </c>
      <c r="I11" s="32">
        <f>AVERAGE(B19:C19)/(C3/365)</f>
        <v>55.966666666666669</v>
      </c>
      <c r="J11" s="32">
        <f>AVERAGE(C19:D19)/(D3/365)</f>
        <v>62.861111111111114</v>
      </c>
      <c r="K11" s="19">
        <f t="shared" ref="K11:K14" si="3">(J11/I11)-1</f>
        <v>0.12318840579710155</v>
      </c>
      <c r="L11" s="33">
        <f>365/((10.96+10.68+10.25+10.39)/4)</f>
        <v>34.531693472090822</v>
      </c>
      <c r="M11" s="34" t="s">
        <v>80</v>
      </c>
    </row>
    <row r="12" spans="1:13" x14ac:dyDescent="0.2">
      <c r="A12" t="s">
        <v>75</v>
      </c>
      <c r="B12" s="11">
        <f>B11*0.21</f>
        <v>32550</v>
      </c>
      <c r="C12" s="11">
        <f t="shared" ref="C12:D12" si="4">C11*0.21</f>
        <v>39900</v>
      </c>
      <c r="D12" s="11">
        <f t="shared" si="4"/>
        <v>2100</v>
      </c>
      <c r="E12" t="s">
        <v>1</v>
      </c>
      <c r="H12" s="1" t="s">
        <v>34</v>
      </c>
      <c r="I12" s="32">
        <f>(AVERAGE(B24:C24)+AVERAGE(B25:C25))/(C4/365)</f>
        <v>85.166666666666671</v>
      </c>
      <c r="J12" s="32">
        <f>(AVERAGE(C24:D24)+AVERAGE(C25:D25))/(D4/365)</f>
        <v>72.420634920634924</v>
      </c>
      <c r="K12" s="19">
        <f t="shared" si="3"/>
        <v>-0.14965986394557829</v>
      </c>
      <c r="L12" s="20"/>
    </row>
    <row r="13" spans="1:13" x14ac:dyDescent="0.2">
      <c r="A13" t="s">
        <v>11</v>
      </c>
      <c r="B13" s="10">
        <f>B11-B12</f>
        <v>122450</v>
      </c>
      <c r="C13" s="10">
        <f t="shared" ref="C13:D13" si="5">C11-C12</f>
        <v>150100</v>
      </c>
      <c r="D13" s="10">
        <f t="shared" si="5"/>
        <v>7900</v>
      </c>
      <c r="E13" t="s">
        <v>1</v>
      </c>
      <c r="H13" s="1" t="s">
        <v>35</v>
      </c>
      <c r="I13" s="32">
        <f>I10+I11-I12</f>
        <v>163.43888888888887</v>
      </c>
      <c r="J13" s="32">
        <f>J10+J11-J12</f>
        <v>149.76587301587301</v>
      </c>
      <c r="K13" s="19">
        <f t="shared" si="3"/>
        <v>-8.3658277206664189E-2</v>
      </c>
      <c r="L13" s="20"/>
    </row>
    <row r="14" spans="1:13" x14ac:dyDescent="0.2">
      <c r="A14" t="s">
        <v>72</v>
      </c>
      <c r="C14" s="13">
        <v>74000</v>
      </c>
      <c r="H14" s="1" t="s">
        <v>76</v>
      </c>
      <c r="I14" s="32">
        <f>I10+I11</f>
        <v>248.60555555555555</v>
      </c>
      <c r="J14" s="32">
        <f>J10+J11</f>
        <v>222.18650793650792</v>
      </c>
      <c r="K14" s="19">
        <f t="shared" si="3"/>
        <v>-0.10626893498019119</v>
      </c>
      <c r="L14" s="20"/>
    </row>
    <row r="15" spans="1:13" x14ac:dyDescent="0.2">
      <c r="C15" s="7"/>
    </row>
    <row r="16" spans="1:13" x14ac:dyDescent="0.2">
      <c r="A16" s="36" t="s">
        <v>12</v>
      </c>
      <c r="B16" s="36"/>
      <c r="C16" s="36"/>
      <c r="D16" s="36"/>
      <c r="H16" s="36" t="s">
        <v>36</v>
      </c>
      <c r="I16" s="36"/>
      <c r="J16" s="36"/>
    </row>
    <row r="17" spans="1:15" x14ac:dyDescent="0.2">
      <c r="A17" t="s">
        <v>1</v>
      </c>
      <c r="B17" s="4">
        <f ca="1">B2</f>
        <v>2022</v>
      </c>
      <c r="C17" s="4">
        <f ca="1">B17+1</f>
        <v>2023</v>
      </c>
      <c r="D17" s="4">
        <f ca="1">C17+1</f>
        <v>2024</v>
      </c>
      <c r="H17" t="s">
        <v>1</v>
      </c>
      <c r="I17" s="2">
        <f ca="1">I9</f>
        <v>2023</v>
      </c>
      <c r="J17" s="2">
        <f ca="1">J9</f>
        <v>2024</v>
      </c>
      <c r="K17" s="3" t="s">
        <v>27</v>
      </c>
    </row>
    <row r="18" spans="1:15" x14ac:dyDescent="0.2">
      <c r="A18" s="1" t="s">
        <v>13</v>
      </c>
      <c r="B18" s="14">
        <v>50000</v>
      </c>
      <c r="C18" s="14">
        <v>40000</v>
      </c>
      <c r="D18" s="14">
        <v>10000</v>
      </c>
      <c r="H18" s="1" t="s">
        <v>37</v>
      </c>
      <c r="I18" s="28"/>
      <c r="J18" t="s">
        <v>1</v>
      </c>
      <c r="K18" s="6"/>
    </row>
    <row r="19" spans="1:15" x14ac:dyDescent="0.2">
      <c r="A19" s="1" t="s">
        <v>14</v>
      </c>
      <c r="B19" s="15">
        <v>200000</v>
      </c>
      <c r="C19" s="15">
        <v>260000</v>
      </c>
      <c r="D19" s="15">
        <v>360000</v>
      </c>
      <c r="H19" s="1" t="s">
        <v>38</v>
      </c>
      <c r="I19" s="21">
        <f>C3</f>
        <v>1500000</v>
      </c>
      <c r="J19" s="21">
        <f>D3</f>
        <v>1800000</v>
      </c>
      <c r="K19" s="19">
        <f>(J19/I19)-1</f>
        <v>0.19999999999999996</v>
      </c>
    </row>
    <row r="20" spans="1:15" x14ac:dyDescent="0.2">
      <c r="A20" s="1" t="s">
        <v>15</v>
      </c>
      <c r="B20" s="16">
        <v>450000</v>
      </c>
      <c r="C20" s="16">
        <v>500000</v>
      </c>
      <c r="D20" s="16">
        <v>600000</v>
      </c>
      <c r="H20" s="1" t="s">
        <v>53</v>
      </c>
      <c r="I20" s="22">
        <f>-(C19-B19)</f>
        <v>-60000</v>
      </c>
      <c r="J20" s="22">
        <f>-(D19-C19)</f>
        <v>-100000</v>
      </c>
      <c r="K20" s="19">
        <f t="shared" ref="K20:K21" si="6">(J20/I20)-1</f>
        <v>0.66666666666666674</v>
      </c>
    </row>
    <row r="21" spans="1:15" x14ac:dyDescent="0.2">
      <c r="A21" s="1" t="s">
        <v>16</v>
      </c>
      <c r="B21" s="15">
        <f>SUM(B18:B20)</f>
        <v>700000</v>
      </c>
      <c r="C21" s="15">
        <f t="shared" ref="C21:D21" si="7">SUM(C18:C20)</f>
        <v>800000</v>
      </c>
      <c r="D21" s="15">
        <f t="shared" si="7"/>
        <v>970000</v>
      </c>
      <c r="H21" s="1" t="s">
        <v>39</v>
      </c>
      <c r="I21" s="22">
        <f>I19+I20</f>
        <v>1440000</v>
      </c>
      <c r="J21" s="22">
        <f>J19+J20</f>
        <v>1700000</v>
      </c>
      <c r="K21" s="19">
        <f t="shared" si="6"/>
        <v>0.18055555555555558</v>
      </c>
    </row>
    <row r="22" spans="1:15" x14ac:dyDescent="0.2">
      <c r="A22" s="1" t="s">
        <v>17</v>
      </c>
      <c r="B22" s="16">
        <v>300000</v>
      </c>
      <c r="C22" s="16">
        <v>400000</v>
      </c>
      <c r="D22" s="16">
        <v>500000</v>
      </c>
      <c r="H22" s="1"/>
      <c r="I22" s="29"/>
      <c r="J22" s="29"/>
      <c r="K22" s="6"/>
    </row>
    <row r="23" spans="1:15" ht="17" thickBot="1" x14ac:dyDescent="0.25">
      <c r="A23" s="5" t="s">
        <v>18</v>
      </c>
      <c r="B23" s="17">
        <f>SUM(B21:B22)</f>
        <v>1000000</v>
      </c>
      <c r="C23" s="17">
        <v>1200000</v>
      </c>
      <c r="D23" s="17">
        <v>1470000</v>
      </c>
      <c r="H23" s="1" t="s">
        <v>40</v>
      </c>
      <c r="I23" s="30"/>
      <c r="J23" s="30"/>
      <c r="K23" s="6"/>
    </row>
    <row r="24" spans="1:15" ht="17" thickTop="1" x14ac:dyDescent="0.2">
      <c r="A24" s="1" t="s">
        <v>19</v>
      </c>
      <c r="B24" s="14">
        <v>130000</v>
      </c>
      <c r="C24" s="14">
        <v>170000</v>
      </c>
      <c r="D24" s="14">
        <v>180000</v>
      </c>
      <c r="H24" s="1" t="s">
        <v>41</v>
      </c>
      <c r="I24" s="21">
        <f>-C4</f>
        <v>-900000</v>
      </c>
      <c r="J24" s="21">
        <f>-D4</f>
        <v>-1260000</v>
      </c>
      <c r="K24" s="19">
        <f>(J24/I24)-1</f>
        <v>0.39999999999999991</v>
      </c>
      <c r="M24" s="31"/>
      <c r="N24" s="31"/>
      <c r="O24" s="6"/>
    </row>
    <row r="25" spans="1:15" x14ac:dyDescent="0.2">
      <c r="A25" s="1" t="s">
        <v>20</v>
      </c>
      <c r="B25" s="15">
        <v>50000</v>
      </c>
      <c r="C25" s="15">
        <v>70000</v>
      </c>
      <c r="D25" s="15">
        <v>80000</v>
      </c>
      <c r="H25" s="1" t="s">
        <v>42</v>
      </c>
      <c r="I25" s="23">
        <f>-C6</f>
        <v>-150000</v>
      </c>
      <c r="J25" s="23">
        <f>-D6</f>
        <v>-200000</v>
      </c>
      <c r="K25" s="19">
        <f t="shared" ref="K25:K36" si="8">(J25/I25)-1</f>
        <v>0.33333333333333326</v>
      </c>
      <c r="M25" s="28"/>
      <c r="N25" s="28"/>
      <c r="O25" s="6"/>
    </row>
    <row r="26" spans="1:15" x14ac:dyDescent="0.2">
      <c r="A26" s="1" t="s">
        <v>21</v>
      </c>
      <c r="B26" s="16">
        <v>90000</v>
      </c>
      <c r="C26" s="16">
        <v>90000</v>
      </c>
      <c r="D26" s="16">
        <v>184000</v>
      </c>
      <c r="H26" s="1" t="s">
        <v>43</v>
      </c>
      <c r="I26" s="23">
        <f>-C7</f>
        <v>-150000</v>
      </c>
      <c r="J26" s="23">
        <f>-D7</f>
        <v>-200000</v>
      </c>
      <c r="K26" s="19">
        <f t="shared" si="8"/>
        <v>0.33333333333333326</v>
      </c>
      <c r="M26" s="28"/>
      <c r="N26" s="28"/>
      <c r="O26" s="6"/>
    </row>
    <row r="27" spans="1:15" x14ac:dyDescent="0.2">
      <c r="A27" s="1" t="s">
        <v>22</v>
      </c>
      <c r="B27" s="15">
        <f>SUM(B24:B26)</f>
        <v>270000</v>
      </c>
      <c r="C27" s="15">
        <f>SUM(C24:C26)</f>
        <v>330000</v>
      </c>
      <c r="D27" s="15">
        <f>SUM(D24:D26)</f>
        <v>444000</v>
      </c>
      <c r="H27" s="1" t="s">
        <v>44</v>
      </c>
      <c r="I27" s="22">
        <f>-C10</f>
        <v>-57000</v>
      </c>
      <c r="J27" s="22">
        <f>-D10</f>
        <v>-70000</v>
      </c>
      <c r="K27" s="19">
        <f t="shared" si="8"/>
        <v>0.22807017543859653</v>
      </c>
      <c r="M27" s="29"/>
      <c r="N27" s="29"/>
      <c r="O27" s="6"/>
    </row>
    <row r="28" spans="1:15" x14ac:dyDescent="0.2">
      <c r="A28" s="1" t="s">
        <v>23</v>
      </c>
      <c r="B28" s="15">
        <v>300000</v>
      </c>
      <c r="C28" s="15">
        <v>400000</v>
      </c>
      <c r="D28" s="15">
        <v>550000</v>
      </c>
      <c r="H28" s="1" t="s">
        <v>45</v>
      </c>
      <c r="I28" s="22">
        <f>-C12</f>
        <v>-39900</v>
      </c>
      <c r="J28" s="22">
        <f>-D12</f>
        <v>-2100</v>
      </c>
      <c r="K28" s="19">
        <f t="shared" si="8"/>
        <v>-0.94736842105263164</v>
      </c>
      <c r="M28" s="29"/>
      <c r="N28" s="29"/>
      <c r="O28" s="6"/>
    </row>
    <row r="29" spans="1:15" x14ac:dyDescent="0.2">
      <c r="A29" s="1" t="s">
        <v>71</v>
      </c>
      <c r="B29" s="15">
        <v>350000</v>
      </c>
      <c r="C29" s="15">
        <v>350000</v>
      </c>
      <c r="D29" s="15">
        <v>350000</v>
      </c>
      <c r="H29" s="1" t="s">
        <v>46</v>
      </c>
      <c r="I29" s="22">
        <f>SUM(I24:I28)</f>
        <v>-1296900</v>
      </c>
      <c r="J29" s="22">
        <f>SUM(J24:J28)</f>
        <v>-1732100</v>
      </c>
      <c r="K29" s="19">
        <f t="shared" si="8"/>
        <v>0.33556943480607604</v>
      </c>
      <c r="M29" s="29"/>
      <c r="N29" s="29"/>
      <c r="O29" s="6"/>
    </row>
    <row r="30" spans="1:15" x14ac:dyDescent="0.2">
      <c r="A30" s="1" t="s">
        <v>24</v>
      </c>
      <c r="B30" s="16">
        <v>80000</v>
      </c>
      <c r="C30" s="16">
        <v>120000</v>
      </c>
      <c r="D30" s="16">
        <v>126000</v>
      </c>
      <c r="H30" s="1" t="s">
        <v>47</v>
      </c>
      <c r="I30" s="22">
        <f>-(C20-B20)</f>
        <v>-50000</v>
      </c>
      <c r="J30" s="22">
        <f>-(D20-C20)</f>
        <v>-100000</v>
      </c>
      <c r="K30" s="19">
        <f t="shared" si="8"/>
        <v>1</v>
      </c>
      <c r="M30" s="29"/>
      <c r="N30" s="29"/>
      <c r="O30" s="6"/>
    </row>
    <row r="31" spans="1:15" ht="17" thickBot="1" x14ac:dyDescent="0.25">
      <c r="A31" s="5" t="s">
        <v>25</v>
      </c>
      <c r="B31" s="17">
        <f>SUM(B27:B30)</f>
        <v>1000000</v>
      </c>
      <c r="C31" s="17">
        <f>SUM(C27:C30)</f>
        <v>1200000</v>
      </c>
      <c r="D31" s="17">
        <f>SUM(D27:D30)</f>
        <v>1470000</v>
      </c>
      <c r="H31" s="8" t="s">
        <v>73</v>
      </c>
      <c r="I31" s="22">
        <f>C24-B24</f>
        <v>40000</v>
      </c>
      <c r="J31" s="22">
        <f>D24-C24</f>
        <v>10000</v>
      </c>
      <c r="K31" s="19">
        <f t="shared" si="8"/>
        <v>-0.75</v>
      </c>
      <c r="M31" s="29"/>
      <c r="N31" s="29"/>
      <c r="O31" s="6"/>
    </row>
    <row r="32" spans="1:15" ht="17" thickTop="1" x14ac:dyDescent="0.2">
      <c r="H32" s="8" t="s">
        <v>74</v>
      </c>
      <c r="I32" s="22">
        <f>C25-B25</f>
        <v>20000</v>
      </c>
      <c r="J32" s="22">
        <f>D25-C25</f>
        <v>10000</v>
      </c>
      <c r="K32" s="19">
        <f t="shared" si="8"/>
        <v>-0.5</v>
      </c>
      <c r="M32" s="29"/>
      <c r="N32" s="29"/>
      <c r="O32" s="6"/>
    </row>
    <row r="33" spans="8:15" x14ac:dyDescent="0.2">
      <c r="H33" s="1" t="s">
        <v>48</v>
      </c>
      <c r="I33" s="22">
        <f>-(C22-B22)</f>
        <v>-100000</v>
      </c>
      <c r="J33" s="22">
        <f>-(D22-C22)</f>
        <v>-100000</v>
      </c>
      <c r="K33" s="19">
        <f t="shared" si="8"/>
        <v>0</v>
      </c>
      <c r="M33" s="29"/>
      <c r="N33" s="29"/>
      <c r="O33" s="6"/>
    </row>
    <row r="34" spans="8:15" x14ac:dyDescent="0.2">
      <c r="H34" s="1" t="s">
        <v>49</v>
      </c>
      <c r="I34" s="22">
        <f>-C8</f>
        <v>-53000</v>
      </c>
      <c r="J34" s="22">
        <f>-D8</f>
        <v>-60000</v>
      </c>
      <c r="K34" s="19">
        <f t="shared" si="8"/>
        <v>0.13207547169811318</v>
      </c>
      <c r="M34" s="29"/>
      <c r="N34" s="29"/>
      <c r="O34" s="6"/>
    </row>
    <row r="35" spans="8:15" x14ac:dyDescent="0.2">
      <c r="H35" s="1" t="s">
        <v>50</v>
      </c>
      <c r="I35" s="22">
        <f>I33+I34</f>
        <v>-153000</v>
      </c>
      <c r="J35" s="22">
        <f>J33+J34</f>
        <v>-160000</v>
      </c>
      <c r="K35" s="19">
        <f t="shared" si="8"/>
        <v>4.5751633986928164E-2</v>
      </c>
      <c r="M35" s="29"/>
      <c r="N35" s="29"/>
      <c r="O35" s="6"/>
    </row>
    <row r="36" spans="8:15" x14ac:dyDescent="0.2">
      <c r="H36" s="1" t="s">
        <v>51</v>
      </c>
      <c r="I36" s="21">
        <f>SUM(I29:I34)</f>
        <v>-1439900</v>
      </c>
      <c r="J36" s="21">
        <f>SUM(J29:J34)</f>
        <v>-1972100</v>
      </c>
      <c r="K36" s="19">
        <f t="shared" si="8"/>
        <v>0.36960900062504343</v>
      </c>
      <c r="M36" s="31"/>
      <c r="N36" s="31"/>
      <c r="O36" s="6"/>
    </row>
    <row r="37" spans="8:15" x14ac:dyDescent="0.2">
      <c r="H37" s="1" t="s">
        <v>52</v>
      </c>
      <c r="I37" s="21">
        <f>I21+I36</f>
        <v>100</v>
      </c>
      <c r="J37" s="21">
        <f>J21+J36</f>
        <v>-272100</v>
      </c>
      <c r="K37" s="19">
        <f>J37-I37</f>
        <v>-272200</v>
      </c>
      <c r="L37" t="s">
        <v>77</v>
      </c>
      <c r="M37" s="2"/>
      <c r="N37" s="31"/>
      <c r="O37" s="6"/>
    </row>
    <row r="39" spans="8:15" x14ac:dyDescent="0.2">
      <c r="H39" s="36" t="s">
        <v>55</v>
      </c>
      <c r="I39" s="36"/>
      <c r="J39" s="36"/>
      <c r="K39" s="36"/>
    </row>
    <row r="40" spans="8:15" x14ac:dyDescent="0.2">
      <c r="H40" t="s">
        <v>1</v>
      </c>
      <c r="I40" s="2">
        <f ca="1">I17</f>
        <v>2023</v>
      </c>
      <c r="J40" s="2">
        <f ca="1">J17</f>
        <v>2024</v>
      </c>
      <c r="K40" s="3" t="s">
        <v>27</v>
      </c>
      <c r="L40" s="2" t="s">
        <v>54</v>
      </c>
      <c r="M40" s="2" t="s">
        <v>78</v>
      </c>
    </row>
    <row r="41" spans="8:15" x14ac:dyDescent="0.2">
      <c r="H41" s="1" t="s">
        <v>56</v>
      </c>
      <c r="I41" s="24">
        <f>(C27+C28)/C23</f>
        <v>0.60833333333333328</v>
      </c>
      <c r="J41" s="24">
        <f>(D27+D28)/D23</f>
        <v>0.67619047619047623</v>
      </c>
      <c r="K41" s="19">
        <f>(J41/I41)-1</f>
        <v>0.11154598825831719</v>
      </c>
      <c r="L41" s="26">
        <v>0.40899999999999997</v>
      </c>
      <c r="M41" s="34" t="s">
        <v>79</v>
      </c>
    </row>
    <row r="42" spans="8:15" x14ac:dyDescent="0.2">
      <c r="H42" s="1" t="s">
        <v>57</v>
      </c>
      <c r="I42" s="24">
        <f>C23/(C29+C30)</f>
        <v>2.5531914893617023</v>
      </c>
      <c r="J42" s="24">
        <f>D23/(D29+D30)</f>
        <v>3.0882352941176472</v>
      </c>
      <c r="K42" s="19">
        <f t="shared" ref="K42:K45" si="9">(J42/I42)-1</f>
        <v>0.20955882352941169</v>
      </c>
      <c r="L42" s="20"/>
    </row>
    <row r="43" spans="8:15" x14ac:dyDescent="0.2">
      <c r="H43" s="1" t="s">
        <v>58</v>
      </c>
      <c r="I43" s="24">
        <f>(C27+C28)/(C29+C30)</f>
        <v>1.553191489361702</v>
      </c>
      <c r="J43" s="24">
        <f>(D27+D28)/(D29+D30)</f>
        <v>2.0882352941176472</v>
      </c>
      <c r="K43" s="19">
        <f t="shared" si="9"/>
        <v>0.34448025785656755</v>
      </c>
      <c r="L43" s="20">
        <f>(0.57+0.5+0.45+0.45)/4</f>
        <v>0.49249999999999994</v>
      </c>
      <c r="M43" s="34" t="s">
        <v>80</v>
      </c>
    </row>
    <row r="44" spans="8:15" x14ac:dyDescent="0.2">
      <c r="H44" s="1" t="s">
        <v>59</v>
      </c>
      <c r="I44" s="24">
        <f>C27/(C27+C28)</f>
        <v>0.45205479452054792</v>
      </c>
      <c r="J44" s="24">
        <f>D27/(D27+D28)</f>
        <v>0.44668008048289737</v>
      </c>
      <c r="K44" s="19">
        <f t="shared" si="9"/>
        <v>-1.188951893177248E-2</v>
      </c>
      <c r="L44" s="20"/>
    </row>
    <row r="45" spans="8:15" x14ac:dyDescent="0.2">
      <c r="H45" s="1" t="s">
        <v>60</v>
      </c>
      <c r="I45" s="24">
        <f>C9/C10</f>
        <v>4.333333333333333</v>
      </c>
      <c r="J45" s="24">
        <f>D9/D10</f>
        <v>1.1428571428571428</v>
      </c>
      <c r="K45" s="19">
        <f t="shared" si="9"/>
        <v>-0.73626373626373631</v>
      </c>
      <c r="L45" s="20">
        <f>(26.83+15.67+15.46+10.95)/4</f>
        <v>17.227499999999999</v>
      </c>
      <c r="M45" s="34" t="s">
        <v>80</v>
      </c>
    </row>
    <row r="47" spans="8:15" x14ac:dyDescent="0.2">
      <c r="H47" s="36" t="s">
        <v>61</v>
      </c>
      <c r="I47" s="36"/>
      <c r="J47" s="36"/>
      <c r="K47" s="36"/>
    </row>
    <row r="48" spans="8:15" x14ac:dyDescent="0.2">
      <c r="H48" t="s">
        <v>1</v>
      </c>
      <c r="I48" s="2">
        <f ca="1">I40</f>
        <v>2023</v>
      </c>
      <c r="J48" s="2">
        <f ca="1">J40</f>
        <v>2024</v>
      </c>
      <c r="K48" s="3" t="s">
        <v>27</v>
      </c>
      <c r="L48" s="2" t="s">
        <v>54</v>
      </c>
      <c r="M48" s="2" t="s">
        <v>78</v>
      </c>
    </row>
    <row r="49" spans="8:13" x14ac:dyDescent="0.2">
      <c r="H49" s="1" t="s">
        <v>62</v>
      </c>
      <c r="I49" s="19">
        <f>C5/C3</f>
        <v>0.4</v>
      </c>
      <c r="J49" s="19">
        <f>D5/D3</f>
        <v>0.3</v>
      </c>
      <c r="K49" s="19">
        <f>(J49/I49)-1</f>
        <v>-0.25000000000000011</v>
      </c>
      <c r="L49" s="27">
        <v>0.41010000000000002</v>
      </c>
      <c r="M49" s="34" t="s">
        <v>79</v>
      </c>
    </row>
    <row r="50" spans="8:13" x14ac:dyDescent="0.2">
      <c r="H50" s="1" t="s">
        <v>63</v>
      </c>
      <c r="I50" s="19">
        <f>C9/C3</f>
        <v>0.16466666666666666</v>
      </c>
      <c r="J50" s="19">
        <f>D9/D3</f>
        <v>4.4444444444444446E-2</v>
      </c>
      <c r="K50" s="19">
        <f t="shared" ref="K50:K52" si="10">(J50/I50)-1</f>
        <v>-0.7300944669365721</v>
      </c>
      <c r="L50" s="27">
        <v>8.7099999999999997E-2</v>
      </c>
      <c r="M50" s="34" t="s">
        <v>79</v>
      </c>
    </row>
    <row r="51" spans="8:13" x14ac:dyDescent="0.2">
      <c r="H51" s="1" t="s">
        <v>64</v>
      </c>
      <c r="I51" s="19">
        <f>C13/C3</f>
        <v>0.10006666666666666</v>
      </c>
      <c r="J51" s="19">
        <f>D13/D3</f>
        <v>4.3888888888888892E-3</v>
      </c>
      <c r="K51" s="19">
        <f t="shared" si="10"/>
        <v>-0.95614035087719296</v>
      </c>
      <c r="L51" s="27">
        <v>0.1081</v>
      </c>
      <c r="M51" s="34" t="s">
        <v>79</v>
      </c>
    </row>
    <row r="52" spans="8:13" x14ac:dyDescent="0.2">
      <c r="H52" s="1" t="s">
        <v>65</v>
      </c>
      <c r="I52" s="19">
        <f>C9*(1-0.21)/C3</f>
        <v>0.13008666666666666</v>
      </c>
      <c r="J52" s="19">
        <f>D9*(1-0.21)/D3</f>
        <v>3.5111111111111114E-2</v>
      </c>
      <c r="K52" s="19">
        <f t="shared" si="10"/>
        <v>-0.7300944669365721</v>
      </c>
      <c r="L52" s="27"/>
    </row>
    <row r="53" spans="8:13" x14ac:dyDescent="0.2">
      <c r="I53" s="6"/>
    </row>
    <row r="54" spans="8:13" x14ac:dyDescent="0.2">
      <c r="H54" s="36" t="s">
        <v>66</v>
      </c>
      <c r="I54" s="36"/>
      <c r="J54" s="36"/>
      <c r="K54" s="36"/>
    </row>
    <row r="55" spans="8:13" x14ac:dyDescent="0.2">
      <c r="I55" s="2">
        <f ca="1">I48</f>
        <v>2023</v>
      </c>
      <c r="J55" s="2">
        <f ca="1">I55+1</f>
        <v>2024</v>
      </c>
      <c r="K55" s="1" t="s">
        <v>27</v>
      </c>
      <c r="L55" s="2" t="s">
        <v>54</v>
      </c>
      <c r="M55" s="2" t="s">
        <v>78</v>
      </c>
    </row>
    <row r="56" spans="8:13" x14ac:dyDescent="0.2">
      <c r="H56" s="1" t="s">
        <v>67</v>
      </c>
      <c r="I56" s="25">
        <f>C3/C23</f>
        <v>1.25</v>
      </c>
      <c r="J56" s="25">
        <f>D3/D23</f>
        <v>1.2244897959183674</v>
      </c>
      <c r="K56" s="19">
        <f>(J56/I56)-1</f>
        <v>-2.0408163265306145E-2</v>
      </c>
      <c r="L56" s="20">
        <f>(1.07+1.11+1.15+1.09)/4</f>
        <v>1.105</v>
      </c>
      <c r="M56" s="34" t="s">
        <v>80</v>
      </c>
    </row>
    <row r="57" spans="8:13" x14ac:dyDescent="0.2">
      <c r="H57" s="1" t="s">
        <v>68</v>
      </c>
      <c r="I57" s="19">
        <f>C9*(1-0.21)/C23</f>
        <v>0.16260833333333333</v>
      </c>
      <c r="J57" s="19">
        <f>D9*(1-0.21)/D23</f>
        <v>4.2993197278911564E-2</v>
      </c>
      <c r="K57" s="19">
        <f t="shared" ref="K57:K59" si="11">(J57/I57)-1</f>
        <v>-0.73560274312154017</v>
      </c>
      <c r="L57" s="20"/>
    </row>
    <row r="58" spans="8:13" x14ac:dyDescent="0.2">
      <c r="H58" s="1" t="s">
        <v>69</v>
      </c>
      <c r="I58" s="19">
        <f>C13/C23</f>
        <v>0.12508333333333332</v>
      </c>
      <c r="J58" s="19">
        <f>D13/D23</f>
        <v>5.3741496598639455E-3</v>
      </c>
      <c r="K58" s="19">
        <f t="shared" si="11"/>
        <v>-0.9570354457572503</v>
      </c>
      <c r="L58" s="26">
        <v>0.374</v>
      </c>
      <c r="M58" s="34" t="s">
        <v>79</v>
      </c>
    </row>
    <row r="59" spans="8:13" x14ac:dyDescent="0.2">
      <c r="H59" s="1" t="s">
        <v>70</v>
      </c>
      <c r="I59" s="19">
        <f>C13/(C29+C30)</f>
        <v>0.31936170212765957</v>
      </c>
      <c r="J59" s="19">
        <f>D13/(D29+D30)</f>
        <v>1.6596638655462185E-2</v>
      </c>
      <c r="K59" s="19">
        <f t="shared" si="11"/>
        <v>-0.94803184431667409</v>
      </c>
      <c r="L59" s="27">
        <v>0.32300000000000001</v>
      </c>
      <c r="M59" s="34" t="s">
        <v>79</v>
      </c>
    </row>
  </sheetData>
  <mergeCells count="8">
    <mergeCell ref="A1:D1"/>
    <mergeCell ref="A16:D16"/>
    <mergeCell ref="H54:K54"/>
    <mergeCell ref="H2:K2"/>
    <mergeCell ref="H8:K8"/>
    <mergeCell ref="H16:J16"/>
    <mergeCell ref="H39:K39"/>
    <mergeCell ref="H47:K47"/>
  </mergeCells>
  <hyperlinks>
    <hyperlink ref="M41" r:id="rId1" xr:uid="{8B353E00-F713-FA45-AF82-BE967AE0D0B0}"/>
    <hyperlink ref="M49" r:id="rId2" xr:uid="{C548D0D2-F7EC-E24E-8E8F-D88C2FC6278E}"/>
    <hyperlink ref="M50:M51" r:id="rId3" display="MarketAtlas" xr:uid="{3D887A36-1177-5A4B-8E55-761DA5E6F70D}"/>
    <hyperlink ref="M58" r:id="rId4" xr:uid="{DED516EB-506C-744B-AC84-8B2A8C8244E3}"/>
    <hyperlink ref="M59" r:id="rId5" xr:uid="{802A5692-7422-194A-9D65-6C8F54BF3529}"/>
    <hyperlink ref="M56" r:id="rId6" xr:uid="{39AD2210-6365-8447-93BD-F16B4369CAEA}"/>
    <hyperlink ref="M45" r:id="rId7" xr:uid="{77249944-933C-424F-B708-F5E5225D11AD}"/>
    <hyperlink ref="M43" r:id="rId8" xr:uid="{8472C000-0DFE-F545-A03A-31F298531D1C}"/>
    <hyperlink ref="M10:M11" r:id="rId9" display="CSIMarket" xr:uid="{F3E69F90-1A3F-2E4D-A27F-201627716C69}"/>
    <hyperlink ref="M4" r:id="rId10" xr:uid="{073193E8-CD5B-4E42-8F11-31364F5947E2}"/>
  </hyperlinks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Scandi Financial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Leshchinskii</dc:creator>
  <cp:lastModifiedBy>Nenotte Aminata Yacine Seck</cp:lastModifiedBy>
  <dcterms:created xsi:type="dcterms:W3CDTF">2011-09-14T20:17:28Z</dcterms:created>
  <dcterms:modified xsi:type="dcterms:W3CDTF">2025-10-30T06:43:19Z</dcterms:modified>
</cp:coreProperties>
</file>