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notteaminatayacineseck/Downloads/"/>
    </mc:Choice>
  </mc:AlternateContent>
  <xr:revisionPtr revIDLastSave="0" documentId="8_{CC3B2C04-671B-EB4E-A119-D4C6628FBC25}" xr6:coauthVersionLast="47" xr6:coauthVersionMax="47" xr10:uidLastSave="{00000000-0000-0000-0000-000000000000}"/>
  <bookViews>
    <workbookView xWindow="11520" yWindow="760" windowWidth="18720" windowHeight="18000" xr2:uid="{00000000-000D-0000-FFFF-FFFF00000000}"/>
  </bookViews>
  <sheets>
    <sheet name="DFC Valuation" sheetId="1" r:id="rId1"/>
    <sheet name="Market Multiples Approach" sheetId="5" r:id="rId2"/>
    <sheet name="Adjusted Public Company Value" sheetId="7" r:id="rId3"/>
  </sheets>
  <definedNames>
    <definedName name="Beta">'DFC Valuation'!$F$18</definedName>
    <definedName name="Debt">'DFC Valuation'!#REF!</definedName>
    <definedName name="DebtEquity">#REF!</definedName>
    <definedName name="DepreciationTime">'DFC Valuation'!$B$15</definedName>
    <definedName name="fraction">'DFC Valuation'!$C$18</definedName>
    <definedName name="GrossMargin">'DFC Valuation'!$B$16</definedName>
    <definedName name="growth">'DFC Valuation'!#REF!</definedName>
    <definedName name="interest">'DFC Valuation'!#REF!</definedName>
    <definedName name="Investment">'DFC Valuation'!$B$14</definedName>
    <definedName name="NWC">'DFC Valuation'!$B$17</definedName>
    <definedName name="Premium">'DFC Valuation'!$F$17</definedName>
    <definedName name="RiskFree">'DFC Valuation'!#REF!</definedName>
    <definedName name="Tax">'DFC Valuation'!#REF!</definedName>
    <definedName name="WAC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7" i="1" s="1"/>
  <c r="E10" i="1"/>
  <c r="E14" i="1"/>
  <c r="B3" i="1"/>
  <c r="D30" i="1"/>
  <c r="E30" i="1"/>
  <c r="F30" i="1"/>
  <c r="G30" i="1"/>
  <c r="H30" i="1"/>
  <c r="C30" i="1"/>
  <c r="D25" i="1"/>
  <c r="D26" i="1" s="1"/>
  <c r="E25" i="1"/>
  <c r="E26" i="1" s="1"/>
  <c r="F25" i="1"/>
  <c r="F26" i="1" s="1"/>
  <c r="G25" i="1"/>
  <c r="G26" i="1" s="1"/>
  <c r="H25" i="1"/>
  <c r="H26" i="1" s="1"/>
  <c r="C25" i="1"/>
  <c r="C26" i="1" s="1"/>
  <c r="E23" i="1"/>
  <c r="F23" i="1"/>
  <c r="G23" i="1"/>
  <c r="H23" i="1"/>
  <c r="D23" i="1"/>
  <c r="D21" i="1"/>
  <c r="E21" i="1" s="1"/>
  <c r="F21" i="1" s="1"/>
  <c r="G21" i="1" s="1"/>
  <c r="H33" i="1" l="1"/>
  <c r="C45" i="1"/>
  <c r="F33" i="1"/>
  <c r="F32" i="1" s="1"/>
  <c r="E16" i="1"/>
  <c r="F34" i="1"/>
  <c r="E33" i="1"/>
  <c r="E32" i="1" s="1"/>
  <c r="D33" i="1"/>
  <c r="H34" i="1"/>
  <c r="C33" i="1"/>
  <c r="G33" i="1"/>
  <c r="G32" i="1" s="1"/>
  <c r="D36" i="1" l="1"/>
  <c r="D37" i="1" s="1"/>
  <c r="D32" i="1"/>
  <c r="H36" i="1"/>
  <c r="H37" i="1" s="1"/>
  <c r="H32" i="1"/>
  <c r="F36" i="1"/>
  <c r="F37" i="1" s="1"/>
  <c r="D44" i="1"/>
  <c r="E44" i="1" s="1"/>
  <c r="D34" i="1"/>
  <c r="E36" i="1"/>
  <c r="E34" i="1"/>
  <c r="G34" i="1"/>
  <c r="G36" i="1"/>
  <c r="D39" i="1"/>
  <c r="C32" i="1"/>
  <c r="C36" i="1"/>
  <c r="C34" i="1"/>
  <c r="F39" i="1" l="1"/>
  <c r="B2" i="1"/>
  <c r="B1" i="7"/>
  <c r="B5" i="7" s="1"/>
  <c r="B8" i="7" s="1"/>
  <c r="B11" i="7" s="1"/>
  <c r="B16" i="7" s="1"/>
  <c r="B6" i="5"/>
  <c r="D45" i="1"/>
  <c r="D47" i="1" s="1"/>
  <c r="H39" i="1"/>
  <c r="H40" i="1" s="1"/>
  <c r="F44" i="1"/>
  <c r="E45" i="1"/>
  <c r="E37" i="1"/>
  <c r="E39" i="1"/>
  <c r="F40" i="1"/>
  <c r="D40" i="1"/>
  <c r="G39" i="1"/>
  <c r="G37" i="1"/>
  <c r="C37" i="1"/>
  <c r="C39" i="1"/>
  <c r="C40" i="1" s="1"/>
  <c r="D49" i="1" l="1"/>
  <c r="B9" i="5"/>
  <c r="B14" i="5" s="1"/>
  <c r="B19" i="5" s="1"/>
  <c r="B8" i="5"/>
  <c r="B13" i="5" s="1"/>
  <c r="B18" i="5" s="1"/>
  <c r="G44" i="1"/>
  <c r="F45" i="1"/>
  <c r="F47" i="1" s="1"/>
  <c r="F49" i="1" s="1"/>
  <c r="E47" i="1"/>
  <c r="E49" i="1" s="1"/>
  <c r="E40" i="1"/>
  <c r="G40" i="1"/>
  <c r="H44" i="1" l="1"/>
  <c r="H45" i="1" s="1"/>
  <c r="H47" i="1" s="1"/>
  <c r="B54" i="1" s="1"/>
  <c r="B55" i="1" s="1"/>
  <c r="G45" i="1"/>
  <c r="G47" i="1" s="1"/>
  <c r="G49" i="1" l="1"/>
  <c r="H49" i="1" s="1"/>
  <c r="B58" i="1"/>
</calcChain>
</file>

<file path=xl/sharedStrings.xml><?xml version="1.0" encoding="utf-8"?>
<sst xmlns="http://schemas.openxmlformats.org/spreadsheetml/2006/main" count="92" uniqueCount="90">
  <si>
    <t>EBIT</t>
  </si>
  <si>
    <t>EBT</t>
  </si>
  <si>
    <t>Net Income</t>
  </si>
  <si>
    <t>CapEx</t>
  </si>
  <si>
    <t>EBITDA</t>
  </si>
  <si>
    <t>Changes in NWC</t>
  </si>
  <si>
    <t>NPV</t>
  </si>
  <si>
    <t>Debt</t>
  </si>
  <si>
    <t>WACC</t>
  </si>
  <si>
    <r>
      <t>FCF</t>
    </r>
    <r>
      <rPr>
        <vertAlign val="subscript"/>
        <sz val="12"/>
        <rFont val="Times New Roman"/>
        <family val="1"/>
      </rPr>
      <t>6</t>
    </r>
  </si>
  <si>
    <r>
      <t>TV</t>
    </r>
    <r>
      <rPr>
        <vertAlign val="subscript"/>
        <sz val="12"/>
        <rFont val="Times New Roman"/>
        <family val="1"/>
      </rPr>
      <t>5</t>
    </r>
  </si>
  <si>
    <t>FCF (ignoring tax credit)</t>
  </si>
  <si>
    <t>Metric</t>
  </si>
  <si>
    <t>EBITDA (2013)</t>
  </si>
  <si>
    <t>Revenues (2013)</t>
  </si>
  <si>
    <t>Cash</t>
  </si>
  <si>
    <t>Shares outstanding</t>
  </si>
  <si>
    <t>Current share price (pre-offer)</t>
  </si>
  <si>
    <t>$12</t>
  </si>
  <si>
    <t>ATL Capital offer per share</t>
  </si>
  <si>
    <t>$20</t>
  </si>
  <si>
    <t>ATL Capital offer (total)</t>
  </si>
  <si>
    <t>Cost of being public annually</t>
  </si>
  <si>
    <t>Potential synergies (claimed by ATL)</t>
  </si>
  <si>
    <t>Current EV/EBITDA multiple of peers</t>
  </si>
  <si>
    <t>8x</t>
  </si>
  <si>
    <t>Recent comparable transactions</t>
  </si>
  <si>
    <t>7.5x EV/EBITDA</t>
  </si>
  <si>
    <t>Maximum potential debt capacity</t>
  </si>
  <si>
    <t>Current quarterly dividend per share</t>
  </si>
  <si>
    <t>$0.03 (1% annual yield)</t>
  </si>
  <si>
    <t>$120000000</t>
  </si>
  <si>
    <t>$50</t>
  </si>
  <si>
    <t>$3</t>
  </si>
  <si>
    <t>$2</t>
  </si>
  <si>
    <t>Forecast free operating cash flows for every year during the forecast horizon</t>
  </si>
  <si>
    <t>Effective Tax Rate</t>
  </si>
  <si>
    <t xml:space="preserve">Interest Rate </t>
  </si>
  <si>
    <t>6.7%</t>
  </si>
  <si>
    <t>$ in thousands, December fiscal year</t>
  </si>
  <si>
    <t>Sales</t>
  </si>
  <si>
    <t>Gross Profit</t>
  </si>
  <si>
    <t>Personnel Expenses</t>
  </si>
  <si>
    <t>Other Operating Expenses</t>
  </si>
  <si>
    <t>% Change</t>
  </si>
  <si>
    <t>COGS</t>
  </si>
  <si>
    <t>Gross Profit % of Sales</t>
  </si>
  <si>
    <t>Stock-Based Compensation</t>
  </si>
  <si>
    <t>Depreciation &amp; Amortization</t>
  </si>
  <si>
    <t>EBIT % of Sales</t>
  </si>
  <si>
    <t>Interest Expense</t>
  </si>
  <si>
    <t>EBT % of Sales</t>
  </si>
  <si>
    <t>Net Income % of Sales</t>
  </si>
  <si>
    <t xml:space="preserve">Total Operating Expenses </t>
  </si>
  <si>
    <t>Value ( in thousands of dollars)</t>
  </si>
  <si>
    <t xml:space="preserve">Income Tax Expense </t>
  </si>
  <si>
    <t>Current Assets (2013)</t>
  </si>
  <si>
    <t>Current Liabilities (2013)</t>
  </si>
  <si>
    <t>Current Assets (2012)</t>
  </si>
  <si>
    <t>Current Liabilities (2012)</t>
  </si>
  <si>
    <t xml:space="preserve">Estimated Growth Rate </t>
  </si>
  <si>
    <t>NWC 2012</t>
  </si>
  <si>
    <t>NWC 2013</t>
  </si>
  <si>
    <t>PV of FCF</t>
  </si>
  <si>
    <t xml:space="preserve">Estimated value at the end of forecast horizon </t>
  </si>
  <si>
    <t xml:space="preserve">Estimated cost of capital </t>
  </si>
  <si>
    <t>Terminal Year</t>
  </si>
  <si>
    <t xml:space="preserve">DCF </t>
  </si>
  <si>
    <t>EV/EBITDA Multiples from Comparable Companies:</t>
  </si>
  <si>
    <t xml:space="preserve">Applying to Chino's 2013 EBITDA </t>
  </si>
  <si>
    <t>EV(using median)</t>
  </si>
  <si>
    <t>EV(using mean)</t>
  </si>
  <si>
    <t>EBITDA Median</t>
  </si>
  <si>
    <t>EBITDA Mean</t>
  </si>
  <si>
    <t xml:space="preserve">Net DEBT </t>
  </si>
  <si>
    <t>Equity Value (using median)</t>
  </si>
  <si>
    <t>Equity Value (using mean)</t>
  </si>
  <si>
    <t xml:space="preserve">NOTE :The median multiple of 6.8x is lower than the "over 8x" mentioned in the case, suggesting some comparable companies may not be perfectly aligned with Chino's business model. </t>
  </si>
  <si>
    <t>2013 EBITDA:</t>
  </si>
  <si>
    <t>Public company costs savings</t>
  </si>
  <si>
    <t>Adjusted EBITDA</t>
  </si>
  <si>
    <t>Median Multiple</t>
  </si>
  <si>
    <t>Entreprise Value</t>
  </si>
  <si>
    <t>Equity value</t>
  </si>
  <si>
    <t xml:space="preserve">Per share </t>
  </si>
  <si>
    <t>Per Share</t>
  </si>
  <si>
    <t>Net Working Capital of sales</t>
  </si>
  <si>
    <t>4.6%</t>
  </si>
  <si>
    <t xml:space="preserve">Outstanding shares </t>
  </si>
  <si>
    <t xml:space="preserve">Outsatnding shares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</si>
</sst>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8" formatCode="&quot;Year &quot;0"/>
    <numFmt numFmtId="169" formatCode="0.0%"/>
  </numFmts>
  <fonts count="15">
    <font>
      <sz val="12"/>
      <name val="Times New Roman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vertAlign val="subscript"/>
      <sz val="12"/>
      <name val="Times New Roman"/>
      <family val="1"/>
    </font>
    <font>
      <sz val="12"/>
      <name val="Symbol"/>
      <family val="1"/>
      <charset val="2"/>
    </font>
    <font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4"/>
      <color rgb="FF000000"/>
      <name val="-webkit-standard"/>
    </font>
    <font>
      <sz val="14"/>
      <color rgb="FF000000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165" fontId="2" fillId="0" borderId="0" xfId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9" fontId="6" fillId="0" borderId="0" xfId="0" applyNumberFormat="1" applyFont="1" applyAlignment="1">
      <alignment vertical="center" wrapText="1"/>
    </xf>
    <xf numFmtId="0" fontId="6" fillId="0" borderId="0" xfId="2" applyFont="1"/>
    <xf numFmtId="165" fontId="6" fillId="0" borderId="0" xfId="1" applyFont="1"/>
    <xf numFmtId="0" fontId="7" fillId="0" borderId="0" xfId="2" applyFont="1"/>
    <xf numFmtId="165" fontId="6" fillId="0" borderId="0" xfId="2" applyNumberFormat="1" applyFont="1"/>
    <xf numFmtId="10" fontId="6" fillId="0" borderId="0" xfId="3" applyNumberFormat="1" applyFont="1"/>
    <xf numFmtId="0" fontId="8" fillId="0" borderId="0" xfId="2" applyFont="1"/>
    <xf numFmtId="0" fontId="1" fillId="0" borderId="0" xfId="2" applyFont="1"/>
    <xf numFmtId="165" fontId="6" fillId="0" borderId="0" xfId="1" applyFont="1" applyFill="1"/>
    <xf numFmtId="0" fontId="1" fillId="0" borderId="0" xfId="0" applyFont="1" applyAlignment="1">
      <alignment vertical="center"/>
    </xf>
    <xf numFmtId="168" fontId="6" fillId="0" borderId="0" xfId="2" applyNumberFormat="1" applyFont="1"/>
    <xf numFmtId="0" fontId="1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5" fontId="6" fillId="0" borderId="0" xfId="1" applyFont="1" applyFill="1" applyBorder="1"/>
    <xf numFmtId="0" fontId="9" fillId="0" borderId="0" xfId="0" applyFont="1"/>
    <xf numFmtId="0" fontId="10" fillId="0" borderId="0" xfId="0" applyFont="1"/>
    <xf numFmtId="165" fontId="0" fillId="0" borderId="0" xfId="1" applyFont="1"/>
    <xf numFmtId="166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2" quotePrefix="1" applyFont="1" applyAlignment="1">
      <alignment horizontal="left"/>
    </xf>
    <xf numFmtId="0" fontId="1" fillId="0" borderId="0" xfId="2" applyFont="1" applyAlignment="1">
      <alignment horizontal="left"/>
    </xf>
    <xf numFmtId="165" fontId="2" fillId="0" borderId="0" xfId="1" applyFont="1" applyFill="1"/>
    <xf numFmtId="169" fontId="1" fillId="0" borderId="0" xfId="3" applyNumberFormat="1" applyFont="1" applyAlignment="1">
      <alignment horizontal="right"/>
    </xf>
    <xf numFmtId="169" fontId="1" fillId="0" borderId="0" xfId="3" applyNumberFormat="1" applyFont="1" applyFill="1" applyAlignment="1">
      <alignment horizontal="right"/>
    </xf>
    <xf numFmtId="0" fontId="11" fillId="0" borderId="0" xfId="2" applyFont="1" applyAlignment="1">
      <alignment horizontal="left"/>
    </xf>
    <xf numFmtId="0" fontId="11" fillId="0" borderId="0" xfId="2" quotePrefix="1" applyFont="1" applyAlignment="1">
      <alignment horizontal="left"/>
    </xf>
    <xf numFmtId="166" fontId="1" fillId="0" borderId="0" xfId="1" applyNumberFormat="1" applyFont="1" applyFill="1" applyAlignment="1">
      <alignment horizontal="right"/>
    </xf>
    <xf numFmtId="168" fontId="1" fillId="0" borderId="0" xfId="2" applyNumberFormat="1" applyFont="1" applyAlignment="1">
      <alignment horizontal="right"/>
    </xf>
    <xf numFmtId="0" fontId="1" fillId="0" borderId="0" xfId="0" applyFont="1" applyAlignment="1">
      <alignment wrapText="1"/>
    </xf>
    <xf numFmtId="168" fontId="1" fillId="0" borderId="0" xfId="2" applyNumberFormat="1" applyFont="1"/>
    <xf numFmtId="165" fontId="1" fillId="0" borderId="0" xfId="1" applyFont="1" applyFill="1" applyBorder="1"/>
    <xf numFmtId="10" fontId="6" fillId="0" borderId="0" xfId="3" applyNumberFormat="1" applyFont="1" applyFill="1"/>
    <xf numFmtId="166" fontId="6" fillId="0" borderId="0" xfId="1" applyNumberFormat="1" applyFont="1" applyFill="1"/>
    <xf numFmtId="0" fontId="12" fillId="0" borderId="0" xfId="0" applyFont="1"/>
    <xf numFmtId="166" fontId="0" fillId="0" borderId="0" xfId="0" applyNumberFormat="1"/>
    <xf numFmtId="0" fontId="13" fillId="0" borderId="0" xfId="0" applyFont="1"/>
    <xf numFmtId="0" fontId="14" fillId="0" borderId="0" xfId="0" applyFont="1"/>
    <xf numFmtId="166" fontId="14" fillId="0" borderId="0" xfId="0" applyNumberFormat="1" applyFont="1"/>
    <xf numFmtId="166" fontId="13" fillId="0" borderId="0" xfId="0" applyNumberFormat="1" applyFont="1"/>
    <xf numFmtId="9" fontId="1" fillId="0" borderId="0" xfId="3" applyFont="1" applyFill="1" applyAlignment="1">
      <alignment horizontal="right"/>
    </xf>
    <xf numFmtId="165" fontId="1" fillId="0" borderId="0" xfId="1" applyFont="1" applyFill="1" applyAlignment="1">
      <alignment horizontal="right"/>
    </xf>
    <xf numFmtId="165" fontId="0" fillId="0" borderId="0" xfId="1" applyFont="1" applyFill="1"/>
    <xf numFmtId="165" fontId="6" fillId="0" borderId="0" xfId="2" applyNumberFormat="1" applyFont="1" applyFill="1"/>
    <xf numFmtId="0" fontId="6" fillId="0" borderId="0" xfId="2" applyFont="1" applyFill="1"/>
    <xf numFmtId="166" fontId="2" fillId="0" borderId="0" xfId="1" applyNumberFormat="1" applyFont="1" applyFill="1"/>
    <xf numFmtId="164" fontId="6" fillId="0" borderId="0" xfId="1" applyNumberFormat="1" applyFont="1" applyFill="1"/>
    <xf numFmtId="164" fontId="6" fillId="0" borderId="0" xfId="2" applyNumberFormat="1" applyFont="1" applyFill="1"/>
    <xf numFmtId="165" fontId="10" fillId="0" borderId="0" xfId="0" applyNumberFormat="1" applyFont="1" applyFill="1" applyAlignment="1">
      <alignment horizontal="right"/>
    </xf>
    <xf numFmtId="9" fontId="6" fillId="0" borderId="0" xfId="2" applyNumberFormat="1" applyFont="1" applyFill="1"/>
    <xf numFmtId="9" fontId="1" fillId="0" borderId="0" xfId="2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6" fillId="0" borderId="0" xfId="0" applyFont="1" applyFill="1" applyAlignment="1">
      <alignment wrapText="1"/>
    </xf>
    <xf numFmtId="165" fontId="6" fillId="0" borderId="0" xfId="0" applyNumberFormat="1" applyFont="1" applyFill="1" applyAlignment="1">
      <alignment wrapText="1"/>
    </xf>
    <xf numFmtId="165" fontId="6" fillId="0" borderId="0" xfId="0" applyNumberFormat="1" applyFont="1" applyFill="1" applyAlignment="1">
      <alignment vertical="center" wrapText="1"/>
    </xf>
    <xf numFmtId="0" fontId="13" fillId="0" borderId="0" xfId="0" applyFont="1" applyFill="1"/>
    <xf numFmtId="0" fontId="14" fillId="0" borderId="0" xfId="0" applyFont="1" applyFill="1"/>
    <xf numFmtId="166" fontId="14" fillId="0" borderId="0" xfId="0" applyNumberFormat="1" applyFont="1" applyFill="1"/>
    <xf numFmtId="166" fontId="13" fillId="0" borderId="0" xfId="0" applyNumberFormat="1" applyFont="1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</cellXfs>
  <cellStyles count="4">
    <cellStyle name="Currency" xfId="1" builtinId="4"/>
    <cellStyle name="Normal" xfId="0" builtinId="0"/>
    <cellStyle name="Normal_Thorelle" xfId="2" xr:uid="{00000000-0005-0000-0000-000003000000}"/>
    <cellStyle name="Per cent" xfId="3" builtinId="5"/>
  </cellStyles>
  <dxfs count="0"/>
  <tableStyles count="0" defaultTableStyle="TableStyleMedium9" defaultPivotStyle="PivotStyleLight16"/>
  <colors>
    <mruColors>
      <color rgb="FFFFCC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zoomScaleNormal="120" workbookViewId="0">
      <selection activeCell="C10" sqref="C10"/>
    </sheetView>
  </sheetViews>
  <sheetFormatPr baseColWidth="10" defaultColWidth="12" defaultRowHeight="16"/>
  <cols>
    <col min="1" max="1" width="31.83203125" style="5" customWidth="1"/>
    <col min="2" max="2" width="28.6640625" style="5" bestFit="1" customWidth="1"/>
    <col min="3" max="3" width="12.33203125" style="5" bestFit="1" customWidth="1"/>
    <col min="4" max="4" width="25.33203125" style="5" bestFit="1" customWidth="1"/>
    <col min="5" max="5" width="17" style="5" customWidth="1"/>
    <col min="6" max="6" width="16.83203125" style="5" customWidth="1"/>
    <col min="7" max="7" width="22.33203125" style="5" customWidth="1"/>
    <col min="8" max="8" width="14.6640625" style="5" customWidth="1"/>
    <col min="9" max="9" width="15.5" style="5" customWidth="1"/>
    <col min="10" max="16384" width="12" style="5"/>
  </cols>
  <sheetData>
    <row r="1" spans="1:9" ht="16.25" customHeight="1">
      <c r="A1" s="18" t="s">
        <v>12</v>
      </c>
      <c r="B1" s="18" t="s">
        <v>54</v>
      </c>
      <c r="E1" s="16"/>
      <c r="F1" s="16"/>
      <c r="G1" s="16"/>
      <c r="H1" s="16"/>
      <c r="I1" s="16"/>
    </row>
    <row r="2" spans="1:9" ht="16.25" customHeight="1">
      <c r="A2" s="19" t="s">
        <v>13</v>
      </c>
      <c r="B2" s="51">
        <f>C32</f>
        <v>29514</v>
      </c>
      <c r="E2" s="16"/>
      <c r="F2" s="16"/>
      <c r="G2" s="16"/>
      <c r="H2" s="16"/>
      <c r="I2" s="16"/>
    </row>
    <row r="3" spans="1:9" ht="16.25" customHeight="1">
      <c r="A3" s="19" t="s">
        <v>14</v>
      </c>
      <c r="B3" s="51">
        <f>C22</f>
        <v>558354</v>
      </c>
      <c r="D3" s="19" t="s">
        <v>16</v>
      </c>
      <c r="E3" s="54">
        <v>10000</v>
      </c>
    </row>
    <row r="4" spans="1:9" ht="16.25" customHeight="1">
      <c r="A4" s="19" t="s">
        <v>15</v>
      </c>
      <c r="B4" s="51" t="s">
        <v>20</v>
      </c>
      <c r="D4" s="19" t="s">
        <v>17</v>
      </c>
      <c r="E4" s="54" t="s">
        <v>18</v>
      </c>
    </row>
    <row r="5" spans="1:9" ht="16.25" customHeight="1">
      <c r="A5" s="19" t="s">
        <v>7</v>
      </c>
      <c r="B5" s="51" t="s">
        <v>32</v>
      </c>
      <c r="D5" s="19" t="s">
        <v>19</v>
      </c>
      <c r="E5" s="54" t="s">
        <v>20</v>
      </c>
    </row>
    <row r="6" spans="1:9" ht="16.25" customHeight="1">
      <c r="A6" s="11" t="s">
        <v>36</v>
      </c>
      <c r="B6" s="52">
        <v>0.4</v>
      </c>
      <c r="D6" s="16"/>
      <c r="E6" s="55"/>
    </row>
    <row r="7" spans="1:9" ht="16.25" customHeight="1">
      <c r="A7" s="11" t="s">
        <v>37</v>
      </c>
      <c r="B7" s="53" t="s">
        <v>38</v>
      </c>
      <c r="D7" s="16"/>
      <c r="E7" s="55"/>
    </row>
    <row r="8" spans="1:9" ht="16.25" customHeight="1">
      <c r="A8" s="11"/>
      <c r="B8" s="52"/>
      <c r="D8" s="32" t="s">
        <v>58</v>
      </c>
      <c r="E8" s="46">
        <v>72791</v>
      </c>
    </row>
    <row r="9" spans="1:9" ht="19" customHeight="1">
      <c r="A9" s="19" t="s">
        <v>21</v>
      </c>
      <c r="B9" s="54">
        <v>20000</v>
      </c>
      <c r="D9" s="15" t="s">
        <v>59</v>
      </c>
      <c r="E9" s="46">
        <v>39238</v>
      </c>
    </row>
    <row r="10" spans="1:9">
      <c r="B10" s="47"/>
      <c r="D10" s="33" t="s">
        <v>61</v>
      </c>
      <c r="E10" s="46">
        <f>E8-E9</f>
        <v>33553</v>
      </c>
    </row>
    <row r="11" spans="1:9">
      <c r="A11" s="19" t="s">
        <v>22</v>
      </c>
      <c r="B11" s="51" t="s">
        <v>33</v>
      </c>
      <c r="E11" s="47"/>
    </row>
    <row r="12" spans="1:9" ht="17">
      <c r="A12" s="19" t="s">
        <v>23</v>
      </c>
      <c r="B12" s="51" t="s">
        <v>34</v>
      </c>
      <c r="D12" s="32" t="s">
        <v>56</v>
      </c>
      <c r="E12" s="56">
        <v>93646</v>
      </c>
    </row>
    <row r="13" spans="1:9" ht="17">
      <c r="B13" s="47"/>
      <c r="D13" s="15" t="s">
        <v>57</v>
      </c>
      <c r="E13" s="57">
        <v>45884</v>
      </c>
    </row>
    <row r="14" spans="1:9">
      <c r="A14" s="19" t="s">
        <v>24</v>
      </c>
      <c r="B14" s="54" t="s">
        <v>25</v>
      </c>
      <c r="D14" s="34" t="s">
        <v>62</v>
      </c>
      <c r="E14" s="17">
        <f>E12-E13</f>
        <v>47762</v>
      </c>
    </row>
    <row r="15" spans="1:9">
      <c r="A15" s="19" t="s">
        <v>26</v>
      </c>
      <c r="B15" s="54" t="s">
        <v>27</v>
      </c>
      <c r="D15" s="6"/>
    </row>
    <row r="16" spans="1:9" ht="17">
      <c r="A16" s="19" t="s">
        <v>28</v>
      </c>
      <c r="B16" s="54" t="s">
        <v>31</v>
      </c>
      <c r="D16" s="15" t="s">
        <v>60</v>
      </c>
      <c r="E16" s="9">
        <f>(E14/E10)/100</f>
        <v>1.4234792716001549E-2</v>
      </c>
    </row>
    <row r="17" spans="1:10">
      <c r="A17" s="19" t="s">
        <v>29</v>
      </c>
      <c r="B17" s="54" t="s">
        <v>30</v>
      </c>
      <c r="E17" s="2"/>
      <c r="F17" s="4"/>
      <c r="G17" s="15"/>
      <c r="H17" s="3"/>
    </row>
    <row r="18" spans="1:10">
      <c r="A18" s="13"/>
      <c r="B18" s="13"/>
      <c r="C18" s="4"/>
      <c r="D18" s="3"/>
      <c r="E18" s="2"/>
      <c r="F18" s="3"/>
      <c r="G18" s="15"/>
      <c r="H18" s="3"/>
    </row>
    <row r="19" spans="1:10" ht="18">
      <c r="A19" s="7" t="s">
        <v>35</v>
      </c>
      <c r="B19" s="7"/>
      <c r="D19" s="3"/>
      <c r="E19" s="3"/>
      <c r="F19" s="3"/>
      <c r="G19" s="3"/>
      <c r="H19" s="3"/>
    </row>
    <row r="20" spans="1:10">
      <c r="A20" s="10"/>
      <c r="B20" s="10"/>
      <c r="D20" s="3"/>
      <c r="E20" s="3"/>
      <c r="F20" s="3"/>
      <c r="G20" s="3"/>
      <c r="H20" s="3"/>
      <c r="J20" s="11"/>
    </row>
    <row r="21" spans="1:10">
      <c r="A21" s="22" t="s">
        <v>39</v>
      </c>
      <c r="B21" s="10"/>
      <c r="C21" s="14">
        <v>2013</v>
      </c>
      <c r="D21" s="14">
        <f>C21+1</f>
        <v>2014</v>
      </c>
      <c r="E21" s="14">
        <f t="shared" ref="E21:G21" si="0">D21+1</f>
        <v>2015</v>
      </c>
      <c r="F21" s="14">
        <f t="shared" si="0"/>
        <v>2016</v>
      </c>
      <c r="G21" s="14">
        <f t="shared" si="0"/>
        <v>2017</v>
      </c>
      <c r="H21" s="31" t="s">
        <v>66</v>
      </c>
    </row>
    <row r="22" spans="1:10">
      <c r="A22" s="22" t="s">
        <v>40</v>
      </c>
      <c r="B22" s="22"/>
      <c r="C22" s="21">
        <v>558354</v>
      </c>
      <c r="D22" s="30">
        <v>586272</v>
      </c>
      <c r="E22" s="30">
        <v>621448</v>
      </c>
      <c r="F22" s="30">
        <v>658735</v>
      </c>
      <c r="G22" s="30">
        <v>698259</v>
      </c>
      <c r="H22" s="30">
        <v>726189</v>
      </c>
      <c r="I22" s="12"/>
    </row>
    <row r="23" spans="1:10">
      <c r="A23" s="23" t="s">
        <v>44</v>
      </c>
      <c r="B23" s="23"/>
      <c r="C23" s="21" t="s">
        <v>87</v>
      </c>
      <c r="D23" s="43">
        <f>D22/C22-1</f>
        <v>5.0000537293545033E-2</v>
      </c>
      <c r="E23" s="43">
        <f t="shared" ref="E23:H23" si="1">E22/D22-1</f>
        <v>5.9999454178265355E-2</v>
      </c>
      <c r="F23" s="43">
        <f t="shared" si="1"/>
        <v>6.0000193097411225E-2</v>
      </c>
      <c r="G23" s="43">
        <f t="shared" si="1"/>
        <v>5.9999848193886818E-2</v>
      </c>
      <c r="H23" s="43">
        <f t="shared" si="1"/>
        <v>3.9999484431994414E-2</v>
      </c>
      <c r="I23" s="12"/>
    </row>
    <row r="24" spans="1:10">
      <c r="A24" s="24" t="s">
        <v>45</v>
      </c>
      <c r="B24" s="24"/>
      <c r="C24" s="21">
        <v>448852</v>
      </c>
      <c r="D24" s="44">
        <v>470259</v>
      </c>
      <c r="E24" s="44">
        <v>488701</v>
      </c>
      <c r="F24" s="44">
        <v>508813</v>
      </c>
      <c r="G24" s="44">
        <v>540547</v>
      </c>
      <c r="H24" s="44">
        <v>561892</v>
      </c>
      <c r="I24" s="12"/>
    </row>
    <row r="25" spans="1:10">
      <c r="A25" s="23" t="s">
        <v>41</v>
      </c>
      <c r="B25" s="23"/>
      <c r="C25" s="21">
        <f>C22-C24</f>
        <v>109502</v>
      </c>
      <c r="D25" s="30">
        <f t="shared" ref="D25:H25" si="2">D22-D24</f>
        <v>116013</v>
      </c>
      <c r="E25" s="30">
        <f t="shared" si="2"/>
        <v>132747</v>
      </c>
      <c r="F25" s="30">
        <f t="shared" si="2"/>
        <v>149922</v>
      </c>
      <c r="G25" s="30">
        <f t="shared" si="2"/>
        <v>157712</v>
      </c>
      <c r="H25" s="30">
        <f t="shared" si="2"/>
        <v>164297</v>
      </c>
      <c r="I25" s="12"/>
    </row>
    <row r="26" spans="1:10">
      <c r="A26" s="24" t="s">
        <v>46</v>
      </c>
      <c r="B26" s="24"/>
      <c r="C26" s="27">
        <f>C25/C22</f>
        <v>0.19611572586566944</v>
      </c>
      <c r="D26" s="27">
        <f t="shared" ref="D26:H26" si="3">D25/D22</f>
        <v>0.19788255280825282</v>
      </c>
      <c r="E26" s="27">
        <f t="shared" si="3"/>
        <v>0.21360918371287702</v>
      </c>
      <c r="F26" s="27">
        <f t="shared" si="3"/>
        <v>0.22759076107994869</v>
      </c>
      <c r="G26" s="27">
        <f t="shared" si="3"/>
        <v>0.2258646147060045</v>
      </c>
      <c r="H26" s="27">
        <f t="shared" si="3"/>
        <v>0.22624550908923158</v>
      </c>
      <c r="I26" s="12"/>
    </row>
    <row r="27" spans="1:10">
      <c r="A27" s="23" t="s">
        <v>42</v>
      </c>
      <c r="B27" s="23"/>
      <c r="C27" s="21">
        <v>58770</v>
      </c>
      <c r="D27" s="44">
        <v>57428</v>
      </c>
      <c r="E27" s="44">
        <v>61434</v>
      </c>
      <c r="F27" s="44">
        <v>69095</v>
      </c>
      <c r="G27" s="44">
        <v>72545</v>
      </c>
      <c r="H27" s="44">
        <v>72196</v>
      </c>
      <c r="I27" s="12"/>
      <c r="J27" s="11"/>
    </row>
    <row r="28" spans="1:10">
      <c r="A28" s="24" t="s">
        <v>43</v>
      </c>
      <c r="B28" s="24"/>
      <c r="C28" s="21">
        <v>21218</v>
      </c>
      <c r="D28" s="44">
        <v>23245</v>
      </c>
      <c r="E28" s="44">
        <v>26347</v>
      </c>
      <c r="F28" s="44">
        <v>27418</v>
      </c>
      <c r="G28" s="44">
        <v>24446</v>
      </c>
      <c r="H28" s="44">
        <v>30648</v>
      </c>
      <c r="I28" s="12"/>
    </row>
    <row r="29" spans="1:10">
      <c r="A29" s="23" t="s">
        <v>48</v>
      </c>
      <c r="B29" s="23"/>
      <c r="C29" s="21">
        <v>15865</v>
      </c>
      <c r="D29" s="44">
        <v>12320</v>
      </c>
      <c r="E29" s="44">
        <v>10989</v>
      </c>
      <c r="F29" s="44">
        <v>8052</v>
      </c>
      <c r="G29" s="44">
        <v>9055</v>
      </c>
      <c r="H29" s="44">
        <v>9062</v>
      </c>
      <c r="I29" s="12"/>
    </row>
    <row r="30" spans="1:10">
      <c r="A30" s="28" t="s">
        <v>53</v>
      </c>
      <c r="B30" s="24"/>
      <c r="C30" s="21">
        <f>C27+C28+C29</f>
        <v>95853</v>
      </c>
      <c r="D30" s="30">
        <f t="shared" ref="D30:H30" si="4">D27+D28+D29</f>
        <v>92993</v>
      </c>
      <c r="E30" s="30">
        <f t="shared" si="4"/>
        <v>98770</v>
      </c>
      <c r="F30" s="30">
        <f t="shared" si="4"/>
        <v>104565</v>
      </c>
      <c r="G30" s="30">
        <f t="shared" si="4"/>
        <v>106046</v>
      </c>
      <c r="H30" s="30">
        <f t="shared" si="4"/>
        <v>111906</v>
      </c>
      <c r="I30" s="12"/>
    </row>
    <row r="31" spans="1:10">
      <c r="A31" s="23" t="s">
        <v>47</v>
      </c>
      <c r="B31" s="23"/>
      <c r="C31" s="21">
        <v>1855</v>
      </c>
      <c r="D31" s="44">
        <v>1928</v>
      </c>
      <c r="E31" s="44">
        <v>2001</v>
      </c>
      <c r="F31" s="44">
        <v>2074</v>
      </c>
      <c r="G31" s="44">
        <v>2147</v>
      </c>
      <c r="H31" s="44">
        <v>2200</v>
      </c>
      <c r="I31" s="12"/>
    </row>
    <row r="32" spans="1:10">
      <c r="A32" s="29" t="s">
        <v>4</v>
      </c>
      <c r="B32" s="23"/>
      <c r="C32" s="30">
        <f>C29+C33</f>
        <v>29514</v>
      </c>
      <c r="D32" s="30">
        <f t="shared" ref="D32:H32" si="5">D29+D33</f>
        <v>35340</v>
      </c>
      <c r="E32" s="30">
        <f t="shared" si="5"/>
        <v>44966</v>
      </c>
      <c r="F32" s="30">
        <f t="shared" si="5"/>
        <v>53409</v>
      </c>
      <c r="G32" s="30">
        <f t="shared" si="5"/>
        <v>60721</v>
      </c>
      <c r="H32" s="30">
        <f t="shared" si="5"/>
        <v>61453</v>
      </c>
      <c r="I32" s="12"/>
    </row>
    <row r="33" spans="1:9">
      <c r="A33" s="29" t="s">
        <v>0</v>
      </c>
      <c r="B33" s="23"/>
      <c r="C33" s="21">
        <f>C25-C30</f>
        <v>13649</v>
      </c>
      <c r="D33" s="30">
        <f t="shared" ref="D33:H33" si="6">D25-D30</f>
        <v>23020</v>
      </c>
      <c r="E33" s="30">
        <f t="shared" si="6"/>
        <v>33977</v>
      </c>
      <c r="F33" s="30">
        <f t="shared" si="6"/>
        <v>45357</v>
      </c>
      <c r="G33" s="30">
        <f t="shared" si="6"/>
        <v>51666</v>
      </c>
      <c r="H33" s="30">
        <f t="shared" si="6"/>
        <v>52391</v>
      </c>
      <c r="I33" s="12"/>
    </row>
    <row r="34" spans="1:9">
      <c r="A34" s="23" t="s">
        <v>49</v>
      </c>
      <c r="B34" s="23"/>
      <c r="C34" s="26">
        <f>C33/C22</f>
        <v>2.444506531698528E-2</v>
      </c>
      <c r="D34" s="27">
        <f t="shared" ref="D34:H34" si="7">D33/D22</f>
        <v>3.9265051034332185E-2</v>
      </c>
      <c r="E34" s="27">
        <f t="shared" si="7"/>
        <v>5.4673922838274484E-2</v>
      </c>
      <c r="F34" s="27">
        <f t="shared" si="7"/>
        <v>6.8854698778719817E-2</v>
      </c>
      <c r="G34" s="27">
        <f t="shared" si="7"/>
        <v>7.3992601599120092E-2</v>
      </c>
      <c r="H34" s="27">
        <f t="shared" si="7"/>
        <v>7.2145130262232002E-2</v>
      </c>
      <c r="I34" s="12"/>
    </row>
    <row r="35" spans="1:9">
      <c r="A35" s="23" t="s">
        <v>50</v>
      </c>
      <c r="B35" s="23"/>
      <c r="C35" s="21">
        <v>3348</v>
      </c>
      <c r="D35" s="44">
        <v>3071</v>
      </c>
      <c r="E35" s="44">
        <v>2544</v>
      </c>
      <c r="F35" s="44">
        <v>2615</v>
      </c>
      <c r="G35" s="44">
        <v>2555</v>
      </c>
      <c r="H35" s="44">
        <v>2489</v>
      </c>
      <c r="I35" s="12"/>
    </row>
    <row r="36" spans="1:9">
      <c r="A36" s="29" t="s">
        <v>1</v>
      </c>
      <c r="B36" s="23"/>
      <c r="C36" s="30">
        <f>C33-C35</f>
        <v>10301</v>
      </c>
      <c r="D36" s="30">
        <f>D33-D35</f>
        <v>19949</v>
      </c>
      <c r="E36" s="30">
        <f t="shared" ref="E36:G36" si="8">E33-E35</f>
        <v>31433</v>
      </c>
      <c r="F36" s="30">
        <f t="shared" si="8"/>
        <v>42742</v>
      </c>
      <c r="G36" s="30">
        <f t="shared" si="8"/>
        <v>49111</v>
      </c>
      <c r="H36" s="30">
        <f>H33-H35</f>
        <v>49902</v>
      </c>
      <c r="I36" s="12"/>
    </row>
    <row r="37" spans="1:9">
      <c r="A37" s="23" t="s">
        <v>51</v>
      </c>
      <c r="B37" s="23"/>
      <c r="C37" s="26">
        <f>C36/C22</f>
        <v>1.8448869355283566E-2</v>
      </c>
      <c r="D37" s="27">
        <f t="shared" ref="D37:H37" si="9">D36/D22</f>
        <v>3.4026868074886744E-2</v>
      </c>
      <c r="E37" s="27">
        <f t="shared" si="9"/>
        <v>5.058025772067816E-2</v>
      </c>
      <c r="F37" s="27">
        <f t="shared" si="9"/>
        <v>6.4884968917698321E-2</v>
      </c>
      <c r="G37" s="27">
        <f t="shared" si="9"/>
        <v>7.033350089293515E-2</v>
      </c>
      <c r="H37" s="27">
        <f t="shared" si="9"/>
        <v>6.8717647885054717E-2</v>
      </c>
      <c r="I37" s="12"/>
    </row>
    <row r="38" spans="1:9">
      <c r="A38" s="23" t="s">
        <v>55</v>
      </c>
      <c r="B38" s="23"/>
      <c r="C38" s="20">
        <v>4120</v>
      </c>
      <c r="D38" s="45">
        <v>7980</v>
      </c>
      <c r="E38" s="45">
        <v>12573</v>
      </c>
      <c r="F38" s="45">
        <v>17097</v>
      </c>
      <c r="G38" s="45">
        <v>19644</v>
      </c>
      <c r="H38" s="45">
        <v>19961</v>
      </c>
      <c r="I38" s="25"/>
    </row>
    <row r="39" spans="1:9">
      <c r="A39" s="29" t="s">
        <v>2</v>
      </c>
      <c r="B39" s="23"/>
      <c r="C39" s="21">
        <f>C36-C38</f>
        <v>6181</v>
      </c>
      <c r="D39" s="30">
        <f t="shared" ref="D39:H39" si="10">D36-D38</f>
        <v>11969</v>
      </c>
      <c r="E39" s="30">
        <f t="shared" si="10"/>
        <v>18860</v>
      </c>
      <c r="F39" s="30">
        <f t="shared" si="10"/>
        <v>25645</v>
      </c>
      <c r="G39" s="30">
        <f t="shared" si="10"/>
        <v>29467</v>
      </c>
      <c r="H39" s="30">
        <f t="shared" si="10"/>
        <v>29941</v>
      </c>
      <c r="I39" s="1"/>
    </row>
    <row r="40" spans="1:9">
      <c r="A40" s="23" t="s">
        <v>52</v>
      </c>
      <c r="B40" s="23"/>
      <c r="C40" s="26">
        <f>C39/C22</f>
        <v>1.1070038004563413E-2</v>
      </c>
      <c r="D40" s="27">
        <f t="shared" ref="D40:H40" si="11">D39/D22</f>
        <v>2.0415438567763768E-2</v>
      </c>
      <c r="E40" s="27">
        <f t="shared" si="11"/>
        <v>3.0348476461425574E-2</v>
      </c>
      <c r="F40" s="27">
        <f t="shared" si="11"/>
        <v>3.8930677738392525E-2</v>
      </c>
      <c r="G40" s="27">
        <f t="shared" si="11"/>
        <v>4.2200673389100607E-2</v>
      </c>
      <c r="H40" s="27">
        <f t="shared" si="11"/>
        <v>4.1230313320636917E-2</v>
      </c>
      <c r="I40" s="1"/>
    </row>
    <row r="41" spans="1:9">
      <c r="A41" s="23"/>
      <c r="B41" s="23"/>
      <c r="I41" s="1"/>
    </row>
    <row r="42" spans="1:9">
      <c r="A42" s="10"/>
      <c r="B42" s="10"/>
      <c r="C42" s="48"/>
      <c r="D42" s="1"/>
      <c r="E42" s="1"/>
      <c r="F42" s="1"/>
      <c r="G42" s="1"/>
      <c r="H42" s="1"/>
      <c r="I42" s="1"/>
    </row>
    <row r="43" spans="1:9">
      <c r="A43" s="5" t="s">
        <v>3</v>
      </c>
      <c r="C43" s="30">
        <v>4664</v>
      </c>
      <c r="D43" s="44">
        <v>4883</v>
      </c>
      <c r="E43" s="44">
        <v>5044</v>
      </c>
      <c r="F43" s="44">
        <v>5185</v>
      </c>
      <c r="G43" s="44">
        <v>5346</v>
      </c>
      <c r="H43" s="44">
        <v>5513</v>
      </c>
      <c r="I43" s="6"/>
    </row>
    <row r="44" spans="1:9">
      <c r="A44" s="11" t="s">
        <v>86</v>
      </c>
      <c r="C44" s="12">
        <f>E12-E13</f>
        <v>47762</v>
      </c>
      <c r="D44" s="12">
        <f>C44*(1+$E$16)</f>
        <v>48441.882169701668</v>
      </c>
      <c r="E44" s="12">
        <f>D44*(1+$E$16)</f>
        <v>49131.442321160343</v>
      </c>
      <c r="F44" s="12">
        <f>E44*(1+$E$16)</f>
        <v>49830.818218440247</v>
      </c>
      <c r="G44" s="12">
        <f>F44*(1+$E$16)</f>
        <v>50540.149586648498</v>
      </c>
      <c r="H44" s="12">
        <f>G44*(1+$E$16)</f>
        <v>51259.578139850149</v>
      </c>
      <c r="I44" s="12"/>
    </row>
    <row r="45" spans="1:9">
      <c r="A45" s="5" t="s">
        <v>5</v>
      </c>
      <c r="C45" s="46">
        <f>C44</f>
        <v>47762</v>
      </c>
      <c r="D45" s="46">
        <f>D44-C44</f>
        <v>679.88216970166832</v>
      </c>
      <c r="E45" s="46">
        <f t="shared" ref="E45:H45" si="12">E44-D44</f>
        <v>689.56015145867423</v>
      </c>
      <c r="F45" s="46">
        <f t="shared" si="12"/>
        <v>699.37589727990417</v>
      </c>
      <c r="G45" s="46">
        <f t="shared" si="12"/>
        <v>709.33136820825166</v>
      </c>
      <c r="H45" s="46">
        <f t="shared" si="12"/>
        <v>719.42855320165108</v>
      </c>
      <c r="I45" s="8"/>
    </row>
    <row r="46" spans="1:9">
      <c r="C46" s="47"/>
      <c r="D46" s="47"/>
      <c r="E46" s="47"/>
      <c r="F46" s="47"/>
      <c r="G46" s="47"/>
      <c r="H46" s="47"/>
    </row>
    <row r="47" spans="1:9">
      <c r="A47" s="11" t="s">
        <v>11</v>
      </c>
      <c r="B47" s="11"/>
      <c r="C47" s="46">
        <f>C43-C44</f>
        <v>-43098</v>
      </c>
      <c r="D47" s="46">
        <f>D39+D29-D43-D45</f>
        <v>18726.117830298332</v>
      </c>
      <c r="E47" s="46">
        <f>E39+E29-E43-E45</f>
        <v>24115.439848541326</v>
      </c>
      <c r="F47" s="46">
        <f>F39+F29-F43-F45</f>
        <v>27812.624102720096</v>
      </c>
      <c r="G47" s="46">
        <f>G39+G29-G43-G45</f>
        <v>32466.668631791748</v>
      </c>
      <c r="H47" s="46">
        <f>H39+H29-H43-H45</f>
        <v>32770.571446798349</v>
      </c>
      <c r="I47" s="8"/>
    </row>
    <row r="48" spans="1:9">
      <c r="C48" s="47"/>
      <c r="D48" s="47"/>
      <c r="E48" s="47"/>
      <c r="F48" s="47"/>
      <c r="G48" s="47"/>
      <c r="H48" s="47"/>
    </row>
    <row r="49" spans="1:8">
      <c r="A49" s="10" t="s">
        <v>67</v>
      </c>
      <c r="B49" s="10"/>
      <c r="C49" s="47"/>
      <c r="D49" s="46">
        <f>D47/(1+$B$51)</f>
        <v>16809.800565797424</v>
      </c>
      <c r="E49" s="46">
        <f>E47/(1+$B$51)</f>
        <v>21647.612072299213</v>
      </c>
      <c r="F49" s="46">
        <f>F47/(1+$B$51)</f>
        <v>24966.448925242454</v>
      </c>
      <c r="G49" s="46">
        <f>G47/(1+$B$51)</f>
        <v>29144.226778987206</v>
      </c>
      <c r="H49" s="46">
        <f>SUM(D49:G49)</f>
        <v>92568.088342326286</v>
      </c>
    </row>
    <row r="50" spans="1:8" ht="18">
      <c r="A50" s="7" t="s">
        <v>65</v>
      </c>
      <c r="B50" s="7"/>
      <c r="C50" s="47"/>
    </row>
    <row r="51" spans="1:8">
      <c r="A51" s="11" t="s">
        <v>8</v>
      </c>
      <c r="B51" s="27">
        <v>0.114</v>
      </c>
    </row>
    <row r="52" spans="1:8">
      <c r="A52" s="11"/>
      <c r="B52" s="11"/>
      <c r="C52" s="47"/>
    </row>
    <row r="53" spans="1:8" ht="18">
      <c r="A53" s="7" t="s">
        <v>64</v>
      </c>
      <c r="B53" s="7"/>
      <c r="C53" s="47"/>
    </row>
    <row r="54" spans="1:8" ht="18">
      <c r="A54" s="11" t="s">
        <v>9</v>
      </c>
      <c r="B54" s="12">
        <f>H47</f>
        <v>32770.571446798349</v>
      </c>
      <c r="E54" s="11"/>
    </row>
    <row r="55" spans="1:8" ht="18">
      <c r="A55" s="11" t="s">
        <v>10</v>
      </c>
      <c r="B55" s="49">
        <f>B54/(1+B51)</f>
        <v>29417.030024055966</v>
      </c>
      <c r="E55" s="11"/>
    </row>
    <row r="56" spans="1:8">
      <c r="B56" s="47"/>
      <c r="E56" s="11"/>
    </row>
    <row r="57" spans="1:8" ht="18">
      <c r="A57" s="7" t="s">
        <v>63</v>
      </c>
      <c r="B57" s="47"/>
      <c r="E57" s="11"/>
    </row>
    <row r="58" spans="1:8">
      <c r="A58" s="5" t="s">
        <v>6</v>
      </c>
      <c r="B58" s="50">
        <f>NPV(B51,D47:G47,H47)+C47</f>
        <v>53444.566493162725</v>
      </c>
    </row>
    <row r="59" spans="1:8">
      <c r="C59" s="46"/>
    </row>
    <row r="60" spans="1:8" ht="18">
      <c r="A60" s="7"/>
      <c r="B60" s="7"/>
      <c r="C60" s="47"/>
    </row>
    <row r="61" spans="1:8">
      <c r="C61" s="12"/>
    </row>
    <row r="62" spans="1:8">
      <c r="A62" s="10"/>
      <c r="B62" s="10"/>
      <c r="C62" s="47"/>
    </row>
    <row r="63" spans="1:8">
      <c r="A63" s="10"/>
      <c r="B63" s="10"/>
      <c r="C63" s="47"/>
    </row>
    <row r="64" spans="1:8">
      <c r="A64" s="10"/>
      <c r="B64" s="10"/>
    </row>
    <row r="65" spans="1:5">
      <c r="A65" s="10"/>
      <c r="B65" s="10"/>
    </row>
    <row r="66" spans="1:5">
      <c r="A66" s="10"/>
      <c r="B66" s="10"/>
    </row>
    <row r="68" spans="1:5">
      <c r="C68" s="8"/>
    </row>
    <row r="69" spans="1:5">
      <c r="C69" s="8"/>
    </row>
    <row r="70" spans="1:5" ht="18">
      <c r="A70" s="7"/>
      <c r="B70" s="7"/>
      <c r="E70" s="11"/>
    </row>
    <row r="71" spans="1:5">
      <c r="A71" s="11"/>
      <c r="B71" s="11"/>
      <c r="E71" s="11"/>
    </row>
    <row r="72" spans="1:5">
      <c r="A72" s="10"/>
      <c r="B72" s="10"/>
    </row>
    <row r="73" spans="1:5">
      <c r="A73" s="10"/>
      <c r="B73" s="10"/>
    </row>
    <row r="76" spans="1:5">
      <c r="C76" s="12"/>
    </row>
    <row r="77" spans="1:5">
      <c r="C77" s="12"/>
    </row>
    <row r="78" spans="1:5">
      <c r="C78" s="36"/>
    </row>
    <row r="79" spans="1:5" ht="18">
      <c r="A79" s="7"/>
      <c r="B79" s="7"/>
      <c r="C79" s="36"/>
    </row>
    <row r="80" spans="1:5">
      <c r="A80" s="11"/>
      <c r="B80" s="11"/>
      <c r="C80" s="36"/>
    </row>
    <row r="81" spans="1:3">
      <c r="C81" s="36"/>
    </row>
    <row r="82" spans="1:3">
      <c r="C82" s="12"/>
    </row>
    <row r="83" spans="1:3">
      <c r="C83" s="36"/>
    </row>
    <row r="84" spans="1:3" ht="18">
      <c r="A84" s="7"/>
      <c r="B84" s="7"/>
      <c r="C84" s="36"/>
    </row>
    <row r="86" spans="1:3">
      <c r="C86" s="8"/>
    </row>
    <row r="87" spans="1:3">
      <c r="C87" s="8"/>
    </row>
    <row r="89" spans="1:3">
      <c r="A89" s="11"/>
      <c r="B89" s="11"/>
      <c r="C89" s="8"/>
    </row>
    <row r="91" spans="1:3">
      <c r="A91" s="11"/>
      <c r="B91" s="11"/>
      <c r="C91" s="35"/>
    </row>
  </sheetData>
  <phoneticPr fontId="3" type="noConversion"/>
  <printOptions horizontalCentered="1" verticalCentered="1" gridLines="1"/>
  <pageMargins left="0.7" right="0.7" top="0.75" bottom="0.75" header="0.3" footer="0.3"/>
  <pageSetup scale="69" fitToHeight="3" orientation="landscape" r:id="rId1"/>
  <headerFooter alignWithMargins="0"/>
  <rowBreaks count="1" manualBreakCount="1">
    <brk id="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78EC-494D-2F45-8175-204815523655}">
  <dimension ref="A1:F22"/>
  <sheetViews>
    <sheetView workbookViewId="0">
      <selection activeCell="D10" sqref="D10"/>
    </sheetView>
  </sheetViews>
  <sheetFormatPr baseColWidth="10" defaultRowHeight="16"/>
  <cols>
    <col min="1" max="1" width="35.33203125" customWidth="1"/>
    <col min="2" max="2" width="11.6640625" bestFit="1" customWidth="1"/>
    <col min="3" max="3" width="11.83203125" bestFit="1" customWidth="1"/>
    <col min="4" max="4" width="14.6640625" bestFit="1" customWidth="1"/>
    <col min="5" max="5" width="11" bestFit="1" customWidth="1"/>
  </cols>
  <sheetData>
    <row r="1" spans="1:6" ht="18">
      <c r="A1" s="39" t="s">
        <v>68</v>
      </c>
      <c r="B1" s="40"/>
      <c r="C1" s="40"/>
      <c r="D1" s="40"/>
      <c r="E1" s="40"/>
      <c r="F1" s="40"/>
    </row>
    <row r="2" spans="1:6" ht="18">
      <c r="A2" s="40"/>
      <c r="B2" s="40"/>
      <c r="C2" s="40"/>
      <c r="D2" s="40"/>
      <c r="E2" s="40"/>
      <c r="F2" s="40"/>
    </row>
    <row r="3" spans="1:6" ht="18">
      <c r="A3" s="39" t="s">
        <v>72</v>
      </c>
      <c r="B3" s="58">
        <v>6.8</v>
      </c>
      <c r="D3" s="59"/>
      <c r="E3" s="59"/>
      <c r="F3" s="59"/>
    </row>
    <row r="4" spans="1:6" ht="18">
      <c r="A4" s="39" t="s">
        <v>73</v>
      </c>
      <c r="B4" s="58">
        <v>7.8</v>
      </c>
      <c r="D4" s="59"/>
      <c r="E4" s="59"/>
      <c r="F4" s="59"/>
    </row>
    <row r="5" spans="1:6" ht="18">
      <c r="A5" s="40"/>
      <c r="B5" s="40"/>
      <c r="C5" s="59"/>
      <c r="D5" s="59"/>
      <c r="E5" s="59"/>
      <c r="F5" s="59"/>
    </row>
    <row r="6" spans="1:6" ht="18">
      <c r="A6" s="39" t="s">
        <v>69</v>
      </c>
      <c r="B6" s="60">
        <f>'DFC Valuation'!C32</f>
        <v>29514</v>
      </c>
      <c r="C6" s="59"/>
      <c r="D6" s="59"/>
      <c r="F6" s="59"/>
    </row>
    <row r="7" spans="1:6" ht="18">
      <c r="A7" s="40"/>
      <c r="B7" s="40"/>
      <c r="C7" s="59"/>
      <c r="D7" s="59"/>
      <c r="E7" s="59"/>
      <c r="F7" s="59"/>
    </row>
    <row r="8" spans="1:6" ht="18">
      <c r="A8" s="39" t="s">
        <v>70</v>
      </c>
      <c r="B8" s="60">
        <f>B6*B3</f>
        <v>200695.19999999998</v>
      </c>
      <c r="D8" s="59"/>
      <c r="E8" s="59"/>
      <c r="F8" s="59"/>
    </row>
    <row r="9" spans="1:6" ht="18">
      <c r="A9" s="40" t="s">
        <v>71</v>
      </c>
      <c r="B9" s="60">
        <f>B6*B4</f>
        <v>230209.19999999998</v>
      </c>
      <c r="D9" s="59"/>
      <c r="E9" s="59"/>
      <c r="F9" s="59"/>
    </row>
    <row r="10" spans="1:6" ht="18">
      <c r="A10" s="40"/>
      <c r="B10" s="59"/>
      <c r="D10" s="59"/>
      <c r="E10" s="59"/>
      <c r="F10" s="59"/>
    </row>
    <row r="11" spans="1:6" ht="18">
      <c r="A11" s="40" t="s">
        <v>74</v>
      </c>
      <c r="B11" s="61">
        <v>30732</v>
      </c>
      <c r="D11" s="59"/>
      <c r="E11" s="59"/>
      <c r="F11" s="59"/>
    </row>
    <row r="12" spans="1:6" ht="18">
      <c r="A12" s="40"/>
      <c r="B12" s="40"/>
      <c r="C12" s="59"/>
      <c r="D12" s="59"/>
      <c r="E12" s="59"/>
      <c r="F12" s="59"/>
    </row>
    <row r="13" spans="1:6" ht="18">
      <c r="A13" s="40" t="s">
        <v>75</v>
      </c>
      <c r="B13" s="60">
        <f>B8-B11</f>
        <v>169963.19999999998</v>
      </c>
      <c r="C13" s="59"/>
      <c r="E13" s="59"/>
      <c r="F13" s="59"/>
    </row>
    <row r="14" spans="1:6" ht="18">
      <c r="A14" s="40" t="s">
        <v>76</v>
      </c>
      <c r="B14" s="60">
        <f>B9-B11</f>
        <v>199477.19999999998</v>
      </c>
      <c r="C14" s="59"/>
      <c r="E14" s="59"/>
      <c r="F14" s="59"/>
    </row>
    <row r="15" spans="1:6" ht="18">
      <c r="A15" s="40"/>
      <c r="B15" s="59"/>
      <c r="C15" s="59"/>
      <c r="E15" s="59"/>
      <c r="F15" s="59"/>
    </row>
    <row r="16" spans="1:6" ht="18">
      <c r="A16" s="40" t="s">
        <v>88</v>
      </c>
      <c r="B16" s="59">
        <v>10000</v>
      </c>
      <c r="C16" s="59"/>
      <c r="E16" s="59"/>
      <c r="F16" s="59"/>
    </row>
    <row r="17" spans="1:6" ht="18">
      <c r="A17" s="40"/>
      <c r="B17" s="59"/>
      <c r="C17" s="59"/>
      <c r="E17" s="59"/>
      <c r="F17" s="59"/>
    </row>
    <row r="18" spans="1:6" ht="18">
      <c r="A18" s="40" t="s">
        <v>84</v>
      </c>
      <c r="B18" s="63">
        <f>B13/B16</f>
        <v>16.996319999999997</v>
      </c>
      <c r="C18" s="62"/>
      <c r="E18" s="62"/>
      <c r="F18" s="62"/>
    </row>
    <row r="19" spans="1:6">
      <c r="B19" s="63">
        <f>B14/B16</f>
        <v>19.947719999999997</v>
      </c>
      <c r="C19" s="62"/>
      <c r="E19" s="62"/>
      <c r="F19" s="62"/>
    </row>
    <row r="20" spans="1:6">
      <c r="C20" s="62"/>
      <c r="D20" s="62"/>
      <c r="E20" s="62"/>
      <c r="F20" s="62"/>
    </row>
    <row r="22" spans="1:6" ht="18">
      <c r="A22" s="3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F336-5BB6-5B4A-9503-DA364459F9BC}">
  <dimension ref="A1:J33"/>
  <sheetViews>
    <sheetView workbookViewId="0">
      <selection activeCell="B22" sqref="B22"/>
    </sheetView>
  </sheetViews>
  <sheetFormatPr baseColWidth="10" defaultRowHeight="16"/>
  <cols>
    <col min="1" max="1" width="31.33203125" customWidth="1"/>
    <col min="2" max="2" width="11.6640625" style="62" bestFit="1" customWidth="1"/>
    <col min="3" max="3" width="11" bestFit="1" customWidth="1"/>
    <col min="4" max="4" width="11.6640625" bestFit="1" customWidth="1"/>
  </cols>
  <sheetData>
    <row r="1" spans="1:10" ht="18">
      <c r="A1" s="42" t="s">
        <v>78</v>
      </c>
      <c r="B1" s="60">
        <f>'DFC Valuation'!C32</f>
        <v>29514</v>
      </c>
      <c r="C1" s="41"/>
      <c r="E1" s="41"/>
      <c r="F1" s="38"/>
      <c r="G1" s="38"/>
      <c r="H1" s="38"/>
      <c r="I1" s="38"/>
      <c r="J1" s="38"/>
    </row>
    <row r="2" spans="1:10" ht="18">
      <c r="A2" s="41"/>
      <c r="B2" s="60"/>
      <c r="C2" s="41"/>
      <c r="E2" s="41"/>
      <c r="F2" s="38"/>
      <c r="G2" s="38"/>
      <c r="H2" s="38"/>
      <c r="I2" s="38"/>
      <c r="J2" s="38"/>
    </row>
    <row r="3" spans="1:10" ht="18">
      <c r="A3" s="42" t="s">
        <v>79</v>
      </c>
      <c r="B3" s="60">
        <v>3000</v>
      </c>
      <c r="E3" s="41"/>
      <c r="F3" s="38"/>
      <c r="G3" s="38"/>
      <c r="H3" s="38"/>
      <c r="I3" s="38"/>
      <c r="J3" s="38"/>
    </row>
    <row r="4" spans="1:10" ht="18">
      <c r="A4" s="41"/>
      <c r="B4" s="60"/>
      <c r="E4" s="41"/>
      <c r="F4" s="38"/>
      <c r="G4" s="38"/>
      <c r="H4" s="38"/>
      <c r="I4" s="38"/>
      <c r="J4" s="38"/>
    </row>
    <row r="5" spans="1:10" ht="18">
      <c r="A5" s="39" t="s">
        <v>80</v>
      </c>
      <c r="B5" s="60">
        <f>B1+B3</f>
        <v>32514</v>
      </c>
      <c r="E5" s="41"/>
      <c r="F5" s="38"/>
      <c r="G5" s="38"/>
      <c r="H5" s="38"/>
      <c r="I5" s="38"/>
      <c r="J5" s="38"/>
    </row>
    <row r="6" spans="1:10" ht="18">
      <c r="A6" s="39" t="s">
        <v>81</v>
      </c>
      <c r="B6" s="58">
        <v>6.8</v>
      </c>
      <c r="E6" s="41"/>
      <c r="F6" s="38"/>
      <c r="G6" s="38"/>
      <c r="H6" s="38"/>
      <c r="I6" s="38"/>
      <c r="J6" s="38"/>
    </row>
    <row r="7" spans="1:10" ht="18">
      <c r="A7" s="41"/>
      <c r="B7" s="60"/>
      <c r="E7" s="41"/>
      <c r="F7" s="38"/>
      <c r="G7" s="38"/>
      <c r="H7" s="38"/>
      <c r="I7" s="38"/>
      <c r="J7" s="38"/>
    </row>
    <row r="8" spans="1:10" ht="18">
      <c r="A8" s="41" t="s">
        <v>82</v>
      </c>
      <c r="B8" s="60">
        <f>B5*B6</f>
        <v>221095.19999999998</v>
      </c>
      <c r="E8" s="41"/>
      <c r="F8" s="38"/>
      <c r="G8" s="38"/>
      <c r="H8" s="38"/>
      <c r="I8" s="38"/>
      <c r="J8" s="38"/>
    </row>
    <row r="9" spans="1:10" ht="18">
      <c r="A9" s="40" t="s">
        <v>74</v>
      </c>
      <c r="B9" s="61">
        <v>30732</v>
      </c>
      <c r="E9" s="41"/>
      <c r="F9" s="38"/>
      <c r="G9" s="38"/>
      <c r="H9" s="38"/>
      <c r="I9" s="38"/>
      <c r="J9" s="38"/>
    </row>
    <row r="10" spans="1:10" ht="18">
      <c r="A10" s="41"/>
      <c r="B10" s="60"/>
      <c r="E10" s="41"/>
      <c r="F10" s="38"/>
      <c r="G10" s="38"/>
      <c r="H10" s="38"/>
      <c r="I10" s="38"/>
      <c r="J10" s="38"/>
    </row>
    <row r="11" spans="1:10" ht="18">
      <c r="A11" s="41" t="s">
        <v>83</v>
      </c>
      <c r="B11" s="60">
        <f>B8-B9</f>
        <v>190363.19999999998</v>
      </c>
      <c r="E11" s="41"/>
      <c r="F11" s="38"/>
      <c r="G11" s="38"/>
      <c r="H11" s="38"/>
      <c r="I11" s="38"/>
      <c r="J11" s="38"/>
    </row>
    <row r="12" spans="1:10">
      <c r="A12" s="38"/>
      <c r="B12" s="64"/>
      <c r="E12" s="38"/>
      <c r="F12" s="38"/>
      <c r="G12" s="38"/>
      <c r="H12" s="38"/>
      <c r="I12" s="38"/>
      <c r="J12" s="38"/>
    </row>
    <row r="13" spans="1:10" ht="18">
      <c r="A13" s="40" t="s">
        <v>89</v>
      </c>
      <c r="B13" s="59">
        <v>10000</v>
      </c>
      <c r="E13" s="38"/>
      <c r="F13" s="38"/>
      <c r="G13" s="38"/>
      <c r="H13" s="38"/>
      <c r="I13" s="38"/>
      <c r="J13" s="38"/>
    </row>
    <row r="14" spans="1:10">
      <c r="A14" s="38"/>
      <c r="B14" s="64"/>
      <c r="E14" s="38"/>
      <c r="F14" s="38"/>
      <c r="G14" s="38"/>
      <c r="H14" s="38"/>
      <c r="I14" s="38"/>
      <c r="J14" s="38"/>
    </row>
    <row r="15" spans="1:10">
      <c r="A15" s="38"/>
      <c r="B15" s="64"/>
      <c r="E15" s="38"/>
      <c r="F15" s="38"/>
      <c r="G15" s="38"/>
      <c r="H15" s="38"/>
      <c r="I15" s="38"/>
      <c r="J15" s="38"/>
    </row>
    <row r="16" spans="1:10" ht="18">
      <c r="A16" s="37" t="s">
        <v>85</v>
      </c>
      <c r="B16" s="63">
        <f>B11/B13</f>
        <v>19.03632</v>
      </c>
      <c r="E16" s="38"/>
      <c r="F16" s="38"/>
      <c r="G16" s="38"/>
      <c r="H16" s="38"/>
      <c r="I16" s="38"/>
      <c r="J16" s="38"/>
    </row>
    <row r="17" spans="1:10">
      <c r="A17" s="38"/>
      <c r="B17" s="64"/>
      <c r="D17" s="38"/>
      <c r="E17" s="38"/>
      <c r="F17" s="38"/>
      <c r="G17" s="38"/>
      <c r="H17" s="38"/>
      <c r="I17" s="38"/>
      <c r="J17" s="38"/>
    </row>
    <row r="18" spans="1:10">
      <c r="A18" s="38"/>
      <c r="B18" s="64"/>
      <c r="C18" s="38"/>
      <c r="D18" s="38"/>
      <c r="E18" s="38"/>
      <c r="F18" s="38"/>
      <c r="G18" s="38"/>
      <c r="H18" s="38"/>
      <c r="I18" s="38"/>
      <c r="J18" s="38"/>
    </row>
    <row r="19" spans="1:10">
      <c r="A19" s="38"/>
      <c r="B19" s="64"/>
      <c r="C19" s="38"/>
      <c r="D19" s="38"/>
      <c r="E19" s="38"/>
      <c r="F19" s="38"/>
      <c r="G19" s="38"/>
      <c r="H19" s="38"/>
      <c r="I19" s="38"/>
      <c r="J19" s="38"/>
    </row>
    <row r="20" spans="1:10">
      <c r="A20" s="38"/>
      <c r="B20" s="64"/>
      <c r="C20" s="38"/>
      <c r="D20" s="38"/>
      <c r="E20" s="38"/>
      <c r="F20" s="38"/>
      <c r="G20" s="38"/>
      <c r="H20" s="38"/>
      <c r="I20" s="38"/>
      <c r="J20" s="38"/>
    </row>
    <row r="21" spans="1:10">
      <c r="A21" s="38"/>
      <c r="B21" s="64"/>
      <c r="C21" s="38"/>
      <c r="D21" s="38"/>
      <c r="E21" s="38"/>
      <c r="F21" s="38"/>
      <c r="G21" s="38"/>
      <c r="H21" s="38"/>
      <c r="I21" s="38"/>
      <c r="J21" s="38"/>
    </row>
    <row r="22" spans="1:10">
      <c r="A22" s="38"/>
      <c r="B22" s="64"/>
      <c r="C22" s="38"/>
      <c r="D22" s="38"/>
      <c r="E22" s="38"/>
      <c r="F22" s="38"/>
      <c r="G22" s="38"/>
      <c r="H22" s="38"/>
      <c r="I22" s="38"/>
      <c r="J22" s="38"/>
    </row>
    <row r="23" spans="1:10">
      <c r="A23" s="38"/>
      <c r="B23" s="64"/>
      <c r="C23" s="38"/>
      <c r="D23" s="38"/>
      <c r="E23" s="38"/>
      <c r="F23" s="38"/>
      <c r="G23" s="38"/>
      <c r="H23" s="38"/>
      <c r="I23" s="38"/>
      <c r="J23" s="38"/>
    </row>
    <row r="24" spans="1:10">
      <c r="A24" s="38"/>
      <c r="B24" s="64"/>
      <c r="C24" s="38"/>
      <c r="D24" s="38"/>
      <c r="E24" s="38"/>
      <c r="F24" s="38"/>
      <c r="G24" s="38"/>
      <c r="H24" s="38"/>
      <c r="I24" s="38"/>
      <c r="J24" s="38"/>
    </row>
    <row r="25" spans="1:10">
      <c r="A25" s="38"/>
      <c r="B25" s="64"/>
      <c r="C25" s="38"/>
      <c r="D25" s="38"/>
      <c r="E25" s="38"/>
      <c r="F25" s="38"/>
      <c r="G25" s="38"/>
      <c r="H25" s="38"/>
      <c r="I25" s="38"/>
      <c r="J25" s="38"/>
    </row>
    <row r="26" spans="1:10">
      <c r="A26" s="38"/>
      <c r="B26" s="64"/>
      <c r="C26" s="38"/>
      <c r="D26" s="38"/>
      <c r="E26" s="38"/>
      <c r="F26" s="38"/>
      <c r="G26" s="38"/>
      <c r="H26" s="38"/>
      <c r="I26" s="38"/>
      <c r="J26" s="38"/>
    </row>
    <row r="27" spans="1:10">
      <c r="A27" s="38"/>
      <c r="B27" s="64"/>
      <c r="C27" s="38"/>
      <c r="D27" s="38"/>
      <c r="E27" s="38"/>
      <c r="F27" s="38"/>
      <c r="G27" s="38"/>
      <c r="H27" s="38"/>
      <c r="I27" s="38"/>
      <c r="J27" s="38"/>
    </row>
    <row r="28" spans="1:10">
      <c r="A28" s="38"/>
      <c r="B28" s="64"/>
      <c r="C28" s="38"/>
      <c r="D28" s="38"/>
      <c r="E28" s="38"/>
      <c r="F28" s="38"/>
      <c r="G28" s="38"/>
      <c r="H28" s="38"/>
      <c r="I28" s="38"/>
      <c r="J28" s="38"/>
    </row>
    <row r="29" spans="1:10">
      <c r="A29" s="38"/>
      <c r="B29" s="64"/>
      <c r="C29" s="38"/>
      <c r="D29" s="38"/>
      <c r="E29" s="38"/>
      <c r="F29" s="38"/>
      <c r="G29" s="38"/>
      <c r="H29" s="38"/>
      <c r="I29" s="38"/>
      <c r="J29" s="38"/>
    </row>
    <row r="30" spans="1:10">
      <c r="A30" s="38"/>
      <c r="B30" s="64"/>
      <c r="C30" s="38"/>
      <c r="D30" s="38"/>
      <c r="E30" s="38"/>
      <c r="F30" s="38"/>
      <c r="G30" s="38"/>
      <c r="H30" s="38"/>
      <c r="I30" s="38"/>
      <c r="J30" s="38"/>
    </row>
    <row r="31" spans="1:10">
      <c r="A31" s="38"/>
      <c r="B31" s="64"/>
      <c r="C31" s="38"/>
      <c r="D31" s="38"/>
      <c r="E31" s="38"/>
      <c r="F31" s="38"/>
      <c r="G31" s="38"/>
      <c r="H31" s="38"/>
      <c r="I31" s="38"/>
      <c r="J31" s="38"/>
    </row>
    <row r="32" spans="1:10">
      <c r="A32" s="38"/>
      <c r="B32" s="64"/>
      <c r="C32" s="38"/>
      <c r="D32" s="38"/>
      <c r="E32" s="38"/>
      <c r="F32" s="38"/>
      <c r="G32" s="38"/>
      <c r="H32" s="38"/>
      <c r="I32" s="38"/>
      <c r="J32" s="38"/>
    </row>
    <row r="33" spans="1:10">
      <c r="A33" s="38"/>
      <c r="B33" s="64"/>
      <c r="C33" s="38"/>
      <c r="D33" s="38"/>
      <c r="E33" s="38"/>
      <c r="F33" s="38"/>
      <c r="G33" s="38"/>
      <c r="H33" s="38"/>
      <c r="I33" s="38"/>
      <c r="J33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DFC Valuation</vt:lpstr>
      <vt:lpstr>Market Multiples Approach</vt:lpstr>
      <vt:lpstr>Adjusted Public Company Value</vt:lpstr>
      <vt:lpstr>Beta</vt:lpstr>
      <vt:lpstr>DepreciationTime</vt:lpstr>
      <vt:lpstr>fraction</vt:lpstr>
      <vt:lpstr>GrossMargin</vt:lpstr>
      <vt:lpstr>Investment</vt:lpstr>
      <vt:lpstr>NWC</vt:lpstr>
      <vt:lpstr>Premium</vt:lpstr>
    </vt:vector>
  </TitlesOfParts>
  <Company>Lally School of Mgmt &amp; Technoloogy 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Leshchinskii</dc:creator>
  <cp:lastModifiedBy>Nenotte Aminata Yacine Seck</cp:lastModifiedBy>
  <cp:lastPrinted>2010-09-29T19:21:24Z</cp:lastPrinted>
  <dcterms:created xsi:type="dcterms:W3CDTF">2005-04-07T18:35:25Z</dcterms:created>
  <dcterms:modified xsi:type="dcterms:W3CDTF">2025-10-30T06:48:57Z</dcterms:modified>
</cp:coreProperties>
</file>