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lanilla_Juntos" sheetId="1" r:id="rId4"/>
    <sheet state="visible" name="2022" sheetId="2" r:id="rId5"/>
    <sheet state="hidden" name="2021" sheetId="3" r:id="rId6"/>
    <sheet state="visible" name="Hoja1" sheetId="4" r:id="rId7"/>
    <sheet state="visible" name="Inventario Casa" sheetId="5" r:id="rId8"/>
    <sheet state="visible" name="Inversion terreno y casa" sheetId="6" r:id="rId9"/>
    <sheet state="visible" name="Europea" sheetId="7" r:id="rId10"/>
  </sheets>
  <definedNames>
    <definedName hidden="1" localSheetId="0" name="_xlnm._FilterDatabase">Planilla_Juntos!$A$1:$N$52</definedName>
    <definedName hidden="1" localSheetId="1" name="_xlnm._FilterDatabase">'2022'!$A$1:$N$45</definedName>
  </definedNames>
  <calcPr/>
  <extLst>
    <ext uri="GoogleSheetsCustomDataVersion1">
      <go:sheetsCustomData xmlns:go="http://customooxmlschemas.google.com/" r:id="rId11" roundtripDataSignature="AMtx7mioHN8mO7rF+khd1Dy1eQW0hxJLkw=="/>
    </ext>
  </extLst>
</workbook>
</file>

<file path=xl/sharedStrings.xml><?xml version="1.0" encoding="utf-8"?>
<sst xmlns="http://schemas.openxmlformats.org/spreadsheetml/2006/main" count="302" uniqueCount="198">
  <si>
    <t>Detalle Gastos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</si>
  <si>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</si>
  <si>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</si>
  <si>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</si>
  <si>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</si>
  <si>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</si>
  <si>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</si>
  <si>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</si>
  <si>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</si>
  <si>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</si>
  <si>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</si>
  <si>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</si>
  <si>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</si>
  <si>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Total Anual</t>
  </si>
  <si>
    <t xml:space="preserve">Ingreso Victor          </t>
  </si>
  <si>
    <t xml:space="preserve">Ingreso David        </t>
  </si>
  <si>
    <t>Otros Ingresos</t>
  </si>
  <si>
    <t>Total Ingresos</t>
  </si>
  <si>
    <t>Gastos Variables</t>
  </si>
  <si>
    <t>Arriendo</t>
  </si>
  <si>
    <t>Gasto Comun</t>
  </si>
  <si>
    <t>Luz</t>
  </si>
  <si>
    <t>Agua</t>
  </si>
  <si>
    <t>Gas</t>
  </si>
  <si>
    <t>Manantial 💦</t>
  </si>
  <si>
    <t>Internet</t>
  </si>
  <si>
    <t>Mercado/Cornershop</t>
  </si>
  <si>
    <t xml:space="preserve">Vega 🍇 🥚 </t>
  </si>
  <si>
    <t>Casa/Plantas (lámparas, plumon)</t>
  </si>
  <si>
    <t>Delivery</t>
  </si>
  <si>
    <t>Weed y tabaco 🍁</t>
  </si>
  <si>
    <t>Tragos</t>
  </si>
  <si>
    <t>Dentista / psicologo/ viaje</t>
  </si>
  <si>
    <t>Restaurante/Cumpleaños</t>
  </si>
  <si>
    <t>Ropa / perfume</t>
  </si>
  <si>
    <t>Ropa crédito vm</t>
  </si>
  <si>
    <t>Alixpress/Nintendo Juegos</t>
  </si>
  <si>
    <t>Bici Mantencion</t>
  </si>
  <si>
    <t>Regalo / Fiesta</t>
  </si>
  <si>
    <t xml:space="preserve">Auto / Taxi / Transporte </t>
  </si>
  <si>
    <t>Mercadolibre/Otros</t>
  </si>
  <si>
    <t>Viaje/Vacaciones</t>
  </si>
  <si>
    <t>te/flores</t>
  </si>
  <si>
    <t>Gastos Fijos</t>
  </si>
  <si>
    <t xml:space="preserve">Plan Telefono Victor </t>
  </si>
  <si>
    <t>Plan Telefono David</t>
  </si>
  <si>
    <t>Cortes de Cabello</t>
  </si>
  <si>
    <t>Manicure</t>
  </si>
  <si>
    <t xml:space="preserve">Biodanza </t>
  </si>
  <si>
    <t>Tarjeta Bip (ambos)</t>
  </si>
  <si>
    <t xml:space="preserve">Envio Venezuela </t>
  </si>
  <si>
    <t>Music, Netflix Youtube y Icloud</t>
  </si>
  <si>
    <t>Detergente</t>
  </si>
  <si>
    <t>Tablet</t>
  </si>
  <si>
    <t>Telefono David</t>
  </si>
  <si>
    <t xml:space="preserve">Teléfono Victor </t>
  </si>
  <si>
    <t>Ahorros y Creditos</t>
  </si>
  <si>
    <t xml:space="preserve">Ahorros </t>
  </si>
  <si>
    <t>Tarjeta de Credito Victor</t>
  </si>
  <si>
    <t>Tarjeta de Credito David</t>
  </si>
  <si>
    <t>Linea de Credito David</t>
  </si>
  <si>
    <t>Compra General</t>
  </si>
  <si>
    <t>SubTotal Gastos</t>
  </si>
  <si>
    <t>Disponibilidad</t>
  </si>
  <si>
    <t>Acumulado</t>
  </si>
  <si>
    <t>Dentista / Psicologo</t>
  </si>
  <si>
    <t>Restaurantes/Conciertos</t>
  </si>
  <si>
    <t>Ropa / Perfume</t>
  </si>
  <si>
    <t>Alixpress/Mercado libre</t>
  </si>
  <si>
    <t>Vacaciones</t>
  </si>
  <si>
    <t>Bici Mantencion/Reparaciones</t>
  </si>
  <si>
    <t>Auto</t>
  </si>
  <si>
    <t>Permiso Circulación y Multas</t>
  </si>
  <si>
    <t xml:space="preserve">Compu </t>
  </si>
  <si>
    <t>Brasil</t>
  </si>
  <si>
    <t>Crédito/Seguro Auto</t>
  </si>
  <si>
    <t>Ingresos</t>
  </si>
  <si>
    <t>Comida</t>
  </si>
  <si>
    <t>Tarjeta Bip!</t>
  </si>
  <si>
    <t xml:space="preserve">Teléfono </t>
  </si>
  <si>
    <t>Envio Venezuela</t>
  </si>
  <si>
    <t>Biodanza</t>
  </si>
  <si>
    <t>Apple music/ Netflix</t>
  </si>
  <si>
    <t>Seguro Salud METLIFE</t>
  </si>
  <si>
    <t>Corte de Pelo/ Uñas</t>
  </si>
  <si>
    <t>Uber</t>
  </si>
  <si>
    <t>Clinica</t>
  </si>
  <si>
    <t>Ropa</t>
  </si>
  <si>
    <t xml:space="preserve">Credito  </t>
  </si>
  <si>
    <t>Tarjeta de Credito</t>
  </si>
  <si>
    <t>Linea de Credito</t>
  </si>
  <si>
    <t>Gastos Viaje Sur</t>
  </si>
  <si>
    <t>a dividir</t>
  </si>
  <si>
    <t>Arriendo Chiloe</t>
  </si>
  <si>
    <t>Cena Chiloe</t>
  </si>
  <si>
    <t>Desayuno</t>
  </si>
  <si>
    <t>Arriendo Futrono</t>
  </si>
  <si>
    <t>Cena Valdivia</t>
  </si>
  <si>
    <t>Arriendo Coñaripe</t>
  </si>
  <si>
    <t>Desayuno Dalcahue</t>
  </si>
  <si>
    <t>Almuerzo Villarrica</t>
  </si>
  <si>
    <t xml:space="preserve">Compra </t>
  </si>
  <si>
    <t>Bencina</t>
  </si>
  <si>
    <t xml:space="preserve">Bencina  </t>
  </si>
  <si>
    <t>Entradas Termas</t>
  </si>
  <si>
    <t>Peajes</t>
  </si>
  <si>
    <t>Bencina Chicos</t>
  </si>
  <si>
    <t>Compras Super</t>
  </si>
  <si>
    <t>Revisiones tecnicas</t>
  </si>
  <si>
    <t>Deuda credito</t>
  </si>
  <si>
    <t>Deuda tag</t>
  </si>
  <si>
    <t>Deuda multas</t>
  </si>
  <si>
    <t>Deuda permiso de circulación</t>
  </si>
  <si>
    <t>Finiquito</t>
  </si>
  <si>
    <t>Maria</t>
  </si>
  <si>
    <t>Diana tv y freidora</t>
  </si>
  <si>
    <t>Diferencia actual</t>
  </si>
  <si>
    <t>Items</t>
  </si>
  <si>
    <t>Valor</t>
  </si>
  <si>
    <t>Para</t>
  </si>
  <si>
    <t>Lavadora</t>
  </si>
  <si>
    <t xml:space="preserve">Vm </t>
  </si>
  <si>
    <t>Nevera</t>
  </si>
  <si>
    <t>Vm</t>
  </si>
  <si>
    <t xml:space="preserve">Microondas </t>
  </si>
  <si>
    <t>Freidora de aire</t>
  </si>
  <si>
    <t>Dn</t>
  </si>
  <si>
    <t>Extractor de jugo</t>
  </si>
  <si>
    <t>Tv sala</t>
  </si>
  <si>
    <t>Tv cuarto</t>
  </si>
  <si>
    <t>Utencilios</t>
  </si>
  <si>
    <t>Ollas</t>
  </si>
  <si>
    <t xml:space="preserve">Copas </t>
  </si>
  <si>
    <t>Tetera</t>
  </si>
  <si>
    <t>Cafetera</t>
  </si>
  <si>
    <t>Comedor</t>
  </si>
  <si>
    <t>Sofa</t>
  </si>
  <si>
    <t>Mesa centro</t>
  </si>
  <si>
    <t>Mesa Terraza</t>
  </si>
  <si>
    <t>Parrilla</t>
  </si>
  <si>
    <t>Bici manuel</t>
  </si>
  <si>
    <t>Bici david</t>
  </si>
  <si>
    <t>Nintendo</t>
  </si>
  <si>
    <t>Ipad</t>
  </si>
  <si>
    <t>Libros</t>
  </si>
  <si>
    <t>Parlante David</t>
  </si>
  <si>
    <t>Parlante Manuel</t>
  </si>
  <si>
    <t>Cama</t>
  </si>
  <si>
    <t>Veladores</t>
  </si>
  <si>
    <t>Mesa Dj</t>
  </si>
  <si>
    <t>Mac computer</t>
  </si>
  <si>
    <t>Lamparas</t>
  </si>
  <si>
    <t>Pesas</t>
  </si>
  <si>
    <t>Alfombra</t>
  </si>
  <si>
    <t>Arbolito</t>
  </si>
  <si>
    <t>Deshidratador</t>
  </si>
  <si>
    <t>Secador</t>
  </si>
  <si>
    <t>Kit hongos</t>
  </si>
  <si>
    <t>Total</t>
  </si>
  <si>
    <t>Costo UF</t>
  </si>
  <si>
    <t xml:space="preserve">Precio Terreno </t>
  </si>
  <si>
    <t>Escritura</t>
  </si>
  <si>
    <t xml:space="preserve">Cuota inicial </t>
  </si>
  <si>
    <t>Credito Hipotecario</t>
  </si>
  <si>
    <t>Costo Construcción Casa</t>
  </si>
  <si>
    <t>Mano de Obra</t>
  </si>
  <si>
    <t>Materiales</t>
  </si>
  <si>
    <t>Hormigón</t>
  </si>
  <si>
    <t xml:space="preserve">Electricidad </t>
  </si>
  <si>
    <t>Sanitario</t>
  </si>
  <si>
    <t>Agua potable</t>
  </si>
  <si>
    <t xml:space="preserve">Calefacción </t>
  </si>
  <si>
    <t>Piscina</t>
  </si>
  <si>
    <t>Dia</t>
  </si>
  <si>
    <t>País</t>
  </si>
  <si>
    <t>Destino</t>
  </si>
  <si>
    <t>Lugar a visitar</t>
  </si>
  <si>
    <t>Tren</t>
  </si>
  <si>
    <t>Aerolinea</t>
  </si>
  <si>
    <t>Hospedaje</t>
  </si>
  <si>
    <t>Portugal</t>
  </si>
  <si>
    <t>ryanair</t>
  </si>
  <si>
    <t>Chiquillos</t>
  </si>
  <si>
    <t>España</t>
  </si>
  <si>
    <t>Madrid</t>
  </si>
  <si>
    <t>Airbnb</t>
  </si>
  <si>
    <t>Barcelona</t>
  </si>
  <si>
    <t>Renfe</t>
  </si>
  <si>
    <t>Italia</t>
  </si>
  <si>
    <t>Roma</t>
  </si>
  <si>
    <t>Florencia</t>
  </si>
  <si>
    <t>Italo</t>
  </si>
  <si>
    <t>Milan</t>
  </si>
  <si>
    <t>Francia</t>
  </si>
  <si>
    <t>Paris</t>
  </si>
  <si>
    <t>Easyjet</t>
  </si>
  <si>
    <t xml:space="preserve">Avión </t>
  </si>
  <si>
    <t>Hospedaje y Transporte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</si>
</sst>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$-340A]#,##0"/>
    <numFmt numFmtId="165" formatCode="_-* #,##0_-;\-* #,##0_-;_-* &quot;-&quot;_-;_-@"/>
    <numFmt numFmtId="166" formatCode="&quot; &quot;&quot;$&quot;#,##0&quot; &quot;;&quot; &quot;&quot;$&quot;&quot;-&quot;#,##0&quot; &quot;;&quot; &quot;&quot;$&quot;&quot;- &quot;;&quot; &quot;@&quot; &quot;"/>
    <numFmt numFmtId="167" formatCode="&quot; &quot;&quot;$&quot;&quot; &quot;#,##0&quot; &quot;;&quot;-&quot;&quot;$&quot;&quot; &quot;#,##0&quot; &quot;;&quot; &quot;&quot;$&quot;&quot; -&quot;00&quot; &quot;;&quot; &quot;@&quot; &quot;"/>
    <numFmt numFmtId="168" formatCode="&quot; &quot;#,##0&quot; &quot;;&quot; -&quot;#,##0&quot; &quot;;&quot; - &quot;;&quot; &quot;@&quot; &quot;"/>
    <numFmt numFmtId="169" formatCode="&quot;$&quot;#,##0"/>
    <numFmt numFmtId="170" formatCode="dd-mm"/>
    <numFmt numFmtId="171" formatCode="#,##0\ [$€-1]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trike/>
      <sz val="11.0"/>
      <color rgb="FF000000"/>
      <name val="Calibri"/>
    </font>
    <font>
      <sz val="11.0"/>
      <color theme="1"/>
      <name val="Calibri"/>
    </font>
    <font>
      <b/>
      <sz val="13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DBDBDB"/>
        <bgColor rgb="FFDBDBDB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7" xfId="0" applyBorder="1" applyFont="1" applyNumberFormat="1"/>
    <xf borderId="2" fillId="3" fontId="1" numFmtId="0" xfId="0" applyBorder="1" applyFill="1" applyFont="1"/>
    <xf borderId="1" fillId="2" fontId="1" numFmtId="164" xfId="0" applyBorder="1" applyFont="1" applyNumberFormat="1"/>
    <xf borderId="1" fillId="2" fontId="1" numFmtId="164" xfId="0" applyAlignment="1" applyBorder="1" applyFont="1" applyNumberFormat="1">
      <alignment readingOrder="0"/>
    </xf>
    <xf borderId="1" fillId="3" fontId="1" numFmtId="0" xfId="0" applyBorder="1" applyFont="1"/>
    <xf borderId="1" fillId="3" fontId="1" numFmtId="164" xfId="0" applyBorder="1" applyFont="1" applyNumberFormat="1"/>
    <xf borderId="1" fillId="2" fontId="1" numFmtId="164" xfId="0" applyAlignment="1" applyBorder="1" applyFont="1" applyNumberFormat="1">
      <alignment horizontal="left"/>
    </xf>
    <xf borderId="1" fillId="3" fontId="2" numFmtId="0" xfId="0" applyAlignment="1" applyBorder="1" applyFont="1">
      <alignment vertical="center"/>
    </xf>
    <xf borderId="1" fillId="4" fontId="2" numFmtId="164" xfId="0" applyBorder="1" applyFill="1" applyFont="1" applyNumberFormat="1"/>
    <xf borderId="2" fillId="3" fontId="2" numFmtId="0" xfId="0" applyBorder="1" applyFont="1"/>
    <xf borderId="1" fillId="3" fontId="2" numFmtId="0" xfId="0" applyBorder="1" applyFont="1"/>
    <xf borderId="1" fillId="4" fontId="2" numFmtId="164" xfId="0" applyAlignment="1" applyBorder="1" applyFont="1" applyNumberFormat="1">
      <alignment readingOrder="0"/>
    </xf>
    <xf borderId="1" fillId="3" fontId="2" numFmtId="164" xfId="0" applyBorder="1" applyFont="1" applyNumberFormat="1"/>
    <xf borderId="1" fillId="4" fontId="3" numFmtId="164" xfId="0" applyBorder="1" applyFont="1" applyNumberFormat="1"/>
    <xf borderId="1" fillId="4" fontId="4" numFmtId="164" xfId="0" applyBorder="1" applyFont="1" applyNumberFormat="1"/>
    <xf borderId="1" fillId="0" fontId="2" numFmtId="164" xfId="0" applyBorder="1" applyFont="1" applyNumberFormat="1"/>
    <xf borderId="1" fillId="4" fontId="2" numFmtId="165" xfId="0" applyBorder="1" applyFont="1" applyNumberFormat="1"/>
    <xf borderId="1" fillId="3" fontId="2" numFmtId="0" xfId="0" applyAlignment="1" applyBorder="1" applyFont="1">
      <alignment readingOrder="0"/>
    </xf>
    <xf borderId="1" fillId="0" fontId="2" numFmtId="0" xfId="0" applyBorder="1" applyFont="1"/>
    <xf borderId="1" fillId="5" fontId="2" numFmtId="164" xfId="0" applyBorder="1" applyFill="1" applyFont="1" applyNumberFormat="1"/>
    <xf borderId="1" fillId="2" fontId="1" numFmtId="166" xfId="0" applyAlignment="1" applyBorder="1" applyFont="1" applyNumberFormat="1">
      <alignment horizontal="right" vertical="center"/>
    </xf>
    <xf borderId="2" fillId="3" fontId="2" numFmtId="167" xfId="0" applyBorder="1" applyFont="1" applyNumberFormat="1"/>
    <xf borderId="0" fillId="0" fontId="2" numFmtId="0" xfId="0" applyFont="1"/>
    <xf borderId="2" fillId="5" fontId="2" numFmtId="0" xfId="0" applyBorder="1" applyFont="1"/>
    <xf borderId="1" fillId="3" fontId="2" numFmtId="16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6" fontId="2" numFmtId="164" xfId="0" applyAlignment="1" applyBorder="1" applyFill="1" applyFont="1" applyNumberFormat="1">
      <alignment readingOrder="0"/>
    </xf>
    <xf borderId="1" fillId="4" fontId="4" numFmtId="164" xfId="0" applyAlignment="1" applyBorder="1" applyFont="1" applyNumberFormat="1">
      <alignment readingOrder="0"/>
    </xf>
    <xf borderId="1" fillId="7" fontId="4" numFmtId="164" xfId="0" applyAlignment="1" applyBorder="1" applyFill="1" applyFont="1" applyNumberFormat="1">
      <alignment readingOrder="0"/>
    </xf>
    <xf borderId="1" fillId="0" fontId="4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6" fontId="2" numFmtId="164" xfId="0" applyBorder="1" applyFont="1" applyNumberFormat="1"/>
    <xf borderId="1" fillId="8" fontId="2" numFmtId="164" xfId="0" applyBorder="1" applyFill="1" applyFont="1" applyNumberFormat="1"/>
    <xf borderId="1" fillId="9" fontId="5" numFmtId="164" xfId="0" applyBorder="1" applyFill="1" applyFont="1" applyNumberFormat="1"/>
    <xf borderId="1" fillId="10" fontId="1" numFmtId="0" xfId="0" applyBorder="1" applyFill="1" applyFont="1"/>
    <xf borderId="1" fillId="10" fontId="1" numFmtId="17" xfId="0" applyBorder="1" applyFont="1" applyNumberFormat="1"/>
    <xf borderId="0" fillId="0" fontId="1" numFmtId="0" xfId="0" applyFont="1"/>
    <xf borderId="1" fillId="10" fontId="1" numFmtId="164" xfId="0" applyBorder="1" applyFont="1" applyNumberFormat="1"/>
    <xf borderId="0" fillId="0" fontId="2" numFmtId="168" xfId="0" applyFont="1" applyNumberFormat="1"/>
    <xf borderId="1" fillId="10" fontId="1" numFmtId="166" xfId="0" applyAlignment="1" applyBorder="1" applyFont="1" applyNumberFormat="1">
      <alignment horizontal="right" vertical="center"/>
    </xf>
    <xf borderId="0" fillId="0" fontId="2" numFmtId="167" xfId="0" applyFont="1" applyNumberFormat="1"/>
    <xf borderId="2" fillId="5" fontId="2" numFmtId="167" xfId="0" applyBorder="1" applyFont="1" applyNumberFormat="1"/>
    <xf borderId="1" fillId="0" fontId="1" numFmtId="0" xfId="0" applyBorder="1" applyFont="1"/>
    <xf borderId="1" fillId="0" fontId="6" numFmtId="0" xfId="0" applyBorder="1" applyFont="1"/>
    <xf borderId="1" fillId="0" fontId="2" numFmtId="164" xfId="0" applyAlignment="1" applyBorder="1" applyFont="1" applyNumberFormat="1">
      <alignment vertical="bottom"/>
    </xf>
    <xf borderId="1" fillId="0" fontId="2" numFmtId="165" xfId="0" applyBorder="1" applyFont="1" applyNumberFormat="1"/>
    <xf borderId="0" fillId="0" fontId="2" numFmtId="165" xfId="0" applyFont="1" applyNumberFormat="1"/>
    <xf borderId="0" fillId="0" fontId="2" numFmtId="164" xfId="0" applyFont="1" applyNumberFormat="1"/>
    <xf borderId="1" fillId="0" fontId="6" numFmtId="0" xfId="0" applyAlignment="1" applyBorder="1" applyFont="1">
      <alignment readingOrder="0"/>
    </xf>
    <xf borderId="1" fillId="4" fontId="2" numFmtId="164" xfId="0" applyAlignment="1" applyBorder="1" applyFont="1" applyNumberFormat="1">
      <alignment horizontal="right" shrinkToFit="0" vertical="bottom" wrapText="0"/>
    </xf>
    <xf borderId="1" fillId="11" fontId="6" numFmtId="0" xfId="0" applyAlignment="1" applyBorder="1" applyFill="1" applyFont="1">
      <alignment readingOrder="0"/>
    </xf>
    <xf borderId="1" fillId="11" fontId="6" numFmtId="0" xfId="0" applyBorder="1" applyFont="1"/>
    <xf borderId="1" fillId="11" fontId="2" numFmtId="164" xfId="0" applyAlignment="1" applyBorder="1" applyFont="1" applyNumberFormat="1">
      <alignment readingOrder="0"/>
    </xf>
    <xf borderId="1" fillId="11" fontId="6" numFmtId="164" xfId="0" applyBorder="1" applyFont="1" applyNumberFormat="1"/>
    <xf borderId="0" fillId="0" fontId="6" numFmtId="0" xfId="0" applyAlignment="1" applyFont="1">
      <alignment readingOrder="0"/>
    </xf>
    <xf borderId="0" fillId="0" fontId="6" numFmtId="169" xfId="0" applyAlignment="1" applyFont="1" applyNumberFormat="1">
      <alignment readingOrder="0"/>
    </xf>
    <xf borderId="0" fillId="0" fontId="6" numFmtId="169" xfId="0" applyFont="1" applyNumberFormat="1"/>
    <xf borderId="0" fillId="0" fontId="6" numFmtId="0" xfId="0" applyFont="1"/>
    <xf borderId="1" fillId="0" fontId="7" numFmtId="0" xfId="0" applyAlignment="1" applyBorder="1" applyFont="1">
      <alignment horizontal="center" readingOrder="0"/>
    </xf>
    <xf borderId="1" fillId="0" fontId="6" numFmtId="170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0" fontId="6" numFmtId="171" xfId="0" applyAlignment="1" applyBorder="1" applyFont="1" applyNumberFormat="1">
      <alignment horizontal="center" readingOrder="0"/>
    </xf>
    <xf borderId="1" fillId="0" fontId="6" numFmtId="171" xfId="0" applyAlignment="1" applyBorder="1" applyFont="1" applyNumberFormat="1">
      <alignment horizontal="center"/>
    </xf>
    <xf borderId="1" fillId="4" fontId="6" numFmtId="171" xfId="0" applyAlignment="1" applyBorder="1" applyFont="1" applyNumberFormat="1">
      <alignment horizontal="center"/>
    </xf>
    <xf borderId="1" fillId="4" fontId="6" numFmtId="171" xfId="0" applyAlignment="1" applyBorder="1" applyFont="1" applyNumberFormat="1">
      <alignment horizontal="center" readingOrder="0"/>
    </xf>
    <xf borderId="1" fillId="0" fontId="7" numFmtId="171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0" fillId="0" fontId="7" numFmtId="0" xfId="0" applyFont="1"/>
    <xf borderId="0" fillId="0" fontId="7" numFmtId="171" xfId="0" applyFont="1" applyNumberFormat="1"/>
    <xf borderId="0" fillId="0" fontId="6" numFmtId="3" xfId="0" applyAlignment="1" applyFont="1" applyNumberFormat="1">
      <alignment readingOrder="0"/>
    </xf>
    <xf borderId="0" fillId="0" fontId="7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14"/>
    <col customWidth="1" hidden="1" min="2" max="11" width="17.57"/>
    <col customWidth="1" min="12" max="12" width="21.57"/>
    <col customWidth="1" min="13" max="13" width="18.57"/>
    <col customWidth="1" min="14" max="14" width="13.57"/>
    <col customWidth="1" min="15" max="15" width="4.14"/>
    <col customWidth="1" min="16" max="34" width="1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1" t="s">
        <v>14</v>
      </c>
      <c r="B2" s="4">
        <v>1200000.0</v>
      </c>
      <c r="C2" s="4">
        <v>1230000.0</v>
      </c>
      <c r="D2" s="4">
        <v>1230000.0</v>
      </c>
      <c r="E2" s="4">
        <v>1230000.0</v>
      </c>
      <c r="F2" s="4">
        <f>1230000+267000</f>
        <v>1497000</v>
      </c>
      <c r="G2" s="4">
        <f t="shared" ref="G2:M2" si="1">1400000</f>
        <v>1400000</v>
      </c>
      <c r="H2" s="4">
        <f t="shared" si="1"/>
        <v>1400000</v>
      </c>
      <c r="I2" s="4">
        <f t="shared" si="1"/>
        <v>1400000</v>
      </c>
      <c r="J2" s="4">
        <f t="shared" si="1"/>
        <v>1400000</v>
      </c>
      <c r="K2" s="4">
        <f t="shared" si="1"/>
        <v>1400000</v>
      </c>
      <c r="L2" s="4">
        <f t="shared" si="1"/>
        <v>1400000</v>
      </c>
      <c r="M2" s="4">
        <f t="shared" si="1"/>
        <v>1400000</v>
      </c>
      <c r="N2" s="4">
        <f t="shared" ref="N2:N6" si="2">SUM(B2:M2)</f>
        <v>16187000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1" t="s">
        <v>15</v>
      </c>
      <c r="B3" s="4">
        <v>750000.0</v>
      </c>
      <c r="C3" s="4">
        <v>750000.0</v>
      </c>
      <c r="D3" s="4">
        <v>750000.0</v>
      </c>
      <c r="E3" s="4">
        <v>750000.0</v>
      </c>
      <c r="F3" s="4">
        <v>750000.0</v>
      </c>
      <c r="G3" s="4">
        <v>700000.0</v>
      </c>
      <c r="H3" s="4">
        <v>750000.0</v>
      </c>
      <c r="I3" s="4">
        <v>750000.0</v>
      </c>
      <c r="J3" s="4">
        <v>750000.0</v>
      </c>
      <c r="K3" s="4">
        <v>500000.0</v>
      </c>
      <c r="L3" s="4">
        <v>600000</v>
      </c>
      <c r="M3" s="5">
        <f>350000+150000</f>
        <v>500000</v>
      </c>
      <c r="N3" s="4">
        <f t="shared" si="2"/>
        <v>8300000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1" t="s">
        <v>16</v>
      </c>
      <c r="B4" s="4">
        <v>113000.0</v>
      </c>
      <c r="C4" s="4">
        <v>0.0</v>
      </c>
      <c r="D4" s="4">
        <f>48000+19000</f>
        <v>67000</v>
      </c>
      <c r="E4" s="4">
        <v>10000.0</v>
      </c>
      <c r="F4" s="4">
        <f>10000+10000+20000+12000+15000</f>
        <v>67000</v>
      </c>
      <c r="G4" s="4">
        <v>10000.0</v>
      </c>
      <c r="H4" s="4">
        <v>0.0</v>
      </c>
      <c r="I4" s="4">
        <v>280000.0</v>
      </c>
      <c r="J4" s="4">
        <f>30000+90000</f>
        <v>120000</v>
      </c>
      <c r="K4" s="4">
        <v>200000.0</v>
      </c>
      <c r="L4" s="4">
        <f>150000+53000+80000</f>
        <v>283000</v>
      </c>
      <c r="M4" s="5">
        <f>80000+50000</f>
        <v>130000</v>
      </c>
      <c r="N4" s="4">
        <f t="shared" si="2"/>
        <v>1280000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1" t="s">
        <v>17</v>
      </c>
      <c r="B5" s="4">
        <f t="shared" ref="B5:M5" si="3">SUM(B2:B4)</f>
        <v>2063000</v>
      </c>
      <c r="C5" s="4">
        <f t="shared" si="3"/>
        <v>1980000</v>
      </c>
      <c r="D5" s="4">
        <f t="shared" si="3"/>
        <v>2047000</v>
      </c>
      <c r="E5" s="4">
        <f t="shared" si="3"/>
        <v>1990000</v>
      </c>
      <c r="F5" s="4">
        <f t="shared" si="3"/>
        <v>2314000</v>
      </c>
      <c r="G5" s="4">
        <f t="shared" si="3"/>
        <v>2110000</v>
      </c>
      <c r="H5" s="4">
        <f t="shared" si="3"/>
        <v>2150000</v>
      </c>
      <c r="I5" s="4">
        <f t="shared" si="3"/>
        <v>2430000</v>
      </c>
      <c r="J5" s="4">
        <f t="shared" si="3"/>
        <v>2270000</v>
      </c>
      <c r="K5" s="4">
        <f t="shared" si="3"/>
        <v>2100000</v>
      </c>
      <c r="L5" s="4">
        <f t="shared" si="3"/>
        <v>2283000</v>
      </c>
      <c r="M5" s="4">
        <f t="shared" si="3"/>
        <v>2030000</v>
      </c>
      <c r="N5" s="4">
        <f t="shared" si="2"/>
        <v>25767000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4">
        <f t="shared" si="2"/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1" t="s">
        <v>18</v>
      </c>
      <c r="B7" s="8">
        <f t="shared" ref="B7:N7" si="4">SUM(B8:B31)</f>
        <v>1273000</v>
      </c>
      <c r="C7" s="8">
        <f t="shared" si="4"/>
        <v>1179000</v>
      </c>
      <c r="D7" s="8">
        <f t="shared" si="4"/>
        <v>1278500</v>
      </c>
      <c r="E7" s="8">
        <f t="shared" si="4"/>
        <v>1419000</v>
      </c>
      <c r="F7" s="8">
        <f t="shared" si="4"/>
        <v>1683000</v>
      </c>
      <c r="G7" s="8">
        <f t="shared" si="4"/>
        <v>1623500</v>
      </c>
      <c r="H7" s="8">
        <f t="shared" si="4"/>
        <v>1505000</v>
      </c>
      <c r="I7" s="8">
        <f t="shared" si="4"/>
        <v>1743000</v>
      </c>
      <c r="J7" s="8">
        <f t="shared" si="4"/>
        <v>1350500</v>
      </c>
      <c r="K7" s="8">
        <f t="shared" si="4"/>
        <v>1648000</v>
      </c>
      <c r="L7" s="8">
        <f t="shared" si="4"/>
        <v>1388000</v>
      </c>
      <c r="M7" s="8">
        <f t="shared" si="4"/>
        <v>1320000</v>
      </c>
      <c r="N7" s="8">
        <f t="shared" si="4"/>
        <v>17410500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9" t="s">
        <v>19</v>
      </c>
      <c r="B8" s="10">
        <v>400000.0</v>
      </c>
      <c r="C8" s="10">
        <v>400000.0</v>
      </c>
      <c r="D8" s="10">
        <v>400000.0</v>
      </c>
      <c r="E8" s="10">
        <v>400000.0</v>
      </c>
      <c r="F8" s="10">
        <v>400000.0</v>
      </c>
      <c r="G8" s="10">
        <v>400000.0</v>
      </c>
      <c r="H8" s="10">
        <v>400000.0</v>
      </c>
      <c r="I8" s="10">
        <v>400000.0</v>
      </c>
      <c r="J8" s="10">
        <v>400000.0</v>
      </c>
      <c r="K8" s="10">
        <v>400000.0</v>
      </c>
      <c r="L8" s="10">
        <v>400000.0</v>
      </c>
      <c r="M8" s="10">
        <v>400000.0</v>
      </c>
      <c r="N8" s="4">
        <f t="shared" ref="N8:N52" si="5">SUM(B8:M8)</f>
        <v>4800000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>
      <c r="A9" s="12" t="s">
        <v>20</v>
      </c>
      <c r="B9" s="10">
        <v>72000.0</v>
      </c>
      <c r="C9" s="10">
        <v>75000.0</v>
      </c>
      <c r="D9" s="10">
        <v>90000.0</v>
      </c>
      <c r="E9" s="10">
        <v>83000.0</v>
      </c>
      <c r="F9" s="10">
        <v>100000.0</v>
      </c>
      <c r="G9" s="10">
        <v>65000.0</v>
      </c>
      <c r="H9" s="10">
        <v>85000.0</v>
      </c>
      <c r="I9" s="10">
        <v>90000.0</v>
      </c>
      <c r="J9" s="10">
        <v>100000.0</v>
      </c>
      <c r="K9" s="10">
        <v>107000.0</v>
      </c>
      <c r="L9" s="10">
        <v>100000.0</v>
      </c>
      <c r="M9" s="10">
        <v>100000.0</v>
      </c>
      <c r="N9" s="4">
        <f t="shared" si="5"/>
        <v>1067000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>
      <c r="A10" s="12" t="s">
        <v>21</v>
      </c>
      <c r="B10" s="10">
        <v>18000.0</v>
      </c>
      <c r="C10" s="10">
        <v>16000.0</v>
      </c>
      <c r="D10" s="10">
        <v>11000.0</v>
      </c>
      <c r="E10" s="10">
        <v>11000.0</v>
      </c>
      <c r="F10" s="10">
        <v>15000.0</v>
      </c>
      <c r="G10" s="10">
        <v>15000.0</v>
      </c>
      <c r="H10" s="10">
        <v>15000.0</v>
      </c>
      <c r="I10" s="10">
        <v>20000.0</v>
      </c>
      <c r="J10" s="10">
        <v>20500.0</v>
      </c>
      <c r="K10" s="10">
        <v>20000.0</v>
      </c>
      <c r="L10" s="10">
        <v>10000.0</v>
      </c>
      <c r="M10" s="13">
        <v>10000.0</v>
      </c>
      <c r="N10" s="4">
        <f t="shared" si="5"/>
        <v>181500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>
      <c r="A11" s="12" t="s">
        <v>22</v>
      </c>
      <c r="B11" s="10">
        <v>8000.0</v>
      </c>
      <c r="C11" s="10">
        <v>11000.0</v>
      </c>
      <c r="D11" s="10">
        <f>11000</f>
        <v>11000</v>
      </c>
      <c r="E11" s="10">
        <v>15000.0</v>
      </c>
      <c r="F11" s="10">
        <v>15000.0</v>
      </c>
      <c r="G11" s="10">
        <v>15000.0</v>
      </c>
      <c r="H11" s="10">
        <v>15000.0</v>
      </c>
      <c r="I11" s="10">
        <v>15000.0</v>
      </c>
      <c r="J11" s="10">
        <v>11000.0</v>
      </c>
      <c r="K11" s="10">
        <v>15000.0</v>
      </c>
      <c r="L11" s="10">
        <v>11000.0</v>
      </c>
      <c r="M11" s="13">
        <v>10000.0</v>
      </c>
      <c r="N11" s="4">
        <f t="shared" si="5"/>
        <v>152000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>
      <c r="A12" s="12" t="s">
        <v>23</v>
      </c>
      <c r="B12" s="10">
        <v>10000.0</v>
      </c>
      <c r="C12" s="14"/>
      <c r="D12" s="10">
        <v>15000.0</v>
      </c>
      <c r="E12" s="10">
        <v>11000.0</v>
      </c>
      <c r="F12" s="14"/>
      <c r="G12" s="14"/>
      <c r="H12" s="10">
        <v>15000.0</v>
      </c>
      <c r="I12" s="10">
        <v>14000.0</v>
      </c>
      <c r="J12" s="10">
        <v>15000.0</v>
      </c>
      <c r="K12" s="10">
        <v>15000.0</v>
      </c>
      <c r="L12" s="10">
        <v>12000.0</v>
      </c>
      <c r="M12" s="13">
        <v>10000.0</v>
      </c>
      <c r="N12" s="4">
        <f t="shared" si="5"/>
        <v>117000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>
      <c r="A13" s="12" t="s">
        <v>24</v>
      </c>
      <c r="B13" s="10">
        <v>20000.0</v>
      </c>
      <c r="C13" s="10">
        <v>20000.0</v>
      </c>
      <c r="D13" s="10">
        <f t="shared" ref="D13:E13" si="6">20000+20000</f>
        <v>40000</v>
      </c>
      <c r="E13" s="10">
        <f t="shared" si="6"/>
        <v>40000</v>
      </c>
      <c r="F13" s="10">
        <v>20000.0</v>
      </c>
      <c r="G13" s="10">
        <v>20000.0</v>
      </c>
      <c r="H13" s="10"/>
      <c r="I13" s="10">
        <f>20000+20000</f>
        <v>40000</v>
      </c>
      <c r="J13" s="10">
        <f>20000</f>
        <v>20000</v>
      </c>
      <c r="K13" s="10">
        <v>20000.0</v>
      </c>
      <c r="L13" s="10">
        <f>20000+20000</f>
        <v>40000</v>
      </c>
      <c r="M13" s="10">
        <v>20000.0</v>
      </c>
      <c r="N13" s="4">
        <f t="shared" si="5"/>
        <v>300000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>
      <c r="A14" s="12" t="s">
        <v>25</v>
      </c>
      <c r="B14" s="10">
        <v>25000.0</v>
      </c>
      <c r="C14" s="10">
        <v>26000.0</v>
      </c>
      <c r="D14" s="10">
        <v>26000.0</v>
      </c>
      <c r="E14" s="10">
        <v>26000.0</v>
      </c>
      <c r="F14" s="15">
        <v>26000.0</v>
      </c>
      <c r="G14" s="10">
        <v>26000.0</v>
      </c>
      <c r="H14" s="10">
        <v>26000.0</v>
      </c>
      <c r="I14" s="10">
        <v>26000.0</v>
      </c>
      <c r="J14" s="10">
        <v>26000.0</v>
      </c>
      <c r="K14" s="10">
        <v>26000.0</v>
      </c>
      <c r="L14" s="10">
        <v>26000.0</v>
      </c>
      <c r="M14" s="10">
        <v>26000.0</v>
      </c>
      <c r="N14" s="4">
        <f t="shared" si="5"/>
        <v>311000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>
      <c r="A15" s="12" t="s">
        <v>26</v>
      </c>
      <c r="B15" s="10">
        <v>200000.0</v>
      </c>
      <c r="C15" s="10">
        <f>190000+8000+8000+4000</f>
        <v>210000</v>
      </c>
      <c r="D15" s="10">
        <v>200000.0</v>
      </c>
      <c r="E15" s="10">
        <f>5000+9000+12000+7000+20000+6000+9000</f>
        <v>68000</v>
      </c>
      <c r="F15" s="10">
        <f>75000+170000+10000</f>
        <v>255000</v>
      </c>
      <c r="G15" s="10">
        <f>75000+190000+55000+50000</f>
        <v>370000</v>
      </c>
      <c r="H15" s="10">
        <f>75000+175000</f>
        <v>250000</v>
      </c>
      <c r="I15" s="10">
        <f>175000+15000+15000</f>
        <v>205000</v>
      </c>
      <c r="J15" s="10">
        <f>150000+15000+10000+10000+10000+16000+25000</f>
        <v>236000</v>
      </c>
      <c r="K15" s="10">
        <f>180000+15000</f>
        <v>195000</v>
      </c>
      <c r="L15" s="10">
        <f>150000+10000+7000</f>
        <v>167000</v>
      </c>
      <c r="M15" s="10">
        <f>170000</f>
        <v>170000</v>
      </c>
      <c r="N15" s="4">
        <f t="shared" si="5"/>
        <v>2526000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>
      <c r="A16" s="12" t="s">
        <v>27</v>
      </c>
      <c r="B16" s="10">
        <f>20000+15000+20000+20000+10000+10000</f>
        <v>95000</v>
      </c>
      <c r="C16" s="10">
        <v>30000.0</v>
      </c>
      <c r="D16" s="10">
        <f>50000+15000+30000+20000</f>
        <v>115000</v>
      </c>
      <c r="E16" s="10">
        <f>30000+10000+20000+40000+4500</f>
        <v>104500</v>
      </c>
      <c r="F16" s="10">
        <f>56000+25000</f>
        <v>81000</v>
      </c>
      <c r="G16" s="10">
        <v>80000.0</v>
      </c>
      <c r="H16" s="10">
        <v>60000.0</v>
      </c>
      <c r="I16" s="10">
        <f>60000+30000</f>
        <v>90000</v>
      </c>
      <c r="J16" s="10">
        <f>40000+30000</f>
        <v>70000</v>
      </c>
      <c r="K16" s="10">
        <f>30000+30000</f>
        <v>60000</v>
      </c>
      <c r="L16" s="10">
        <f>15000+30000</f>
        <v>45000</v>
      </c>
      <c r="M16" s="10">
        <v>60000.0</v>
      </c>
      <c r="N16" s="4">
        <f t="shared" si="5"/>
        <v>890500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>
      <c r="A17" s="12" t="s">
        <v>28</v>
      </c>
      <c r="B17" s="10">
        <f>30000+8000</f>
        <v>38000</v>
      </c>
      <c r="C17" s="10">
        <f>20000+9000</f>
        <v>29000</v>
      </c>
      <c r="D17" s="10">
        <f t="shared" ref="D17:E17" si="7">6000</f>
        <v>6000</v>
      </c>
      <c r="E17" s="10">
        <f t="shared" si="7"/>
        <v>6000</v>
      </c>
      <c r="F17" s="10">
        <v>12000.0</v>
      </c>
      <c r="G17" s="10">
        <f>55000+55000+55000 +30000+33000</f>
        <v>228000</v>
      </c>
      <c r="H17" s="10"/>
      <c r="I17" s="14"/>
      <c r="J17" s="14"/>
      <c r="K17" s="14"/>
      <c r="L17" s="10">
        <f>15000+10000</f>
        <v>25000</v>
      </c>
      <c r="M17" s="10">
        <f>15000+22000</f>
        <v>37000</v>
      </c>
      <c r="N17" s="4">
        <f t="shared" si="5"/>
        <v>381000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>
      <c r="A18" s="12" t="s">
        <v>29</v>
      </c>
      <c r="B18" s="10">
        <f>19000+10000+7000+20000</f>
        <v>56000</v>
      </c>
      <c r="C18" s="10">
        <f>12000+15000+8000</f>
        <v>35000</v>
      </c>
      <c r="D18" s="10">
        <f>15000+8000+7500+7000+7000+12000+12000+10000+11000+10000+7000+20000+5000+10000</f>
        <v>141500</v>
      </c>
      <c r="E18" s="10">
        <f>12000+15000+5500+10000+5500+6000+12000+10000+18000+7000+5000+3000+10000+2500</f>
        <v>121500</v>
      </c>
      <c r="F18" s="10">
        <f>42000+11000+12000+12000+10000</f>
        <v>87000</v>
      </c>
      <c r="G18" s="14"/>
      <c r="H18" s="10">
        <v>20000.0</v>
      </c>
      <c r="I18" s="10">
        <v>30000.0</v>
      </c>
      <c r="J18" s="10">
        <f>10000+22000+6000+14000+9000</f>
        <v>61000</v>
      </c>
      <c r="K18" s="10">
        <f>23000+15000+5000+10000+11000+10000+34000</f>
        <v>108000</v>
      </c>
      <c r="L18" s="10">
        <f>6000+10000+10000+5000</f>
        <v>31000</v>
      </c>
      <c r="M18" s="10">
        <f>20000+24000</f>
        <v>44000</v>
      </c>
      <c r="N18" s="4">
        <f t="shared" si="5"/>
        <v>735000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>
      <c r="A19" s="12" t="s">
        <v>30</v>
      </c>
      <c r="B19" s="10">
        <f>20000</f>
        <v>20000</v>
      </c>
      <c r="C19" s="10">
        <f>12000+17000</f>
        <v>29000</v>
      </c>
      <c r="D19" s="10">
        <f>20000+10000</f>
        <v>30000</v>
      </c>
      <c r="E19" s="10">
        <f>25000+20000</f>
        <v>45000</v>
      </c>
      <c r="F19" s="10">
        <f>25000+10000+20000</f>
        <v>55000</v>
      </c>
      <c r="G19" s="10">
        <f>25000+55000</f>
        <v>80000</v>
      </c>
      <c r="H19" s="10">
        <f>25000</f>
        <v>25000</v>
      </c>
      <c r="I19" s="10">
        <f>25000+20000+20000</f>
        <v>65000</v>
      </c>
      <c r="J19" s="10">
        <f>20000+37000+20000</f>
        <v>77000</v>
      </c>
      <c r="K19" s="10">
        <f>18000+20000</f>
        <v>38000</v>
      </c>
      <c r="L19" s="10">
        <f>12000+12000+18000+48000</f>
        <v>90000</v>
      </c>
      <c r="M19" s="13">
        <v>20000.0</v>
      </c>
      <c r="N19" s="4">
        <f t="shared" si="5"/>
        <v>574000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>
      <c r="A20" s="12" t="s">
        <v>31</v>
      </c>
      <c r="B20" s="10">
        <v>18000.0</v>
      </c>
      <c r="C20" s="10">
        <f>30000+30000</f>
        <v>60000</v>
      </c>
      <c r="D20" s="10">
        <v>30000.0</v>
      </c>
      <c r="E20" s="14"/>
      <c r="F20" s="14"/>
      <c r="G20" s="10">
        <v>30000.0</v>
      </c>
      <c r="H20" s="10">
        <f>30000+10000</f>
        <v>40000</v>
      </c>
      <c r="I20" s="10">
        <v>30000.0</v>
      </c>
      <c r="J20" s="10">
        <f>12000+14000</f>
        <v>26000</v>
      </c>
      <c r="K20" s="14"/>
      <c r="L20" s="10">
        <f>25000</f>
        <v>25000</v>
      </c>
      <c r="M20" s="13">
        <v>15000.0</v>
      </c>
      <c r="N20" s="4">
        <f t="shared" si="5"/>
        <v>274000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ht="15.75" customHeight="1">
      <c r="A21" s="12" t="s">
        <v>32</v>
      </c>
      <c r="B21" s="14"/>
      <c r="C21" s="10">
        <f>33000</f>
        <v>33000</v>
      </c>
      <c r="D21" s="14"/>
      <c r="E21" s="10">
        <f>17000+25000</f>
        <v>42000</v>
      </c>
      <c r="F21" s="10">
        <v>45000.0</v>
      </c>
      <c r="G21" s="10">
        <v>40000.0</v>
      </c>
      <c r="H21" s="10"/>
      <c r="I21" s="14"/>
      <c r="J21" s="14"/>
      <c r="K21" s="14"/>
      <c r="L21" s="13">
        <v>10000.0</v>
      </c>
      <c r="M21" s="10">
        <f>30000</f>
        <v>30000</v>
      </c>
      <c r="N21" s="4">
        <f t="shared" si="5"/>
        <v>200000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5.75" customHeight="1">
      <c r="A22" s="12" t="s">
        <v>33</v>
      </c>
      <c r="B22" s="14"/>
      <c r="C22" s="10">
        <f>50000+15000+30000</f>
        <v>95000</v>
      </c>
      <c r="D22" s="10">
        <f>38000+7000</f>
        <v>45000</v>
      </c>
      <c r="E22" s="14"/>
      <c r="F22" s="10">
        <f>30000+4000+4000+5000</f>
        <v>43000</v>
      </c>
      <c r="G22" s="10">
        <f>35000</f>
        <v>35000</v>
      </c>
      <c r="H22" s="10">
        <v>50000.0</v>
      </c>
      <c r="I22" s="10">
        <f>30000+35000</f>
        <v>65000</v>
      </c>
      <c r="J22" s="10">
        <f>20000+7000+16000+5000</f>
        <v>48000</v>
      </c>
      <c r="K22" s="10">
        <f>23000+16000+20000+10000+10000+10000</f>
        <v>89000</v>
      </c>
      <c r="L22" s="10">
        <f>7000+4000+11000+11000+10000</f>
        <v>43000</v>
      </c>
      <c r="M22" s="10">
        <f>12000+25000+16000+11000+36000</f>
        <v>100000</v>
      </c>
      <c r="N22" s="4">
        <f t="shared" si="5"/>
        <v>613000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15.75" customHeight="1">
      <c r="A23" s="12" t="s">
        <v>34</v>
      </c>
      <c r="B23" s="10">
        <f>32000+20000</f>
        <v>52000</v>
      </c>
      <c r="C23" s="16">
        <f>47000</f>
        <v>47000</v>
      </c>
      <c r="D23" s="10">
        <v>22000.0</v>
      </c>
      <c r="E23" s="10">
        <f>50000+150000+20000</f>
        <v>220000</v>
      </c>
      <c r="F23" s="10">
        <f>115000</f>
        <v>115000</v>
      </c>
      <c r="G23" s="10">
        <v>73000.0</v>
      </c>
      <c r="H23" s="10">
        <f>30000+40000+55000+30000</f>
        <v>155000</v>
      </c>
      <c r="I23" s="10">
        <v>30000.0</v>
      </c>
      <c r="J23" s="10">
        <v>30000.0</v>
      </c>
      <c r="K23" s="10">
        <v>25000.0</v>
      </c>
      <c r="L23" s="10">
        <f>25000+21000+26000+15000</f>
        <v>87000</v>
      </c>
      <c r="M23" s="10">
        <f>25000+15000+10000</f>
        <v>50000</v>
      </c>
      <c r="N23" s="4">
        <f t="shared" si="5"/>
        <v>906000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5.75" customHeight="1">
      <c r="A24" s="12" t="s">
        <v>35</v>
      </c>
      <c r="B24" s="17"/>
      <c r="C24" s="14"/>
      <c r="D24" s="10">
        <f>7500+6000+5000+15000+5000</f>
        <v>38500</v>
      </c>
      <c r="E24" s="10">
        <f>50000+20000+10000+5000</f>
        <v>85000</v>
      </c>
      <c r="F24" s="10">
        <f>60000+20000+22000</f>
        <v>102000</v>
      </c>
      <c r="G24" s="10">
        <v>60000.0</v>
      </c>
      <c r="H24" s="10"/>
      <c r="I24" s="14"/>
      <c r="J24" s="14"/>
      <c r="K24" s="14"/>
      <c r="L24" s="14"/>
      <c r="M24" s="10">
        <f>29000+18000</f>
        <v>47000</v>
      </c>
      <c r="N24" s="4">
        <f t="shared" si="5"/>
        <v>332500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5.75" customHeight="1">
      <c r="A25" s="12" t="s">
        <v>36</v>
      </c>
      <c r="B25" s="10">
        <f>11500+7500</f>
        <v>19000</v>
      </c>
      <c r="C25" s="10">
        <v>25000.0</v>
      </c>
      <c r="D25" s="14"/>
      <c r="E25" s="14"/>
      <c r="F25" s="10">
        <v>100000.0</v>
      </c>
      <c r="G25" s="14"/>
      <c r="H25" s="10">
        <f>15000+25000</f>
        <v>40000</v>
      </c>
      <c r="I25" s="10">
        <v>20000.0</v>
      </c>
      <c r="J25" s="10">
        <v>20000.0</v>
      </c>
      <c r="K25" s="14"/>
      <c r="L25" s="14"/>
      <c r="M25" s="14"/>
      <c r="N25" s="4">
        <f t="shared" si="5"/>
        <v>224000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ht="15.75" customHeight="1">
      <c r="A26" s="12" t="s">
        <v>37</v>
      </c>
      <c r="B26" s="10">
        <v>120000.0</v>
      </c>
      <c r="C26" s="14"/>
      <c r="D26" s="10">
        <v>15000.0</v>
      </c>
      <c r="E26" s="10">
        <v>20000.0</v>
      </c>
      <c r="F26" s="14"/>
      <c r="G26" s="14"/>
      <c r="H26" s="10">
        <v>220000.0</v>
      </c>
      <c r="I26" s="10">
        <f>50000+8000+12000+30000+5000+27000+7000+10000+10000+12000+108000</f>
        <v>279000</v>
      </c>
      <c r="J26" s="14"/>
      <c r="K26" s="10">
        <v>34000.0</v>
      </c>
      <c r="L26" s="10">
        <v>34000.0</v>
      </c>
      <c r="M26" s="10">
        <v>34000.0</v>
      </c>
      <c r="N26" s="4">
        <f t="shared" si="5"/>
        <v>756000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5.75" customHeight="1">
      <c r="A27" s="12" t="s">
        <v>38</v>
      </c>
      <c r="B27" s="10">
        <v>20000.0</v>
      </c>
      <c r="C27" s="14">
        <v>25000.0</v>
      </c>
      <c r="D27" s="10">
        <f>9000</f>
        <v>9000</v>
      </c>
      <c r="E27" s="10">
        <v>15000.0</v>
      </c>
      <c r="F27" s="10">
        <f>15000+10000+105000</f>
        <v>130000</v>
      </c>
      <c r="G27" s="10">
        <f>15000+10000</f>
        <v>25000</v>
      </c>
      <c r="H27" s="10">
        <f>10000+15000</f>
        <v>25000</v>
      </c>
      <c r="I27" s="10">
        <f>15000+8000+10000+15000+10000+7000+2000+14000+100000+11000+6000+15000+14000</f>
        <v>227000</v>
      </c>
      <c r="J27" s="10">
        <f>15000+10000</f>
        <v>25000</v>
      </c>
      <c r="K27" s="14"/>
      <c r="L27" s="10">
        <f>15000+8000</f>
        <v>23000</v>
      </c>
      <c r="M27" s="10">
        <v>18000.0</v>
      </c>
      <c r="N27" s="4">
        <f t="shared" si="5"/>
        <v>542000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ht="15.75" customHeight="1">
      <c r="A28" s="12" t="s">
        <v>39</v>
      </c>
      <c r="B28" s="10">
        <f>5000+10000+20000</f>
        <v>35000</v>
      </c>
      <c r="C28" s="10">
        <f>13000</f>
        <v>13000</v>
      </c>
      <c r="D28" s="10">
        <f>20000+4000</f>
        <v>24000</v>
      </c>
      <c r="E28" s="10">
        <f t="shared" ref="E28:E29" si="8">10000</f>
        <v>10000</v>
      </c>
      <c r="F28" s="10">
        <v>20000.0</v>
      </c>
      <c r="G28" s="14"/>
      <c r="H28" s="10"/>
      <c r="I28" s="10">
        <f>20000+27000</f>
        <v>47000</v>
      </c>
      <c r="J28" s="10">
        <f>20000+30000+10000+10000</f>
        <v>70000</v>
      </c>
      <c r="K28" s="10">
        <f>30000+30000+3000+3000</f>
        <v>66000</v>
      </c>
      <c r="L28" s="10">
        <f>15000+5000</f>
        <v>20000</v>
      </c>
      <c r="M28" s="13">
        <f>30000+10000+25000</f>
        <v>65000</v>
      </c>
      <c r="N28" s="4">
        <f t="shared" si="5"/>
        <v>370000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ht="15.75" customHeight="1">
      <c r="A29" s="12" t="s">
        <v>40</v>
      </c>
      <c r="B29" s="10">
        <f>19000+28000</f>
        <v>47000</v>
      </c>
      <c r="C29" s="14"/>
      <c r="D29" s="18">
        <v>6000.0</v>
      </c>
      <c r="E29" s="10">
        <f t="shared" si="8"/>
        <v>10000</v>
      </c>
      <c r="F29" s="14"/>
      <c r="G29" s="10">
        <f>15000</f>
        <v>15000</v>
      </c>
      <c r="H29" s="10">
        <f>15000+10000</f>
        <v>25000</v>
      </c>
      <c r="I29" s="10">
        <f>15000</f>
        <v>15000</v>
      </c>
      <c r="J29" s="14">
        <v>4000.0</v>
      </c>
      <c r="K29" s="10">
        <v>17000.0</v>
      </c>
      <c r="L29" s="10">
        <v>17000.0</v>
      </c>
      <c r="M29" s="13">
        <f>17000+5000</f>
        <v>22000</v>
      </c>
      <c r="N29" s="4">
        <f t="shared" si="5"/>
        <v>178000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ht="15.75" customHeight="1">
      <c r="A30" s="19" t="s">
        <v>41</v>
      </c>
      <c r="B30" s="10"/>
      <c r="C30" s="14"/>
      <c r="D30" s="14"/>
      <c r="E30" s="10">
        <f>40000+17000+4000+5000</f>
        <v>66000</v>
      </c>
      <c r="F30" s="10">
        <v>50000.0</v>
      </c>
      <c r="G30" s="10">
        <v>35000.0</v>
      </c>
      <c r="H30" s="10">
        <v>35000.0</v>
      </c>
      <c r="I30" s="10">
        <v>35000.0</v>
      </c>
      <c r="J30" s="14">
        <f>20000+25000</f>
        <v>45000</v>
      </c>
      <c r="K30" s="10">
        <f>12000+15000+30000+60000+35000+100000+77000+26000+5000+20000+33000</f>
        <v>413000</v>
      </c>
      <c r="L30" s="10">
        <f>12000+15000+44000+44000+11000+28000+12000</f>
        <v>166000</v>
      </c>
      <c r="M30" s="10">
        <f>12000+15000</f>
        <v>27000</v>
      </c>
      <c r="N30" s="4">
        <f t="shared" si="5"/>
        <v>872000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ht="15.75" customHeight="1">
      <c r="A31" s="12" t="s">
        <v>42</v>
      </c>
      <c r="B31" s="10"/>
      <c r="C31" s="14"/>
      <c r="D31" s="10">
        <v>3500.0</v>
      </c>
      <c r="E31" s="10">
        <v>20000.0</v>
      </c>
      <c r="F31" s="10">
        <v>12000.0</v>
      </c>
      <c r="G31" s="10">
        <v>11500.0</v>
      </c>
      <c r="H31" s="10">
        <v>4000.0</v>
      </c>
      <c r="I31" s="14"/>
      <c r="J31" s="10">
        <f>20000+15000+5000+6000</f>
        <v>46000</v>
      </c>
      <c r="K31" s="14"/>
      <c r="L31" s="10">
        <v>6000.0</v>
      </c>
      <c r="M31" s="13">
        <v>5000.0</v>
      </c>
      <c r="N31" s="4">
        <f t="shared" si="5"/>
        <v>108000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ht="15.75" customHeight="1">
      <c r="A32" s="1" t="s">
        <v>43</v>
      </c>
      <c r="B32" s="8">
        <f t="shared" ref="B32:M32" si="9">SUM(B33:B43)</f>
        <v>231000</v>
      </c>
      <c r="C32" s="8">
        <f t="shared" si="9"/>
        <v>210000</v>
      </c>
      <c r="D32" s="8">
        <f t="shared" si="9"/>
        <v>272000</v>
      </c>
      <c r="E32" s="8">
        <f t="shared" si="9"/>
        <v>256500</v>
      </c>
      <c r="F32" s="8">
        <f t="shared" si="9"/>
        <v>211500</v>
      </c>
      <c r="G32" s="8">
        <f t="shared" si="9"/>
        <v>231500</v>
      </c>
      <c r="H32" s="8">
        <f t="shared" si="9"/>
        <v>390000</v>
      </c>
      <c r="I32" s="8">
        <f t="shared" si="9"/>
        <v>361500</v>
      </c>
      <c r="J32" s="8">
        <f t="shared" si="9"/>
        <v>367500</v>
      </c>
      <c r="K32" s="8">
        <f t="shared" si="9"/>
        <v>420500</v>
      </c>
      <c r="L32" s="8">
        <f t="shared" si="9"/>
        <v>484500</v>
      </c>
      <c r="M32" s="8">
        <f t="shared" si="9"/>
        <v>430500</v>
      </c>
      <c r="N32" s="4">
        <f t="shared" si="5"/>
        <v>3867000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15.75" customHeight="1">
      <c r="A33" s="12" t="s">
        <v>44</v>
      </c>
      <c r="B33" s="10">
        <v>10000.0</v>
      </c>
      <c r="C33" s="10">
        <v>10000.0</v>
      </c>
      <c r="D33" s="10">
        <v>10000.0</v>
      </c>
      <c r="E33" s="10">
        <v>11000.0</v>
      </c>
      <c r="F33" s="10">
        <v>11000.0</v>
      </c>
      <c r="G33" s="10">
        <v>11000.0</v>
      </c>
      <c r="H33" s="10">
        <v>11000.0</v>
      </c>
      <c r="I33" s="10">
        <v>11000.0</v>
      </c>
      <c r="J33" s="10">
        <v>11000.0</v>
      </c>
      <c r="K33" s="10">
        <v>11000.0</v>
      </c>
      <c r="L33" s="13">
        <v>12000.0</v>
      </c>
      <c r="M33" s="10">
        <f>12000+12000+6000</f>
        <v>30000</v>
      </c>
      <c r="N33" s="4">
        <f t="shared" si="5"/>
        <v>149000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ht="15.75" customHeight="1">
      <c r="A34" s="12" t="s">
        <v>45</v>
      </c>
      <c r="B34" s="10">
        <v>15000.0</v>
      </c>
      <c r="C34" s="10">
        <v>15000.0</v>
      </c>
      <c r="D34" s="10">
        <v>15000.0</v>
      </c>
      <c r="E34" s="10">
        <v>16000.0</v>
      </c>
      <c r="F34" s="10">
        <v>16000.0</v>
      </c>
      <c r="G34" s="10">
        <v>16000.0</v>
      </c>
      <c r="H34" s="10">
        <v>16000.0</v>
      </c>
      <c r="I34" s="10">
        <v>16000.0</v>
      </c>
      <c r="J34" s="10">
        <v>16000.0</v>
      </c>
      <c r="K34" s="10">
        <v>16000.0</v>
      </c>
      <c r="L34" s="10">
        <f>16000+10000</f>
        <v>26000</v>
      </c>
      <c r="M34" s="10">
        <f>16000+14000</f>
        <v>30000</v>
      </c>
      <c r="N34" s="4">
        <f t="shared" si="5"/>
        <v>213000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ht="15.75" customHeight="1">
      <c r="A35" s="12" t="s">
        <v>46</v>
      </c>
      <c r="B35" s="10">
        <v>24000.0</v>
      </c>
      <c r="C35" s="10">
        <f>24000+24000</f>
        <v>48000</v>
      </c>
      <c r="D35" s="10">
        <f>25000+25000</f>
        <v>50000</v>
      </c>
      <c r="E35" s="10">
        <v>24000.0</v>
      </c>
      <c r="F35" s="10">
        <v>24000.0</v>
      </c>
      <c r="G35" s="10">
        <v>24000.0</v>
      </c>
      <c r="H35" s="10">
        <v>24000.0</v>
      </c>
      <c r="I35" s="10">
        <f>24000+27000</f>
        <v>51000</v>
      </c>
      <c r="J35" s="10">
        <f>27000</f>
        <v>27000</v>
      </c>
      <c r="K35" s="10">
        <v>20000.0</v>
      </c>
      <c r="L35" s="10">
        <f>20000+20000</f>
        <v>40000</v>
      </c>
      <c r="M35" s="13">
        <v>20000.0</v>
      </c>
      <c r="N35" s="4">
        <f t="shared" si="5"/>
        <v>376000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ht="15.75" customHeight="1">
      <c r="A36" s="12" t="s">
        <v>47</v>
      </c>
      <c r="B36" s="10">
        <v>30000.0</v>
      </c>
      <c r="C36" s="10">
        <v>30000.0</v>
      </c>
      <c r="D36" s="18">
        <v>20000.0</v>
      </c>
      <c r="E36" s="10">
        <v>45000.0</v>
      </c>
      <c r="F36" s="14"/>
      <c r="G36" s="10">
        <v>30000.0</v>
      </c>
      <c r="H36" s="10"/>
      <c r="I36" s="14"/>
      <c r="J36" s="14"/>
      <c r="K36" s="14"/>
      <c r="L36" s="13">
        <v>30000.0</v>
      </c>
      <c r="M36" s="14"/>
      <c r="N36" s="4">
        <f t="shared" si="5"/>
        <v>185000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ht="15.75" customHeight="1">
      <c r="A37" s="12" t="s">
        <v>48</v>
      </c>
      <c r="B37" s="10">
        <v>20000.0</v>
      </c>
      <c r="C37" s="10">
        <v>20000.0</v>
      </c>
      <c r="D37" s="14"/>
      <c r="E37" s="10">
        <v>20000.0</v>
      </c>
      <c r="F37" s="14"/>
      <c r="G37" s="10">
        <v>20000.0</v>
      </c>
      <c r="H37" s="10">
        <v>20000.0</v>
      </c>
      <c r="I37" s="10">
        <v>20000.0</v>
      </c>
      <c r="J37" s="10">
        <v>20000.0</v>
      </c>
      <c r="K37" s="10">
        <v>20000.0</v>
      </c>
      <c r="L37" s="10">
        <v>20000.0</v>
      </c>
      <c r="M37" s="10">
        <v>20000.0</v>
      </c>
      <c r="N37" s="4">
        <f t="shared" si="5"/>
        <v>200000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ht="15.75" customHeight="1">
      <c r="A38" s="12" t="s">
        <v>49</v>
      </c>
      <c r="B38" s="10">
        <v>30000.0</v>
      </c>
      <c r="C38" s="10">
        <v>20000.0</v>
      </c>
      <c r="D38" s="10">
        <v>20000.0</v>
      </c>
      <c r="E38" s="14"/>
      <c r="F38" s="14"/>
      <c r="G38" s="14"/>
      <c r="H38" s="10">
        <v>48500.0</v>
      </c>
      <c r="I38" s="14"/>
      <c r="J38" s="10">
        <f t="shared" ref="J38:L38" si="10">10000+10000</f>
        <v>20000</v>
      </c>
      <c r="K38" s="10">
        <f t="shared" si="10"/>
        <v>20000</v>
      </c>
      <c r="L38" s="13">
        <f t="shared" si="10"/>
        <v>20000</v>
      </c>
      <c r="M38" s="14"/>
      <c r="N38" s="4">
        <f t="shared" si="5"/>
        <v>178500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ht="15.75" customHeight="1">
      <c r="A39" s="20" t="s">
        <v>50</v>
      </c>
      <c r="B39" s="10">
        <v>50000.0</v>
      </c>
      <c r="C39" s="10">
        <v>50000.0</v>
      </c>
      <c r="D39" s="10">
        <f>60000+30000</f>
        <v>90000</v>
      </c>
      <c r="E39" s="10">
        <f>50000+10000</f>
        <v>60000</v>
      </c>
      <c r="F39" s="10">
        <f>50000+10000+20000</f>
        <v>80000</v>
      </c>
      <c r="G39" s="10">
        <v>50000.0</v>
      </c>
      <c r="H39" s="10">
        <v>60000.0</v>
      </c>
      <c r="I39" s="10">
        <v>50000.0</v>
      </c>
      <c r="J39" s="10">
        <v>50000.0</v>
      </c>
      <c r="K39" s="10">
        <v>50000.0</v>
      </c>
      <c r="L39" s="10">
        <v>50000.0</v>
      </c>
      <c r="M39" s="10">
        <v>50000.0</v>
      </c>
      <c r="N39" s="4">
        <f t="shared" si="5"/>
        <v>690000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ht="15.75" customHeight="1">
      <c r="A40" s="20" t="s">
        <v>51</v>
      </c>
      <c r="B40" s="10">
        <f>6500+5500</f>
        <v>12000</v>
      </c>
      <c r="C40" s="10">
        <f>7000+6000</f>
        <v>13000</v>
      </c>
      <c r="D40" s="10">
        <f>6500+5500</f>
        <v>12000</v>
      </c>
      <c r="E40" s="10">
        <f t="shared" ref="E40:H40" si="11">6500+5500+2000+8500+3000</f>
        <v>25500</v>
      </c>
      <c r="F40" s="10">
        <f t="shared" si="11"/>
        <v>25500</v>
      </c>
      <c r="G40" s="10">
        <f t="shared" si="11"/>
        <v>25500</v>
      </c>
      <c r="H40" s="10">
        <f t="shared" si="11"/>
        <v>25500</v>
      </c>
      <c r="I40" s="10">
        <f t="shared" ref="I40:L40" si="12">6500+5500+2000+8500+3000+3000</f>
        <v>28500</v>
      </c>
      <c r="J40" s="10">
        <f t="shared" si="12"/>
        <v>28500</v>
      </c>
      <c r="K40" s="10">
        <f t="shared" si="12"/>
        <v>28500</v>
      </c>
      <c r="L40" s="10">
        <f t="shared" si="12"/>
        <v>28500</v>
      </c>
      <c r="M40" s="10">
        <f>6500+5500+2000+8500+3000</f>
        <v>25500</v>
      </c>
      <c r="N40" s="4">
        <f t="shared" si="5"/>
        <v>278500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ht="15.75" customHeight="1">
      <c r="A41" s="20" t="s">
        <v>52</v>
      </c>
      <c r="B41" s="10">
        <v>10000.0</v>
      </c>
      <c r="C41" s="10">
        <v>4000.0</v>
      </c>
      <c r="D41" s="10">
        <v>10000.0</v>
      </c>
      <c r="E41" s="10">
        <v>10000.0</v>
      </c>
      <c r="F41" s="10">
        <v>10000.0</v>
      </c>
      <c r="G41" s="10">
        <v>10000.0</v>
      </c>
      <c r="H41" s="10">
        <v>10000.0</v>
      </c>
      <c r="I41" s="10">
        <v>10000.0</v>
      </c>
      <c r="J41" s="10">
        <f>10000+10000</f>
        <v>20000</v>
      </c>
      <c r="K41" s="10">
        <v>10000.0</v>
      </c>
      <c r="L41" s="13">
        <v>13000.0</v>
      </c>
      <c r="M41" s="10">
        <v>10000.0</v>
      </c>
      <c r="N41" s="4">
        <f t="shared" si="5"/>
        <v>127000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ht="15.75" customHeight="1">
      <c r="A42" s="20" t="s">
        <v>53</v>
      </c>
      <c r="B42" s="10">
        <v>30000.0</v>
      </c>
      <c r="C42" s="21"/>
      <c r="D42" s="21"/>
      <c r="E42" s="21"/>
      <c r="F42" s="21"/>
      <c r="G42" s="21"/>
      <c r="H42" s="10">
        <v>130000.0</v>
      </c>
      <c r="I42" s="10">
        <v>130000.0</v>
      </c>
      <c r="J42" s="10">
        <v>130000.0</v>
      </c>
      <c r="K42" s="10">
        <v>130000.0</v>
      </c>
      <c r="L42" s="10">
        <v>130000.0</v>
      </c>
      <c r="M42" s="10">
        <v>130000.0</v>
      </c>
      <c r="N42" s="4">
        <f t="shared" si="5"/>
        <v>810000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ht="15.75" customHeight="1">
      <c r="A43" s="20" t="s">
        <v>54</v>
      </c>
      <c r="B43" s="21"/>
      <c r="C43" s="21"/>
      <c r="D43" s="10">
        <v>45000.0</v>
      </c>
      <c r="E43" s="10">
        <v>45000.0</v>
      </c>
      <c r="F43" s="10">
        <v>45000.0</v>
      </c>
      <c r="G43" s="10">
        <v>45000.0</v>
      </c>
      <c r="H43" s="10">
        <v>45000.0</v>
      </c>
      <c r="I43" s="10">
        <v>45000.0</v>
      </c>
      <c r="J43" s="10">
        <v>45000.0</v>
      </c>
      <c r="K43" s="10">
        <f t="shared" ref="K43:M43" si="13">45000+70000</f>
        <v>115000</v>
      </c>
      <c r="L43" s="10">
        <f t="shared" si="13"/>
        <v>115000</v>
      </c>
      <c r="M43" s="10">
        <f t="shared" si="13"/>
        <v>115000</v>
      </c>
      <c r="N43" s="4">
        <f t="shared" si="5"/>
        <v>660000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ht="15.75" customHeight="1">
      <c r="A44" s="20" t="s">
        <v>55</v>
      </c>
      <c r="B44" s="21"/>
      <c r="C44" s="21"/>
      <c r="D44" s="10"/>
      <c r="E44" s="10"/>
      <c r="F44" s="10"/>
      <c r="G44" s="10"/>
      <c r="H44" s="10"/>
      <c r="I44" s="10"/>
      <c r="J44" s="10"/>
      <c r="K44" s="10"/>
      <c r="L44" s="10">
        <v>75000.0</v>
      </c>
      <c r="M44" s="10">
        <v>75000.0</v>
      </c>
      <c r="N44" s="4">
        <f t="shared" si="5"/>
        <v>150000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ht="15.75" customHeight="1">
      <c r="A45" s="1" t="s">
        <v>56</v>
      </c>
      <c r="B45" s="8">
        <f t="shared" ref="B45:M45" si="14">SUM(B46:B50)</f>
        <v>460000</v>
      </c>
      <c r="C45" s="8">
        <f t="shared" si="14"/>
        <v>355000</v>
      </c>
      <c r="D45" s="8">
        <f t="shared" si="14"/>
        <v>412000</v>
      </c>
      <c r="E45" s="8">
        <f t="shared" si="14"/>
        <v>314500</v>
      </c>
      <c r="F45" s="8">
        <f t="shared" si="14"/>
        <v>415000</v>
      </c>
      <c r="G45" s="8">
        <f t="shared" si="14"/>
        <v>255000</v>
      </c>
      <c r="H45" s="8">
        <f t="shared" si="14"/>
        <v>255000</v>
      </c>
      <c r="I45" s="8">
        <f t="shared" si="14"/>
        <v>315000</v>
      </c>
      <c r="J45" s="8">
        <f t="shared" si="14"/>
        <v>550000</v>
      </c>
      <c r="K45" s="8">
        <f t="shared" si="14"/>
        <v>32000</v>
      </c>
      <c r="L45" s="8">
        <f t="shared" si="14"/>
        <v>410000</v>
      </c>
      <c r="M45" s="8">
        <f t="shared" si="14"/>
        <v>279000</v>
      </c>
      <c r="N45" s="4">
        <f t="shared" si="5"/>
        <v>4052500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5.75" customHeight="1">
      <c r="A46" s="20" t="s">
        <v>57</v>
      </c>
      <c r="B46" s="10">
        <v>200000.0</v>
      </c>
      <c r="C46" s="10">
        <v>100000.0</v>
      </c>
      <c r="D46" s="10">
        <f>225000-35000-20000-16000-7000-10000-15000</f>
        <v>122000</v>
      </c>
      <c r="E46" s="10">
        <v>24500.0</v>
      </c>
      <c r="F46" s="10">
        <v>100000.0</v>
      </c>
      <c r="G46" s="21"/>
      <c r="H46" s="10"/>
      <c r="I46" s="10"/>
      <c r="J46" s="10"/>
      <c r="K46" s="21"/>
      <c r="L46" s="21"/>
      <c r="M46" s="21"/>
      <c r="N46" s="4">
        <f t="shared" si="5"/>
        <v>546500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ht="15.75" customHeight="1">
      <c r="A47" s="20" t="s">
        <v>58</v>
      </c>
      <c r="B47" s="10">
        <v>60000.0</v>
      </c>
      <c r="C47" s="10">
        <v>55000.0</v>
      </c>
      <c r="D47" s="10">
        <v>55000.0</v>
      </c>
      <c r="E47" s="10">
        <v>55000.0</v>
      </c>
      <c r="F47" s="10">
        <v>65000.0</v>
      </c>
      <c r="G47" s="10">
        <v>55000.0</v>
      </c>
      <c r="H47" s="10">
        <v>55000.0</v>
      </c>
      <c r="I47" s="10">
        <v>55000.0</v>
      </c>
      <c r="J47" s="21"/>
      <c r="K47" s="21"/>
      <c r="L47" s="21"/>
      <c r="M47" s="10">
        <f>20000+32000+12000+10000+35000+170000</f>
        <v>279000</v>
      </c>
      <c r="N47" s="4">
        <f t="shared" si="5"/>
        <v>734000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ht="15.75" customHeight="1">
      <c r="A48" s="20" t="s">
        <v>59</v>
      </c>
      <c r="B48" s="10">
        <v>100000.0</v>
      </c>
      <c r="C48" s="10">
        <v>100000.0</v>
      </c>
      <c r="D48" s="10">
        <v>135000.0</v>
      </c>
      <c r="E48" s="10">
        <v>135000.0</v>
      </c>
      <c r="F48" s="10">
        <v>150000.0</v>
      </c>
      <c r="G48" s="10">
        <v>100000.0</v>
      </c>
      <c r="H48" s="10">
        <v>100000.0</v>
      </c>
      <c r="I48" s="10">
        <v>100000.0</v>
      </c>
      <c r="J48" s="10">
        <f>100000</f>
        <v>100000</v>
      </c>
      <c r="K48" s="21"/>
      <c r="L48" s="21"/>
      <c r="M48" s="21"/>
      <c r="N48" s="4">
        <f t="shared" si="5"/>
        <v>1020000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ht="15.75" customHeight="1">
      <c r="A49" s="20" t="s">
        <v>60</v>
      </c>
      <c r="B49" s="10">
        <v>100000.0</v>
      </c>
      <c r="C49" s="10">
        <v>100000.0</v>
      </c>
      <c r="D49" s="10">
        <v>100000.0</v>
      </c>
      <c r="E49" s="10">
        <v>100000.0</v>
      </c>
      <c r="F49" s="10">
        <v>100000.0</v>
      </c>
      <c r="G49" s="10">
        <v>100000.0</v>
      </c>
      <c r="H49" s="10">
        <v>100000.0</v>
      </c>
      <c r="I49" s="10">
        <v>100000.0</v>
      </c>
      <c r="J49" s="10">
        <f>100000+70000</f>
        <v>170000</v>
      </c>
      <c r="K49" s="21"/>
      <c r="L49" s="10">
        <f>50000</f>
        <v>50000</v>
      </c>
      <c r="M49" s="21"/>
      <c r="N49" s="4">
        <f t="shared" si="5"/>
        <v>1020000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ht="15.75" customHeight="1">
      <c r="A50" s="20" t="s">
        <v>61</v>
      </c>
      <c r="B50" s="21"/>
      <c r="C50" s="21"/>
      <c r="D50" s="21"/>
      <c r="E50" s="21"/>
      <c r="F50" s="21"/>
      <c r="G50" s="21"/>
      <c r="H50" s="21"/>
      <c r="I50" s="10">
        <v>60000.0</v>
      </c>
      <c r="J50" s="10">
        <v>280000.0</v>
      </c>
      <c r="K50" s="10">
        <v>32000.0</v>
      </c>
      <c r="L50" s="13">
        <v>360000.0</v>
      </c>
      <c r="M50" s="21"/>
      <c r="N50" s="4">
        <f t="shared" si="5"/>
        <v>732000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ht="15.75" customHeight="1">
      <c r="A51" s="1" t="s">
        <v>62</v>
      </c>
      <c r="B51" s="4">
        <f t="shared" ref="B51:M51" si="15">SUM(B7+B32+B45)</f>
        <v>1964000</v>
      </c>
      <c r="C51" s="4">
        <f t="shared" si="15"/>
        <v>1744000</v>
      </c>
      <c r="D51" s="4">
        <f t="shared" si="15"/>
        <v>1962500</v>
      </c>
      <c r="E51" s="4">
        <f t="shared" si="15"/>
        <v>1990000</v>
      </c>
      <c r="F51" s="4">
        <f t="shared" si="15"/>
        <v>2309500</v>
      </c>
      <c r="G51" s="4">
        <f t="shared" si="15"/>
        <v>2110000</v>
      </c>
      <c r="H51" s="4">
        <f t="shared" si="15"/>
        <v>2150000</v>
      </c>
      <c r="I51" s="4">
        <f t="shared" si="15"/>
        <v>2419500</v>
      </c>
      <c r="J51" s="4">
        <f t="shared" si="15"/>
        <v>2268000</v>
      </c>
      <c r="K51" s="4">
        <f t="shared" si="15"/>
        <v>2100500</v>
      </c>
      <c r="L51" s="4">
        <f t="shared" si="15"/>
        <v>2282500</v>
      </c>
      <c r="M51" s="4">
        <f t="shared" si="15"/>
        <v>2029500</v>
      </c>
      <c r="N51" s="4">
        <f t="shared" si="5"/>
        <v>25330000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ht="15.75" customHeight="1">
      <c r="A52" s="22" t="s">
        <v>63</v>
      </c>
      <c r="B52" s="4">
        <f>B5-B51</f>
        <v>99000</v>
      </c>
      <c r="C52" s="4">
        <v>0.0</v>
      </c>
      <c r="D52" s="4">
        <f t="shared" ref="D52:M52" si="16">D5-D51</f>
        <v>84500</v>
      </c>
      <c r="E52" s="4">
        <f t="shared" si="16"/>
        <v>0</v>
      </c>
      <c r="F52" s="4">
        <f t="shared" si="16"/>
        <v>4500</v>
      </c>
      <c r="G52" s="4">
        <f t="shared" si="16"/>
        <v>0</v>
      </c>
      <c r="H52" s="4">
        <f t="shared" si="16"/>
        <v>0</v>
      </c>
      <c r="I52" s="4">
        <f t="shared" si="16"/>
        <v>10500</v>
      </c>
      <c r="J52" s="4">
        <f t="shared" si="16"/>
        <v>2000</v>
      </c>
      <c r="K52" s="4">
        <f t="shared" si="16"/>
        <v>-500</v>
      </c>
      <c r="L52" s="4">
        <f t="shared" si="16"/>
        <v>500</v>
      </c>
      <c r="M52" s="4">
        <f t="shared" si="16"/>
        <v>500</v>
      </c>
      <c r="N52" s="4">
        <f t="shared" si="5"/>
        <v>201000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ht="15.75" customHeight="1">
      <c r="A53" s="11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ht="15.75" customHeight="1">
      <c r="A55" s="22" t="s">
        <v>64</v>
      </c>
      <c r="B55" s="4">
        <f>B52</f>
        <v>99000</v>
      </c>
      <c r="C55" s="4">
        <f t="shared" ref="C55:D55" si="17">C52+B55</f>
        <v>99000</v>
      </c>
      <c r="D55" s="4">
        <f t="shared" si="17"/>
        <v>183500</v>
      </c>
      <c r="E55" s="4">
        <f>80000</f>
        <v>80000</v>
      </c>
      <c r="F55" s="4">
        <f>F46+E55-150000</f>
        <v>30000</v>
      </c>
      <c r="G55" s="4">
        <f t="shared" ref="G55:H55" si="18">G46+F55</f>
        <v>30000</v>
      </c>
      <c r="H55" s="4">
        <f t="shared" si="18"/>
        <v>30000</v>
      </c>
      <c r="I55" s="4" t="str">
        <f>I46</f>
        <v/>
      </c>
      <c r="J55" s="4">
        <f t="shared" ref="J55:M55" si="19">J46+I55</f>
        <v>0</v>
      </c>
      <c r="K55" s="4">
        <f t="shared" si="19"/>
        <v>0</v>
      </c>
      <c r="L55" s="4">
        <f t="shared" si="19"/>
        <v>0</v>
      </c>
      <c r="M55" s="4">
        <f t="shared" si="19"/>
        <v>0</v>
      </c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5"/>
      <c r="N210" s="25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5"/>
      <c r="N211" s="25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5"/>
      <c r="N212" s="25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5"/>
      <c r="N213" s="25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5"/>
      <c r="N214" s="25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5"/>
      <c r="N215" s="25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5"/>
      <c r="N216" s="25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5"/>
      <c r="N217" s="25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5"/>
      <c r="N218" s="25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5"/>
      <c r="N219" s="25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5"/>
      <c r="N220" s="25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5"/>
      <c r="N221" s="25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5"/>
      <c r="N222" s="25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5"/>
      <c r="N223" s="25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5"/>
      <c r="N224" s="25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5"/>
      <c r="N225" s="25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5"/>
      <c r="N226" s="25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5"/>
      <c r="N227" s="25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5"/>
      <c r="N228" s="25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5"/>
      <c r="N229" s="25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5"/>
      <c r="N230" s="25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5"/>
      <c r="N231" s="25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5"/>
      <c r="N232" s="25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5"/>
      <c r="N233" s="25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5"/>
      <c r="N234" s="25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5"/>
      <c r="N235" s="25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5"/>
      <c r="N236" s="25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5"/>
      <c r="N237" s="25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5"/>
      <c r="N238" s="25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5"/>
      <c r="N239" s="25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5"/>
      <c r="N240" s="25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5"/>
      <c r="N241" s="25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5"/>
      <c r="N242" s="25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5"/>
      <c r="N243" s="25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5"/>
      <c r="N244" s="25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5"/>
      <c r="N245" s="25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5"/>
      <c r="N246" s="25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5"/>
      <c r="N247" s="25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5"/>
      <c r="N248" s="25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5"/>
      <c r="N249" s="25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5"/>
      <c r="N250" s="25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5"/>
      <c r="N251" s="25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5"/>
      <c r="N252" s="25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5"/>
      <c r="N253" s="25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5"/>
      <c r="N254" s="25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5"/>
      <c r="N255" s="25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5"/>
      <c r="N256" s="25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5"/>
      <c r="N257" s="25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5"/>
      <c r="N258" s="25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5"/>
      <c r="N259" s="25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5"/>
      <c r="N260" s="25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5"/>
      <c r="N261" s="25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5"/>
      <c r="N262" s="25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5"/>
      <c r="N263" s="25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5"/>
      <c r="N264" s="25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5"/>
      <c r="N265" s="25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5"/>
      <c r="N266" s="25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5"/>
      <c r="N267" s="25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5"/>
      <c r="N268" s="25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5"/>
      <c r="N269" s="25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5"/>
      <c r="N270" s="25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5"/>
      <c r="N271" s="25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5"/>
      <c r="N272" s="25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5"/>
      <c r="N273" s="25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5"/>
      <c r="N274" s="25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5"/>
      <c r="N275" s="25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5"/>
      <c r="N276" s="25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5"/>
      <c r="N277" s="25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5"/>
      <c r="N278" s="25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5"/>
      <c r="N279" s="25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5"/>
      <c r="N280" s="25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5"/>
      <c r="N281" s="25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5"/>
      <c r="N282" s="25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5"/>
      <c r="N283" s="25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5"/>
      <c r="N284" s="25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5"/>
      <c r="N285" s="25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5"/>
      <c r="N286" s="25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5"/>
      <c r="N287" s="25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5"/>
      <c r="N288" s="25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5"/>
      <c r="N289" s="25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5"/>
      <c r="N290" s="25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5"/>
      <c r="N291" s="25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5"/>
      <c r="N292" s="25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5"/>
      <c r="N293" s="25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5"/>
      <c r="N294" s="25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5"/>
      <c r="N295" s="25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5"/>
      <c r="N296" s="25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5"/>
      <c r="N297" s="25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5"/>
      <c r="N298" s="25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5"/>
      <c r="N299" s="25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5"/>
      <c r="N300" s="25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5"/>
      <c r="N301" s="25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5"/>
      <c r="N302" s="25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5"/>
      <c r="N303" s="25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5"/>
      <c r="N304" s="25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5"/>
      <c r="N305" s="25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5"/>
      <c r="N306" s="25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5"/>
      <c r="N307" s="25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5"/>
      <c r="N308" s="25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5"/>
      <c r="N309" s="25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5"/>
      <c r="N310" s="25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5"/>
      <c r="N311" s="25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5"/>
      <c r="N312" s="25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5"/>
      <c r="N313" s="25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5"/>
      <c r="N314" s="25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5"/>
      <c r="N315" s="25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5"/>
      <c r="N316" s="25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5"/>
      <c r="N317" s="25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5"/>
      <c r="N318" s="25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5"/>
      <c r="N319" s="25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5"/>
      <c r="N320" s="25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5"/>
      <c r="N321" s="25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5"/>
      <c r="N322" s="25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5"/>
      <c r="N323" s="25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5"/>
      <c r="N324" s="25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5"/>
      <c r="N325" s="25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5"/>
      <c r="N326" s="25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5"/>
      <c r="N327" s="25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5"/>
      <c r="N328" s="25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5"/>
      <c r="N329" s="25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5"/>
      <c r="N330" s="25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5"/>
      <c r="N331" s="25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5"/>
      <c r="N332" s="25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5"/>
      <c r="N333" s="25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5"/>
      <c r="N334" s="25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5"/>
      <c r="N335" s="25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5"/>
      <c r="N336" s="25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5"/>
      <c r="N337" s="25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5"/>
      <c r="N338" s="25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5"/>
      <c r="N339" s="25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5"/>
      <c r="N340" s="25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5"/>
      <c r="N341" s="25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5"/>
      <c r="N342" s="25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5"/>
      <c r="N343" s="25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5"/>
      <c r="N344" s="25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5"/>
      <c r="N345" s="25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5"/>
      <c r="N346" s="25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5"/>
      <c r="N347" s="25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5"/>
      <c r="N348" s="25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5"/>
      <c r="N349" s="25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5"/>
      <c r="N350" s="25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5"/>
      <c r="N351" s="25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5"/>
      <c r="N352" s="25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5"/>
      <c r="N353" s="25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5"/>
      <c r="N354" s="25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5"/>
      <c r="N355" s="25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5"/>
      <c r="N356" s="25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5"/>
      <c r="N357" s="25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5"/>
      <c r="N358" s="25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5"/>
      <c r="N359" s="25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5"/>
      <c r="N360" s="25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5"/>
      <c r="N361" s="25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5"/>
      <c r="N362" s="25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5"/>
      <c r="N363" s="25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5"/>
      <c r="N364" s="25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5"/>
      <c r="N365" s="25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5"/>
      <c r="N366" s="25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5"/>
      <c r="N367" s="25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5"/>
      <c r="N368" s="25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5"/>
      <c r="N369" s="25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5"/>
      <c r="N370" s="25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5"/>
      <c r="N371" s="25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5"/>
      <c r="N372" s="25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5"/>
      <c r="N373" s="25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5"/>
      <c r="N374" s="25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5"/>
      <c r="N375" s="25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5"/>
      <c r="N376" s="25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5"/>
      <c r="N377" s="25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5"/>
      <c r="N378" s="25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5"/>
      <c r="N379" s="25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5"/>
      <c r="N380" s="25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5"/>
      <c r="N381" s="25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5"/>
      <c r="N382" s="25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5"/>
      <c r="N383" s="25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5"/>
      <c r="N384" s="25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5"/>
      <c r="N385" s="25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5"/>
      <c r="N386" s="25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5"/>
      <c r="N387" s="25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5"/>
      <c r="N388" s="25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5"/>
      <c r="N389" s="25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5"/>
      <c r="N390" s="25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5"/>
      <c r="N391" s="25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5"/>
      <c r="N392" s="25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5"/>
      <c r="N393" s="25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5"/>
      <c r="N394" s="25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5"/>
      <c r="N395" s="25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5"/>
      <c r="N396" s="25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5"/>
      <c r="N397" s="25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5"/>
      <c r="N398" s="25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5"/>
      <c r="N399" s="25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5"/>
      <c r="N400" s="25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5"/>
      <c r="N401" s="25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5"/>
      <c r="N402" s="25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5"/>
      <c r="N403" s="25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5"/>
      <c r="N404" s="25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5"/>
      <c r="N405" s="25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5"/>
      <c r="N406" s="25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5"/>
      <c r="N407" s="25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5"/>
      <c r="N408" s="25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5"/>
      <c r="N409" s="25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5"/>
      <c r="N410" s="25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5"/>
      <c r="N411" s="25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5"/>
      <c r="N412" s="25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5"/>
      <c r="N413" s="25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5"/>
      <c r="N414" s="25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5"/>
      <c r="N415" s="25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5"/>
      <c r="N416" s="25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5"/>
      <c r="N417" s="25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5"/>
      <c r="N418" s="25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5"/>
      <c r="N419" s="25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5"/>
      <c r="N420" s="25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5"/>
      <c r="N421" s="25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5"/>
      <c r="N422" s="25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5"/>
      <c r="N423" s="25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5"/>
      <c r="N424" s="25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5"/>
      <c r="N425" s="25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5"/>
      <c r="N426" s="25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5"/>
      <c r="N427" s="25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5"/>
      <c r="N428" s="25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5"/>
      <c r="N429" s="25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5"/>
      <c r="N430" s="25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5"/>
      <c r="N431" s="25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5"/>
      <c r="N432" s="25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5"/>
      <c r="N433" s="25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5"/>
      <c r="N434" s="25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5"/>
      <c r="N435" s="25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5"/>
      <c r="N436" s="25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5"/>
      <c r="N437" s="25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5"/>
      <c r="N438" s="25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5"/>
      <c r="N439" s="25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5"/>
      <c r="N440" s="25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5"/>
      <c r="N441" s="25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5"/>
      <c r="N442" s="25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5"/>
      <c r="N443" s="25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5"/>
      <c r="N444" s="25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5"/>
      <c r="N445" s="25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5"/>
      <c r="N446" s="25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5"/>
      <c r="N447" s="25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5"/>
      <c r="N448" s="25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5"/>
      <c r="N449" s="25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5"/>
      <c r="N450" s="25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5"/>
      <c r="N451" s="25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5"/>
      <c r="N452" s="25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5"/>
      <c r="N453" s="25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5"/>
      <c r="N454" s="25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5"/>
      <c r="N455" s="25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5"/>
      <c r="N456" s="25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5"/>
      <c r="N457" s="25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5"/>
      <c r="N458" s="25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5"/>
      <c r="N459" s="25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5"/>
      <c r="N460" s="25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5"/>
      <c r="N461" s="25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5"/>
      <c r="N462" s="25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5"/>
      <c r="N463" s="25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5"/>
      <c r="N464" s="25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5"/>
      <c r="N465" s="25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5"/>
      <c r="N466" s="25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5"/>
      <c r="N467" s="25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5"/>
      <c r="N468" s="25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5"/>
      <c r="N469" s="25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5"/>
      <c r="N470" s="25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5"/>
      <c r="N471" s="25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5"/>
      <c r="N472" s="25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5"/>
      <c r="N473" s="25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5"/>
      <c r="N474" s="25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5"/>
      <c r="N475" s="25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5"/>
      <c r="N476" s="25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5"/>
      <c r="N477" s="25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5"/>
      <c r="N478" s="25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5"/>
      <c r="N479" s="25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5"/>
      <c r="N480" s="25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5"/>
      <c r="N481" s="25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5"/>
      <c r="N482" s="25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5"/>
      <c r="N483" s="25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5"/>
      <c r="N484" s="25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5"/>
      <c r="N485" s="25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5"/>
      <c r="N486" s="25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5"/>
      <c r="N487" s="25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5"/>
      <c r="N488" s="25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5"/>
      <c r="N489" s="25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5"/>
      <c r="N490" s="25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5"/>
      <c r="N491" s="25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5"/>
      <c r="N492" s="25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5"/>
      <c r="N493" s="25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5"/>
      <c r="N494" s="25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5"/>
      <c r="N495" s="25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5"/>
      <c r="N496" s="25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5"/>
      <c r="N497" s="25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5"/>
      <c r="N498" s="25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5"/>
      <c r="N499" s="25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5"/>
      <c r="N500" s="25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5"/>
      <c r="N501" s="25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5"/>
      <c r="N502" s="25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5"/>
      <c r="N503" s="25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5"/>
      <c r="N504" s="25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5"/>
      <c r="N505" s="25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5"/>
      <c r="N506" s="25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5"/>
      <c r="N507" s="25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5"/>
      <c r="N508" s="25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5"/>
      <c r="N509" s="25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5"/>
      <c r="N510" s="25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5"/>
      <c r="N511" s="25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5"/>
      <c r="N512" s="25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5"/>
      <c r="N513" s="25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5"/>
      <c r="N514" s="25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5"/>
      <c r="N515" s="25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5"/>
      <c r="N516" s="25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5"/>
      <c r="N517" s="25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5"/>
      <c r="N518" s="25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5"/>
      <c r="N519" s="25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5"/>
      <c r="N520" s="25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5"/>
      <c r="N521" s="25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5"/>
      <c r="N522" s="25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5"/>
      <c r="N523" s="25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5"/>
      <c r="N524" s="25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5"/>
      <c r="N525" s="25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5"/>
      <c r="N526" s="25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5"/>
      <c r="N527" s="25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5"/>
      <c r="N528" s="25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5"/>
      <c r="N529" s="25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5"/>
      <c r="N530" s="25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5"/>
      <c r="N531" s="25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5"/>
      <c r="N532" s="25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5"/>
      <c r="N533" s="25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5"/>
      <c r="N534" s="25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5"/>
      <c r="N535" s="25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5"/>
      <c r="N536" s="25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5"/>
      <c r="N537" s="25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5"/>
      <c r="N538" s="25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5"/>
      <c r="N539" s="25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5"/>
      <c r="N540" s="25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5"/>
      <c r="N541" s="25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5"/>
      <c r="N542" s="25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5"/>
      <c r="N543" s="25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5"/>
      <c r="N544" s="25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5"/>
      <c r="N545" s="25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5"/>
      <c r="N546" s="25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5"/>
      <c r="N547" s="25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5"/>
      <c r="N548" s="25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5"/>
      <c r="N549" s="25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5"/>
      <c r="N550" s="25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5"/>
      <c r="N551" s="25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5"/>
      <c r="N552" s="25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5"/>
      <c r="N553" s="25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5"/>
      <c r="N554" s="25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5"/>
      <c r="N555" s="25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5"/>
      <c r="N556" s="25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5"/>
      <c r="N557" s="25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5"/>
      <c r="N558" s="25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5"/>
      <c r="N559" s="25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5"/>
      <c r="N560" s="25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5"/>
      <c r="N561" s="25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5"/>
      <c r="N562" s="25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5"/>
      <c r="N563" s="25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5"/>
      <c r="N564" s="25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5"/>
      <c r="N565" s="25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5"/>
      <c r="N566" s="25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5"/>
      <c r="N567" s="25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5"/>
      <c r="N568" s="25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5"/>
      <c r="N569" s="25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5"/>
      <c r="N570" s="25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5"/>
      <c r="N571" s="25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5"/>
      <c r="N572" s="25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5"/>
      <c r="N573" s="25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5"/>
      <c r="N574" s="25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5"/>
      <c r="N575" s="25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5"/>
      <c r="N576" s="25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5"/>
      <c r="N577" s="25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5"/>
      <c r="N578" s="25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5"/>
      <c r="N579" s="25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5"/>
      <c r="N580" s="25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5"/>
      <c r="N581" s="25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5"/>
      <c r="N582" s="25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5"/>
      <c r="N583" s="25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5"/>
      <c r="N584" s="25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5"/>
      <c r="N585" s="25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5"/>
      <c r="N586" s="25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5"/>
      <c r="N587" s="25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5"/>
      <c r="N588" s="25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5"/>
      <c r="N589" s="25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5"/>
      <c r="N590" s="25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5"/>
      <c r="N591" s="25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5"/>
      <c r="N592" s="25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5"/>
      <c r="N593" s="25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5"/>
      <c r="N594" s="25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5"/>
      <c r="N595" s="25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5"/>
      <c r="N596" s="25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5"/>
      <c r="N597" s="25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5"/>
      <c r="N598" s="25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5"/>
      <c r="N599" s="25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5"/>
      <c r="N600" s="25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5"/>
      <c r="N601" s="25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5"/>
      <c r="N602" s="25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5"/>
      <c r="N603" s="25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5"/>
      <c r="N604" s="25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5"/>
      <c r="N605" s="25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5"/>
      <c r="N606" s="25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5"/>
      <c r="N607" s="25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5"/>
      <c r="N608" s="25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5"/>
      <c r="N609" s="25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5"/>
      <c r="N610" s="25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5"/>
      <c r="N611" s="25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5"/>
      <c r="N612" s="25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5"/>
      <c r="N613" s="25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5"/>
      <c r="N614" s="25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5"/>
      <c r="N615" s="25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5"/>
      <c r="N616" s="25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5"/>
      <c r="N617" s="25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5"/>
      <c r="N618" s="25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5"/>
      <c r="N619" s="25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5"/>
      <c r="N620" s="25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5"/>
      <c r="N621" s="25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5"/>
      <c r="N622" s="25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5"/>
      <c r="N623" s="25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5"/>
      <c r="N624" s="25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5"/>
      <c r="N625" s="25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5"/>
      <c r="N626" s="25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5"/>
      <c r="N627" s="25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5"/>
      <c r="N628" s="25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5"/>
      <c r="N629" s="25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5"/>
      <c r="N630" s="25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5"/>
      <c r="N631" s="25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5"/>
      <c r="N632" s="25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5"/>
      <c r="N633" s="25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5"/>
      <c r="N634" s="25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5"/>
      <c r="N635" s="25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5"/>
      <c r="N636" s="25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5"/>
      <c r="N637" s="25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5"/>
      <c r="N638" s="25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5"/>
      <c r="N639" s="25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5"/>
      <c r="N640" s="25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5"/>
      <c r="N641" s="25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5"/>
      <c r="N642" s="25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5"/>
      <c r="N643" s="25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5"/>
      <c r="N644" s="25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5"/>
      <c r="N645" s="25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5"/>
      <c r="N646" s="25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5"/>
      <c r="N647" s="25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5"/>
      <c r="N648" s="25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5"/>
      <c r="N649" s="25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5"/>
      <c r="N650" s="25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5"/>
      <c r="N651" s="25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5"/>
      <c r="N652" s="25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5"/>
      <c r="N653" s="25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5"/>
      <c r="N654" s="25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5"/>
      <c r="N655" s="25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5"/>
      <c r="N656" s="25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5"/>
      <c r="N657" s="25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5"/>
      <c r="N658" s="25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5"/>
      <c r="N659" s="25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5"/>
      <c r="N660" s="25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5"/>
      <c r="N661" s="25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5"/>
      <c r="N662" s="25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5"/>
      <c r="N663" s="25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5"/>
      <c r="N664" s="25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5"/>
      <c r="N665" s="25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5"/>
      <c r="N666" s="25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5"/>
      <c r="N667" s="25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5"/>
      <c r="N668" s="25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5"/>
      <c r="N669" s="25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5"/>
      <c r="N670" s="25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5"/>
      <c r="N671" s="25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5"/>
      <c r="N672" s="25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5"/>
      <c r="N673" s="25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5"/>
      <c r="N674" s="25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5"/>
      <c r="N675" s="25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5"/>
      <c r="N676" s="25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5"/>
      <c r="N677" s="25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5"/>
      <c r="N678" s="25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5"/>
      <c r="N679" s="25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5"/>
      <c r="N680" s="25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5"/>
      <c r="N681" s="25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5"/>
      <c r="N682" s="25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5"/>
      <c r="N683" s="25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5"/>
      <c r="N684" s="25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5"/>
      <c r="N685" s="25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5"/>
      <c r="N686" s="25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5"/>
      <c r="N687" s="25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5"/>
      <c r="N688" s="25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5"/>
      <c r="N689" s="25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5"/>
      <c r="N690" s="25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5"/>
      <c r="N691" s="25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5"/>
      <c r="N692" s="25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5"/>
      <c r="N693" s="25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5"/>
      <c r="N694" s="25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5"/>
      <c r="N695" s="25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5"/>
      <c r="N696" s="25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5"/>
      <c r="N697" s="25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5"/>
      <c r="N698" s="25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5"/>
      <c r="N699" s="25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5"/>
      <c r="N700" s="25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5"/>
      <c r="N701" s="25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5"/>
      <c r="N702" s="25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5"/>
      <c r="N703" s="25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5"/>
      <c r="N704" s="25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5"/>
      <c r="N705" s="25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5"/>
      <c r="N706" s="25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5"/>
      <c r="N707" s="25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5"/>
      <c r="N708" s="25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5"/>
      <c r="N709" s="25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5"/>
      <c r="N710" s="25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5"/>
      <c r="N711" s="25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5"/>
      <c r="N712" s="25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5"/>
      <c r="N713" s="25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5"/>
      <c r="N714" s="25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5"/>
      <c r="N715" s="25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5"/>
      <c r="N716" s="25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5"/>
      <c r="N717" s="25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5"/>
      <c r="N718" s="25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5"/>
      <c r="N719" s="25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5"/>
      <c r="N720" s="25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5"/>
      <c r="N721" s="25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5"/>
      <c r="N722" s="25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5"/>
      <c r="N723" s="25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5"/>
      <c r="N724" s="25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5"/>
      <c r="N725" s="25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5"/>
      <c r="N726" s="25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5"/>
      <c r="N727" s="25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5"/>
      <c r="N728" s="25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5"/>
      <c r="N729" s="25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5"/>
      <c r="N730" s="25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5"/>
      <c r="N731" s="25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5"/>
      <c r="N732" s="25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5"/>
      <c r="N733" s="25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5"/>
      <c r="N734" s="25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5"/>
      <c r="N735" s="25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5"/>
      <c r="N736" s="25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5"/>
      <c r="N737" s="25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5"/>
      <c r="N738" s="25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5"/>
      <c r="N739" s="25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5"/>
      <c r="N740" s="25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5"/>
      <c r="N741" s="25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5"/>
      <c r="N742" s="25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5"/>
      <c r="N743" s="25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5"/>
      <c r="N744" s="25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5"/>
      <c r="N745" s="25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5"/>
      <c r="N746" s="25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5"/>
      <c r="N747" s="25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5"/>
      <c r="N748" s="25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5"/>
      <c r="N749" s="25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5"/>
      <c r="N750" s="25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5"/>
      <c r="N751" s="25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5"/>
      <c r="N752" s="25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5"/>
      <c r="N753" s="25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5"/>
      <c r="N754" s="25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5"/>
      <c r="N755" s="25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5"/>
      <c r="N756" s="25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5"/>
      <c r="N757" s="25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5"/>
      <c r="N758" s="25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5"/>
      <c r="N759" s="25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5"/>
      <c r="N760" s="25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5"/>
      <c r="N761" s="25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5"/>
      <c r="N762" s="25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5"/>
      <c r="N763" s="25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5"/>
      <c r="N764" s="25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5"/>
      <c r="N765" s="25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5"/>
      <c r="N766" s="25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5"/>
      <c r="N767" s="25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5"/>
      <c r="N768" s="25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5"/>
      <c r="N769" s="25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5"/>
      <c r="N770" s="25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5"/>
      <c r="N771" s="25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5"/>
      <c r="N772" s="25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5"/>
      <c r="N773" s="25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5"/>
      <c r="N774" s="25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5"/>
      <c r="N775" s="25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5"/>
      <c r="N776" s="25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5"/>
      <c r="N777" s="25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5"/>
      <c r="N778" s="25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5"/>
      <c r="N779" s="25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5"/>
      <c r="N780" s="25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5"/>
      <c r="N781" s="25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5"/>
      <c r="N782" s="25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5"/>
      <c r="N783" s="25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5"/>
      <c r="N784" s="25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5"/>
      <c r="N785" s="25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5"/>
      <c r="N786" s="25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5"/>
      <c r="N787" s="25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5"/>
      <c r="N788" s="25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5"/>
      <c r="N789" s="25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5"/>
      <c r="N790" s="25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5"/>
      <c r="N791" s="25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5"/>
      <c r="N792" s="25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5"/>
      <c r="N793" s="25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5"/>
      <c r="N794" s="25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5"/>
      <c r="N795" s="25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5"/>
      <c r="N796" s="25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5"/>
      <c r="N797" s="25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5"/>
      <c r="N798" s="25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5"/>
      <c r="N799" s="25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5"/>
      <c r="N800" s="25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5"/>
      <c r="N801" s="25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5"/>
      <c r="N802" s="25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5"/>
      <c r="N803" s="25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5"/>
      <c r="N804" s="25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5"/>
      <c r="N805" s="25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5"/>
      <c r="N806" s="25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5"/>
      <c r="N807" s="25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5"/>
      <c r="N808" s="25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5"/>
      <c r="N809" s="25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5"/>
      <c r="N810" s="25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5"/>
      <c r="N811" s="25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5"/>
      <c r="N812" s="25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5"/>
      <c r="N813" s="25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5"/>
      <c r="N814" s="25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5"/>
      <c r="N815" s="25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5"/>
      <c r="N816" s="25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5"/>
      <c r="N817" s="25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5"/>
      <c r="N818" s="25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5"/>
      <c r="N819" s="25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5"/>
      <c r="N820" s="25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5"/>
      <c r="N821" s="25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5"/>
      <c r="N822" s="25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5"/>
      <c r="N823" s="25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5"/>
      <c r="N824" s="25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5"/>
      <c r="N825" s="25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5"/>
      <c r="N826" s="25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5"/>
      <c r="N827" s="25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5"/>
      <c r="N828" s="25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5"/>
      <c r="N829" s="25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5"/>
      <c r="N830" s="25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5"/>
      <c r="N831" s="25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5"/>
      <c r="N832" s="25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5"/>
      <c r="N833" s="25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5"/>
      <c r="N834" s="25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5"/>
      <c r="N835" s="25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5"/>
      <c r="N836" s="25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5"/>
      <c r="N837" s="25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5"/>
      <c r="N838" s="25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5"/>
      <c r="N839" s="25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5"/>
      <c r="N840" s="25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5"/>
      <c r="N841" s="25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5"/>
      <c r="N842" s="25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5"/>
      <c r="N843" s="25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5"/>
      <c r="N844" s="25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5"/>
      <c r="N845" s="25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5"/>
      <c r="N846" s="25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5"/>
      <c r="N847" s="25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5"/>
      <c r="N848" s="25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5"/>
      <c r="N849" s="25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5"/>
      <c r="N850" s="25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5"/>
      <c r="N851" s="25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5"/>
      <c r="N852" s="25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5"/>
      <c r="N853" s="25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5"/>
      <c r="N854" s="25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5"/>
      <c r="N855" s="25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5"/>
      <c r="N856" s="25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5"/>
      <c r="N857" s="25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5"/>
      <c r="N858" s="25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5"/>
      <c r="N859" s="25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5"/>
      <c r="N860" s="25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5"/>
      <c r="N861" s="25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5"/>
      <c r="N862" s="25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5"/>
      <c r="N863" s="25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5"/>
      <c r="N864" s="25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5"/>
      <c r="N865" s="25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5"/>
      <c r="N866" s="25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5"/>
      <c r="N867" s="25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5"/>
      <c r="N868" s="25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5"/>
      <c r="N869" s="25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5"/>
      <c r="N870" s="25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5"/>
      <c r="N871" s="25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5"/>
      <c r="N872" s="25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5"/>
      <c r="N873" s="25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5"/>
      <c r="N874" s="25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5"/>
      <c r="N875" s="25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5"/>
      <c r="N876" s="25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5"/>
      <c r="N877" s="25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5"/>
      <c r="N878" s="25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5"/>
      <c r="N879" s="25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5"/>
      <c r="N880" s="25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5"/>
      <c r="N881" s="25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5"/>
      <c r="N882" s="25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5"/>
      <c r="N883" s="25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5"/>
      <c r="N884" s="25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5"/>
      <c r="N885" s="25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5"/>
      <c r="N886" s="25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5"/>
      <c r="N887" s="25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5"/>
      <c r="N888" s="25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5"/>
      <c r="N889" s="25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5"/>
      <c r="N890" s="25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5"/>
      <c r="N891" s="25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5"/>
      <c r="N892" s="25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5"/>
      <c r="N893" s="25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5"/>
      <c r="N894" s="25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5"/>
      <c r="N895" s="25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5"/>
      <c r="N896" s="25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5"/>
      <c r="N897" s="25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5"/>
      <c r="N898" s="25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5"/>
      <c r="N899" s="25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5"/>
      <c r="N900" s="25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5"/>
      <c r="N901" s="25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5"/>
      <c r="N902" s="25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5"/>
      <c r="N903" s="25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5"/>
      <c r="N904" s="25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5"/>
      <c r="N905" s="25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5"/>
      <c r="N906" s="25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5"/>
      <c r="N907" s="25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5"/>
      <c r="N908" s="25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5"/>
      <c r="N909" s="25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5"/>
      <c r="N910" s="25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5"/>
      <c r="N911" s="25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5"/>
      <c r="N912" s="25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5"/>
      <c r="N913" s="25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5"/>
      <c r="N914" s="25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5"/>
      <c r="N915" s="25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5"/>
      <c r="N916" s="25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5"/>
      <c r="N917" s="25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5"/>
      <c r="N918" s="25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5"/>
      <c r="N919" s="25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5"/>
      <c r="N920" s="25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5"/>
      <c r="N921" s="25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5"/>
      <c r="N922" s="25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5"/>
      <c r="N923" s="25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5"/>
      <c r="N924" s="25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5"/>
      <c r="N925" s="25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5"/>
      <c r="N926" s="25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5"/>
      <c r="N927" s="25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5"/>
      <c r="N928" s="25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5"/>
      <c r="N929" s="25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5"/>
      <c r="N930" s="25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5"/>
      <c r="N931" s="25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5"/>
      <c r="N932" s="25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5"/>
      <c r="N933" s="25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5"/>
      <c r="N934" s="25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5"/>
      <c r="N935" s="25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5"/>
      <c r="N936" s="25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5"/>
      <c r="N937" s="25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5"/>
      <c r="N938" s="25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5"/>
      <c r="N939" s="25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5"/>
      <c r="N940" s="25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5"/>
      <c r="N941" s="25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5"/>
      <c r="N942" s="25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5"/>
      <c r="N943" s="25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5"/>
      <c r="N944" s="25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5"/>
      <c r="N945" s="25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5"/>
      <c r="N946" s="25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5"/>
      <c r="N947" s="25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5"/>
      <c r="N948" s="25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5"/>
      <c r="N949" s="25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5"/>
      <c r="N950" s="25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5"/>
      <c r="N951" s="25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5"/>
      <c r="N952" s="25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5"/>
      <c r="N953" s="25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5"/>
      <c r="N954" s="25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5"/>
      <c r="N955" s="25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5"/>
      <c r="N956" s="25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5"/>
      <c r="N957" s="25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5"/>
      <c r="N958" s="25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5"/>
      <c r="N959" s="25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5"/>
      <c r="N960" s="25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5"/>
      <c r="N961" s="25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5"/>
      <c r="N962" s="25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5"/>
      <c r="N963" s="25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5"/>
      <c r="N964" s="25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5"/>
      <c r="N965" s="25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5"/>
      <c r="N966" s="25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5"/>
      <c r="N967" s="25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5"/>
      <c r="N968" s="25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5"/>
      <c r="N969" s="25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5"/>
      <c r="N970" s="25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5"/>
      <c r="N971" s="25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5"/>
      <c r="N972" s="25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5"/>
      <c r="N973" s="25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5"/>
      <c r="N974" s="25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5"/>
      <c r="N975" s="25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5"/>
      <c r="N976" s="25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5"/>
      <c r="N977" s="25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5"/>
      <c r="N978" s="25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5"/>
      <c r="N979" s="25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5"/>
      <c r="N980" s="25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5"/>
      <c r="N981" s="25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5"/>
      <c r="N982" s="25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5"/>
      <c r="N983" s="25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5"/>
      <c r="N984" s="25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5"/>
      <c r="N985" s="25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5"/>
      <c r="N986" s="25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5"/>
      <c r="N987" s="25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5"/>
      <c r="N988" s="25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5"/>
      <c r="N989" s="25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5"/>
      <c r="N990" s="25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5"/>
      <c r="N991" s="25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5"/>
      <c r="N992" s="25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5"/>
      <c r="N993" s="25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5"/>
      <c r="N994" s="25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5"/>
      <c r="N995" s="25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5"/>
      <c r="N996" s="25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5"/>
      <c r="N997" s="25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5"/>
      <c r="N998" s="25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5"/>
      <c r="N999" s="25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5"/>
      <c r="N1000" s="25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</sheetData>
  <autoFilter ref="$A$1:$N$52"/>
  <printOptions/>
  <pageMargins bottom="0.75" footer="0.0" header="0.0" left="0.7000000000000001" right="0.7000000000000001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29"/>
    <col customWidth="1" hidden="1" min="2" max="4" width="10.57"/>
    <col customWidth="1" hidden="1" min="5" max="7" width="12.29"/>
    <col customWidth="1" min="8" max="9" width="12.29"/>
    <col customWidth="1" min="10" max="10" width="15.43"/>
    <col customWidth="1" min="11" max="11" width="12.57"/>
    <col customWidth="1" min="12" max="12" width="15.14"/>
    <col customWidth="1" min="13" max="13" width="14.86"/>
    <col customWidth="1" min="14" max="14" width="19.71"/>
    <col customWidth="1" min="15" max="15" width="4.14"/>
    <col customWidth="1" min="16" max="34" width="1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1" t="s">
        <v>14</v>
      </c>
      <c r="B2" s="4">
        <f>1400000</f>
        <v>1400000</v>
      </c>
      <c r="C2" s="4">
        <f t="shared" ref="C2:M2" si="1">1500000</f>
        <v>1500000</v>
      </c>
      <c r="D2" s="4">
        <f t="shared" si="1"/>
        <v>1500000</v>
      </c>
      <c r="E2" s="4">
        <f t="shared" si="1"/>
        <v>1500000</v>
      </c>
      <c r="F2" s="4">
        <f t="shared" si="1"/>
        <v>1500000</v>
      </c>
      <c r="G2" s="4">
        <f t="shared" si="1"/>
        <v>1500000</v>
      </c>
      <c r="H2" s="4">
        <f t="shared" si="1"/>
        <v>1500000</v>
      </c>
      <c r="I2" s="4">
        <f t="shared" si="1"/>
        <v>1500000</v>
      </c>
      <c r="J2" s="4">
        <f t="shared" si="1"/>
        <v>1500000</v>
      </c>
      <c r="K2" s="4">
        <f t="shared" si="1"/>
        <v>1500000</v>
      </c>
      <c r="L2" s="4">
        <f t="shared" si="1"/>
        <v>1500000</v>
      </c>
      <c r="M2" s="4">
        <f t="shared" si="1"/>
        <v>1500000</v>
      </c>
      <c r="N2" s="4">
        <f t="shared" ref="N2:N6" si="2">SUM(B2:M2)</f>
        <v>17900000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1" t="s">
        <v>15</v>
      </c>
      <c r="B3" s="5">
        <v>600000.0</v>
      </c>
      <c r="C3" s="5">
        <v>500000.0</v>
      </c>
      <c r="D3" s="5">
        <v>400000.0</v>
      </c>
      <c r="E3" s="5">
        <v>400000.0</v>
      </c>
      <c r="F3" s="5">
        <v>400000.0</v>
      </c>
      <c r="G3" s="5">
        <v>700000.0</v>
      </c>
      <c r="H3" s="5"/>
      <c r="I3" s="5"/>
      <c r="J3" s="5"/>
      <c r="K3" s="5"/>
      <c r="L3" s="5"/>
      <c r="M3" s="5"/>
      <c r="N3" s="4">
        <f t="shared" si="2"/>
        <v>3000000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1" t="s">
        <v>16</v>
      </c>
      <c r="B4" s="4"/>
      <c r="C4" s="5">
        <v>70000.0</v>
      </c>
      <c r="D4" s="5">
        <v>100000.0</v>
      </c>
      <c r="E4" s="5"/>
      <c r="F4" s="4"/>
      <c r="G4" s="4"/>
      <c r="H4" s="4"/>
      <c r="I4" s="4"/>
      <c r="J4" s="4"/>
      <c r="K4" s="4"/>
      <c r="L4" s="4"/>
      <c r="M4" s="4"/>
      <c r="N4" s="4">
        <f t="shared" si="2"/>
        <v>170000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1" t="s">
        <v>17</v>
      </c>
      <c r="B5" s="4">
        <f t="shared" ref="B5:M5" si="3">SUM(B2:B4)</f>
        <v>2000000</v>
      </c>
      <c r="C5" s="4">
        <f t="shared" si="3"/>
        <v>2070000</v>
      </c>
      <c r="D5" s="4">
        <f t="shared" si="3"/>
        <v>2000000</v>
      </c>
      <c r="E5" s="4">
        <f t="shared" si="3"/>
        <v>1900000</v>
      </c>
      <c r="F5" s="4">
        <f t="shared" si="3"/>
        <v>1900000</v>
      </c>
      <c r="G5" s="4">
        <f t="shared" si="3"/>
        <v>2200000</v>
      </c>
      <c r="H5" s="4">
        <f t="shared" si="3"/>
        <v>1500000</v>
      </c>
      <c r="I5" s="4">
        <f t="shared" si="3"/>
        <v>1500000</v>
      </c>
      <c r="J5" s="4">
        <f t="shared" si="3"/>
        <v>1500000</v>
      </c>
      <c r="K5" s="4">
        <f t="shared" si="3"/>
        <v>1500000</v>
      </c>
      <c r="L5" s="4">
        <f t="shared" si="3"/>
        <v>1500000</v>
      </c>
      <c r="M5" s="4">
        <f t="shared" si="3"/>
        <v>1500000</v>
      </c>
      <c r="N5" s="4">
        <f t="shared" si="2"/>
        <v>21070000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4">
        <f t="shared" si="2"/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1" t="s">
        <v>18</v>
      </c>
      <c r="B7" s="8">
        <f t="shared" ref="B7:N7" si="4">SUM(B8:B26)</f>
        <v>1107000</v>
      </c>
      <c r="C7" s="8">
        <f t="shared" si="4"/>
        <v>1191200</v>
      </c>
      <c r="D7" s="8">
        <f t="shared" si="4"/>
        <v>733000</v>
      </c>
      <c r="E7" s="8">
        <f t="shared" si="4"/>
        <v>648000</v>
      </c>
      <c r="F7" s="8">
        <f t="shared" si="4"/>
        <v>656000</v>
      </c>
      <c r="G7" s="8">
        <f t="shared" si="4"/>
        <v>535000</v>
      </c>
      <c r="H7" s="8">
        <f t="shared" si="4"/>
        <v>821000</v>
      </c>
      <c r="I7" s="8">
        <f t="shared" si="4"/>
        <v>821000</v>
      </c>
      <c r="J7" s="8">
        <f t="shared" si="4"/>
        <v>821000</v>
      </c>
      <c r="K7" s="8">
        <f t="shared" si="4"/>
        <v>821000</v>
      </c>
      <c r="L7" s="8">
        <f t="shared" si="4"/>
        <v>821000</v>
      </c>
      <c r="M7" s="8">
        <f t="shared" si="4"/>
        <v>821000</v>
      </c>
      <c r="N7" s="8">
        <f t="shared" si="4"/>
        <v>9796200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9" t="s">
        <v>19</v>
      </c>
      <c r="B8" s="10">
        <v>400000.0</v>
      </c>
      <c r="C8" s="10">
        <v>400000.0</v>
      </c>
      <c r="D8" s="10">
        <v>400000.0</v>
      </c>
      <c r="E8" s="10">
        <v>400000.0</v>
      </c>
      <c r="F8" s="10">
        <v>400000.0</v>
      </c>
      <c r="G8" s="10">
        <v>400000.0</v>
      </c>
      <c r="H8" s="14">
        <v>400000.0</v>
      </c>
      <c r="I8" s="14">
        <v>400000.0</v>
      </c>
      <c r="J8" s="14">
        <v>400000.0</v>
      </c>
      <c r="K8" s="14">
        <v>400000.0</v>
      </c>
      <c r="L8" s="14">
        <v>400000.0</v>
      </c>
      <c r="M8" s="14">
        <v>400000.0</v>
      </c>
      <c r="N8" s="4">
        <f t="shared" ref="N8:N36" si="5">SUM(B8:M8)</f>
        <v>4800000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>
      <c r="A9" s="12" t="s">
        <v>20</v>
      </c>
      <c r="B9" s="13">
        <v>90000.0</v>
      </c>
      <c r="C9" s="13">
        <v>95000.0</v>
      </c>
      <c r="D9" s="13">
        <v>90000.0</v>
      </c>
      <c r="E9" s="13">
        <v>135000.0</v>
      </c>
      <c r="F9" s="13">
        <v>135000.0</v>
      </c>
      <c r="G9" s="13">
        <v>135000.0</v>
      </c>
      <c r="H9" s="26">
        <v>95000.0</v>
      </c>
      <c r="I9" s="26">
        <v>95000.0</v>
      </c>
      <c r="J9" s="26">
        <v>95000.0</v>
      </c>
      <c r="K9" s="26">
        <v>95000.0</v>
      </c>
      <c r="L9" s="26">
        <v>95000.0</v>
      </c>
      <c r="M9" s="26">
        <v>95000.0</v>
      </c>
      <c r="N9" s="4">
        <f t="shared" si="5"/>
        <v>1250000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>
      <c r="A10" s="12" t="s">
        <v>21</v>
      </c>
      <c r="B10" s="13">
        <v>10000.0</v>
      </c>
      <c r="C10" s="13">
        <v>12000.0</v>
      </c>
      <c r="D10" s="13">
        <v>20000.0</v>
      </c>
      <c r="E10" s="13">
        <v>10000.0</v>
      </c>
      <c r="F10" s="13">
        <v>15000.0</v>
      </c>
      <c r="G10" s="26"/>
      <c r="H10" s="26">
        <v>10000.0</v>
      </c>
      <c r="I10" s="26">
        <v>10000.0</v>
      </c>
      <c r="J10" s="26">
        <v>10000.0</v>
      </c>
      <c r="K10" s="26">
        <v>10000.0</v>
      </c>
      <c r="L10" s="26">
        <v>10000.0</v>
      </c>
      <c r="M10" s="26">
        <v>10000.0</v>
      </c>
      <c r="N10" s="4">
        <f t="shared" si="5"/>
        <v>127000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>
      <c r="A11" s="12" t="s">
        <v>22</v>
      </c>
      <c r="B11" s="13">
        <v>10000.0</v>
      </c>
      <c r="C11" s="13">
        <v>17000.0</v>
      </c>
      <c r="D11" s="13">
        <v>20000.0</v>
      </c>
      <c r="E11" s="13">
        <v>17000.0</v>
      </c>
      <c r="F11" s="13">
        <v>10000.0</v>
      </c>
      <c r="G11" s="26"/>
      <c r="H11" s="26">
        <v>10000.0</v>
      </c>
      <c r="I11" s="26">
        <v>10000.0</v>
      </c>
      <c r="J11" s="26">
        <v>10000.0</v>
      </c>
      <c r="K11" s="26">
        <v>10000.0</v>
      </c>
      <c r="L11" s="26">
        <v>10000.0</v>
      </c>
      <c r="M11" s="26">
        <v>10000.0</v>
      </c>
      <c r="N11" s="4">
        <f t="shared" si="5"/>
        <v>134000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>
      <c r="A12" s="12" t="s">
        <v>23</v>
      </c>
      <c r="B12" s="13">
        <v>10000.0</v>
      </c>
      <c r="C12" s="26"/>
      <c r="D12" s="13">
        <v>10000.0</v>
      </c>
      <c r="E12" s="13">
        <v>10000.0</v>
      </c>
      <c r="F12" s="13">
        <v>15000.0</v>
      </c>
      <c r="G12" s="26"/>
      <c r="H12" s="26">
        <v>10000.0</v>
      </c>
      <c r="I12" s="26">
        <v>10000.0</v>
      </c>
      <c r="J12" s="26">
        <v>10000.0</v>
      </c>
      <c r="K12" s="26">
        <v>10000.0</v>
      </c>
      <c r="L12" s="26">
        <v>10000.0</v>
      </c>
      <c r="M12" s="26">
        <v>10000.0</v>
      </c>
      <c r="N12" s="4">
        <f t="shared" si="5"/>
        <v>105000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>
      <c r="A13" s="12" t="s">
        <v>24</v>
      </c>
      <c r="B13" s="10">
        <f t="shared" ref="B13:C13" si="6">20000+20000</f>
        <v>40000</v>
      </c>
      <c r="C13" s="10">
        <f t="shared" si="6"/>
        <v>40000</v>
      </c>
      <c r="D13" s="10"/>
      <c r="E13" s="10">
        <v>20000.0</v>
      </c>
      <c r="F13" s="13">
        <v>15000.0</v>
      </c>
      <c r="G13" s="14"/>
      <c r="H13" s="14">
        <v>20000.0</v>
      </c>
      <c r="I13" s="14">
        <v>20000.0</v>
      </c>
      <c r="J13" s="14">
        <v>20000.0</v>
      </c>
      <c r="K13" s="14">
        <v>20000.0</v>
      </c>
      <c r="L13" s="14">
        <v>20000.0</v>
      </c>
      <c r="M13" s="14">
        <v>20000.0</v>
      </c>
      <c r="N13" s="4">
        <f t="shared" si="5"/>
        <v>235000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>
      <c r="A14" s="12" t="s">
        <v>25</v>
      </c>
      <c r="B14" s="10">
        <v>26000.0</v>
      </c>
      <c r="C14" s="10">
        <v>26000.0</v>
      </c>
      <c r="D14" s="10">
        <v>26000.0</v>
      </c>
      <c r="E14" s="10">
        <v>26000.0</v>
      </c>
      <c r="F14" s="10">
        <v>26000.0</v>
      </c>
      <c r="G14" s="14"/>
      <c r="H14" s="14">
        <v>26000.0</v>
      </c>
      <c r="I14" s="14">
        <v>26000.0</v>
      </c>
      <c r="J14" s="14">
        <v>26000.0</v>
      </c>
      <c r="K14" s="14">
        <v>26000.0</v>
      </c>
      <c r="L14" s="14">
        <v>26000.0</v>
      </c>
      <c r="M14" s="14">
        <v>26000.0</v>
      </c>
      <c r="N14" s="4">
        <f t="shared" si="5"/>
        <v>286000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>
      <c r="A15" s="12" t="s">
        <v>26</v>
      </c>
      <c r="B15" s="10">
        <f>160000+15000</f>
        <v>175000</v>
      </c>
      <c r="C15" s="13">
        <f>30000+5000</f>
        <v>35000</v>
      </c>
      <c r="D15" s="13">
        <v>120000.0</v>
      </c>
      <c r="E15" s="10"/>
      <c r="F15" s="14"/>
      <c r="G15" s="14"/>
      <c r="H15" s="14">
        <f t="shared" ref="H15:M15" si="7">150000</f>
        <v>150000</v>
      </c>
      <c r="I15" s="14">
        <f t="shared" si="7"/>
        <v>150000</v>
      </c>
      <c r="J15" s="14">
        <f t="shared" si="7"/>
        <v>150000</v>
      </c>
      <c r="K15" s="14">
        <f t="shared" si="7"/>
        <v>150000</v>
      </c>
      <c r="L15" s="14">
        <f t="shared" si="7"/>
        <v>150000</v>
      </c>
      <c r="M15" s="14">
        <f t="shared" si="7"/>
        <v>150000</v>
      </c>
      <c r="N15" s="4">
        <f t="shared" si="5"/>
        <v>1230000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>
      <c r="A16" s="12" t="s">
        <v>27</v>
      </c>
      <c r="B16" s="13">
        <f>30000+20000</f>
        <v>50000</v>
      </c>
      <c r="C16" s="13">
        <f>+10000+33000</f>
        <v>43000</v>
      </c>
      <c r="D16" s="26"/>
      <c r="E16" s="26"/>
      <c r="F16" s="26"/>
      <c r="G16" s="26"/>
      <c r="H16" s="26">
        <v>30000.0</v>
      </c>
      <c r="I16" s="26">
        <v>30000.0</v>
      </c>
      <c r="J16" s="26">
        <v>30000.0</v>
      </c>
      <c r="K16" s="26">
        <v>30000.0</v>
      </c>
      <c r="L16" s="26">
        <v>30000.0</v>
      </c>
      <c r="M16" s="26">
        <v>30000.0</v>
      </c>
      <c r="N16" s="4">
        <f t="shared" si="5"/>
        <v>273000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>
      <c r="A17" s="12" t="s">
        <v>30</v>
      </c>
      <c r="B17" s="13">
        <v>25000.0</v>
      </c>
      <c r="C17" s="10">
        <f>12000+18000+12000</f>
        <v>42000</v>
      </c>
      <c r="D17" s="13">
        <v>47000</v>
      </c>
      <c r="E17" s="13">
        <v>30000.0</v>
      </c>
      <c r="F17" s="26"/>
      <c r="G17" s="26"/>
      <c r="H17" s="26">
        <v>30000.0</v>
      </c>
      <c r="I17" s="26">
        <v>30000.0</v>
      </c>
      <c r="J17" s="26">
        <v>30000.0</v>
      </c>
      <c r="K17" s="26">
        <v>30000.0</v>
      </c>
      <c r="L17" s="26">
        <v>30000.0</v>
      </c>
      <c r="M17" s="26">
        <v>30000.0</v>
      </c>
      <c r="N17" s="4">
        <f t="shared" si="5"/>
        <v>324000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ht="15.75" customHeight="1">
      <c r="A18" s="19" t="s">
        <v>65</v>
      </c>
      <c r="B18" s="14"/>
      <c r="C18" s="13">
        <v>15000.0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4">
        <f t="shared" si="5"/>
        <v>15000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ht="15.75" customHeight="1">
      <c r="A19" s="19" t="s">
        <v>66</v>
      </c>
      <c r="B19" s="13">
        <f>35000+10000+15000</f>
        <v>60000</v>
      </c>
      <c r="C19" s="10">
        <f>13000+12000+9000+30000+11000</f>
        <v>75000</v>
      </c>
      <c r="D19" s="14"/>
      <c r="E19" s="27"/>
      <c r="F19" s="28"/>
      <c r="G19" s="28"/>
      <c r="H19" s="14"/>
      <c r="I19" s="14"/>
      <c r="J19" s="14"/>
      <c r="K19" s="14"/>
      <c r="L19" s="14"/>
      <c r="M19" s="14"/>
      <c r="N19" s="4">
        <f t="shared" si="5"/>
        <v>135000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ht="15.75" customHeight="1">
      <c r="A20" s="19" t="s">
        <v>67</v>
      </c>
      <c r="B20" s="17"/>
      <c r="C20" s="16">
        <f>29000+18000+7200</f>
        <v>54200</v>
      </c>
      <c r="D20" s="14"/>
      <c r="E20" s="17"/>
      <c r="F20" s="14"/>
      <c r="G20" s="14"/>
      <c r="H20" s="14"/>
      <c r="I20" s="14"/>
      <c r="J20" s="14"/>
      <c r="K20" s="14"/>
      <c r="L20" s="14"/>
      <c r="M20" s="14"/>
      <c r="N20" s="4">
        <f t="shared" si="5"/>
        <v>54200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ht="15.75" customHeight="1">
      <c r="A21" s="19" t="s">
        <v>68</v>
      </c>
      <c r="B21" s="13">
        <v>20000.0</v>
      </c>
      <c r="C21" s="10">
        <f>20000</f>
        <v>20000</v>
      </c>
      <c r="D21" s="14"/>
      <c r="E21" s="27"/>
      <c r="F21" s="14"/>
      <c r="G21" s="14"/>
      <c r="H21" s="14"/>
      <c r="I21" s="14"/>
      <c r="J21" s="14"/>
      <c r="K21" s="14"/>
      <c r="L21" s="14"/>
      <c r="M21" s="14"/>
      <c r="N21" s="4">
        <f t="shared" si="5"/>
        <v>40000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5.75" customHeight="1">
      <c r="A22" s="19" t="s">
        <v>69</v>
      </c>
      <c r="B22" s="14"/>
      <c r="C22" s="29">
        <f>1500000/12</f>
        <v>125000</v>
      </c>
      <c r="D22" s="30"/>
      <c r="E22" s="31"/>
      <c r="F22" s="30"/>
      <c r="G22" s="30"/>
      <c r="H22" s="30"/>
      <c r="I22" s="30"/>
      <c r="J22" s="30"/>
      <c r="K22" s="30"/>
      <c r="L22" s="30"/>
      <c r="M22" s="30"/>
      <c r="N22" s="4">
        <f t="shared" si="5"/>
        <v>125000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15.75" customHeight="1">
      <c r="A23" s="19" t="s">
        <v>70</v>
      </c>
      <c r="B23" s="13">
        <v>130000.0</v>
      </c>
      <c r="C23" s="14"/>
      <c r="D23" s="14"/>
      <c r="E23" s="17"/>
      <c r="F23" s="14"/>
      <c r="G23" s="14"/>
      <c r="H23" s="14"/>
      <c r="I23" s="14"/>
      <c r="J23" s="14"/>
      <c r="K23" s="14"/>
      <c r="L23" s="14"/>
      <c r="M23" s="14"/>
      <c r="N23" s="4">
        <f t="shared" si="5"/>
        <v>130000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5.75" customHeight="1">
      <c r="A24" s="12" t="s">
        <v>38</v>
      </c>
      <c r="B24" s="27">
        <v>20000.0</v>
      </c>
      <c r="C24" s="10">
        <f>100000+18000</f>
        <v>118000</v>
      </c>
      <c r="D24" s="14"/>
      <c r="E24" s="27"/>
      <c r="F24" s="28"/>
      <c r="G24" s="28"/>
      <c r="H24" s="14"/>
      <c r="I24" s="14"/>
      <c r="J24" s="14"/>
      <c r="K24" s="14"/>
      <c r="L24" s="14"/>
      <c r="M24" s="14"/>
      <c r="N24" s="4">
        <f t="shared" si="5"/>
        <v>138000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5.75" customHeight="1">
      <c r="A25" s="19" t="s">
        <v>71</v>
      </c>
      <c r="B25" s="13">
        <f>10000+10000</f>
        <v>20000</v>
      </c>
      <c r="C25" s="13">
        <f>30000</f>
        <v>30000</v>
      </c>
      <c r="D25" s="26"/>
      <c r="E25" s="27"/>
      <c r="F25" s="13">
        <f>30000+10000</f>
        <v>40000</v>
      </c>
      <c r="G25" s="26"/>
      <c r="H25" s="26">
        <f t="shared" ref="H25:M25" si="8">30000+10000</f>
        <v>40000</v>
      </c>
      <c r="I25" s="26">
        <f t="shared" si="8"/>
        <v>40000</v>
      </c>
      <c r="J25" s="26">
        <f t="shared" si="8"/>
        <v>40000</v>
      </c>
      <c r="K25" s="26">
        <f t="shared" si="8"/>
        <v>40000</v>
      </c>
      <c r="L25" s="26">
        <f t="shared" si="8"/>
        <v>40000</v>
      </c>
      <c r="M25" s="26">
        <f t="shared" si="8"/>
        <v>40000</v>
      </c>
      <c r="N25" s="4">
        <f t="shared" si="5"/>
        <v>330000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ht="15.75" customHeight="1">
      <c r="A26" s="19" t="s">
        <v>72</v>
      </c>
      <c r="B26" s="13">
        <f>15000+6000</f>
        <v>21000</v>
      </c>
      <c r="C26" s="10">
        <v>44000</v>
      </c>
      <c r="D26" s="14"/>
      <c r="E26" s="27"/>
      <c r="F26" s="28"/>
      <c r="G26" s="14"/>
      <c r="H26" s="14"/>
      <c r="I26" s="14"/>
      <c r="J26" s="14"/>
      <c r="K26" s="14"/>
      <c r="L26" s="14"/>
      <c r="M26" s="14"/>
      <c r="N26" s="4">
        <f t="shared" si="5"/>
        <v>65000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5.75" customHeight="1">
      <c r="A27" s="1" t="s">
        <v>43</v>
      </c>
      <c r="B27" s="8">
        <f t="shared" ref="B27:M27" si="9">SUM(B28:B39)</f>
        <v>238500</v>
      </c>
      <c r="C27" s="8">
        <f t="shared" si="9"/>
        <v>879000</v>
      </c>
      <c r="D27" s="8">
        <f t="shared" si="9"/>
        <v>452000</v>
      </c>
      <c r="E27" s="8">
        <f t="shared" si="9"/>
        <v>420000</v>
      </c>
      <c r="F27" s="8">
        <f t="shared" si="9"/>
        <v>415000</v>
      </c>
      <c r="G27" s="8">
        <f t="shared" si="9"/>
        <v>320000</v>
      </c>
      <c r="H27" s="8">
        <f t="shared" si="9"/>
        <v>535000</v>
      </c>
      <c r="I27" s="8">
        <f t="shared" si="9"/>
        <v>535000</v>
      </c>
      <c r="J27" s="8">
        <f t="shared" si="9"/>
        <v>535000</v>
      </c>
      <c r="K27" s="8">
        <f t="shared" si="9"/>
        <v>535000</v>
      </c>
      <c r="L27" s="8">
        <f t="shared" si="9"/>
        <v>535000</v>
      </c>
      <c r="M27" s="8">
        <f t="shared" si="9"/>
        <v>535000</v>
      </c>
      <c r="N27" s="4">
        <f t="shared" si="5"/>
        <v>5934500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15.75" customHeight="1">
      <c r="A28" s="12" t="s">
        <v>44</v>
      </c>
      <c r="B28" s="10">
        <f t="shared" ref="B28:C28" si="10">30000</f>
        <v>30000</v>
      </c>
      <c r="C28" s="10">
        <f t="shared" si="10"/>
        <v>30000</v>
      </c>
      <c r="D28" s="10">
        <f>31000</f>
        <v>31000</v>
      </c>
      <c r="E28" s="10">
        <f t="shared" ref="E28:F28" si="11">30000</f>
        <v>30000</v>
      </c>
      <c r="F28" s="10">
        <f t="shared" si="11"/>
        <v>30000</v>
      </c>
      <c r="G28" s="14"/>
      <c r="H28" s="14">
        <f t="shared" ref="H28:M28" si="12">30000</f>
        <v>30000</v>
      </c>
      <c r="I28" s="14">
        <f t="shared" si="12"/>
        <v>30000</v>
      </c>
      <c r="J28" s="14">
        <f t="shared" si="12"/>
        <v>30000</v>
      </c>
      <c r="K28" s="14">
        <f t="shared" si="12"/>
        <v>30000</v>
      </c>
      <c r="L28" s="14">
        <f t="shared" si="12"/>
        <v>30000</v>
      </c>
      <c r="M28" s="14">
        <f t="shared" si="12"/>
        <v>30000</v>
      </c>
      <c r="N28" s="4">
        <f t="shared" si="5"/>
        <v>331000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ht="15.75" customHeight="1">
      <c r="A29" s="12" t="s">
        <v>45</v>
      </c>
      <c r="B29" s="13">
        <v>30000.0</v>
      </c>
      <c r="C29" s="13">
        <v>30000.0</v>
      </c>
      <c r="D29" s="13">
        <v>31000.0</v>
      </c>
      <c r="E29" s="13">
        <v>30000.0</v>
      </c>
      <c r="F29" s="13">
        <v>30000.0</v>
      </c>
      <c r="G29" s="26"/>
      <c r="H29" s="26">
        <v>30000.0</v>
      </c>
      <c r="I29" s="26">
        <v>30000.0</v>
      </c>
      <c r="J29" s="26">
        <v>30000.0</v>
      </c>
      <c r="K29" s="26">
        <v>30000.0</v>
      </c>
      <c r="L29" s="26">
        <v>30000.0</v>
      </c>
      <c r="M29" s="26">
        <v>30000.0</v>
      </c>
      <c r="N29" s="4">
        <f t="shared" si="5"/>
        <v>331000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ht="15.75" customHeight="1">
      <c r="A30" s="12" t="s">
        <v>46</v>
      </c>
      <c r="B30" s="13">
        <f t="shared" ref="B30:C30" si="13">20000+20000</f>
        <v>40000</v>
      </c>
      <c r="C30" s="10">
        <f t="shared" si="13"/>
        <v>40000</v>
      </c>
      <c r="D30" s="13">
        <v>30000.0</v>
      </c>
      <c r="E30" s="10">
        <f>20000</f>
        <v>20000</v>
      </c>
      <c r="F30" s="10">
        <f>25000</f>
        <v>25000</v>
      </c>
      <c r="G30" s="14"/>
      <c r="H30" s="14">
        <f t="shared" ref="H30:M30" si="14">20000+20000</f>
        <v>40000</v>
      </c>
      <c r="I30" s="14">
        <f t="shared" si="14"/>
        <v>40000</v>
      </c>
      <c r="J30" s="14">
        <f t="shared" si="14"/>
        <v>40000</v>
      </c>
      <c r="K30" s="14">
        <f t="shared" si="14"/>
        <v>40000</v>
      </c>
      <c r="L30" s="14">
        <f t="shared" si="14"/>
        <v>40000</v>
      </c>
      <c r="M30" s="14">
        <f t="shared" si="14"/>
        <v>40000</v>
      </c>
      <c r="N30" s="4">
        <f t="shared" si="5"/>
        <v>395000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ht="15.75" customHeight="1">
      <c r="A31" s="12" t="s">
        <v>48</v>
      </c>
      <c r="B31" s="10">
        <v>20000.0</v>
      </c>
      <c r="C31" s="26">
        <v>5000.0</v>
      </c>
      <c r="D31" s="14"/>
      <c r="E31" s="10">
        <v>20000.0</v>
      </c>
      <c r="F31" s="10">
        <v>20000.0</v>
      </c>
      <c r="G31" s="14"/>
      <c r="H31" s="14">
        <v>20000.0</v>
      </c>
      <c r="I31" s="14">
        <v>20000.0</v>
      </c>
      <c r="J31" s="14">
        <v>20000.0</v>
      </c>
      <c r="K31" s="14">
        <v>20000.0</v>
      </c>
      <c r="L31" s="14">
        <v>20000.0</v>
      </c>
      <c r="M31" s="14">
        <v>20000.0</v>
      </c>
      <c r="N31" s="4">
        <f t="shared" si="5"/>
        <v>185000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ht="15.75" customHeight="1">
      <c r="A32" s="12" t="s">
        <v>49</v>
      </c>
      <c r="B32" s="13">
        <f>20000</f>
        <v>20000</v>
      </c>
      <c r="C32" s="13">
        <v>10000.0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4">
        <f t="shared" si="5"/>
        <v>30000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ht="15.75" customHeight="1">
      <c r="A33" s="20" t="s">
        <v>50</v>
      </c>
      <c r="B33" s="10">
        <v>50000.0</v>
      </c>
      <c r="C33" s="13">
        <v>10000.0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4">
        <f t="shared" si="5"/>
        <v>60000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ht="15.75" customHeight="1">
      <c r="A34" s="20" t="s">
        <v>51</v>
      </c>
      <c r="B34" s="10">
        <f>6500+5500+2000+8500+3000+3000</f>
        <v>28500</v>
      </c>
      <c r="C34" s="13">
        <v>30000.0</v>
      </c>
      <c r="D34" s="13">
        <v>30000.0</v>
      </c>
      <c r="E34" s="13">
        <v>30000.0</v>
      </c>
      <c r="F34" s="13">
        <v>30000.0</v>
      </c>
      <c r="G34" s="13">
        <v>30000.0</v>
      </c>
      <c r="H34" s="26">
        <v>30000.0</v>
      </c>
      <c r="I34" s="26">
        <v>30000.0</v>
      </c>
      <c r="J34" s="26">
        <v>30000.0</v>
      </c>
      <c r="K34" s="26">
        <v>30000.0</v>
      </c>
      <c r="L34" s="26">
        <v>30000.0</v>
      </c>
      <c r="M34" s="26">
        <v>30000.0</v>
      </c>
      <c r="N34" s="4">
        <f t="shared" si="5"/>
        <v>358500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ht="15.75" customHeight="1">
      <c r="A35" s="20" t="s">
        <v>52</v>
      </c>
      <c r="B35" s="10">
        <f>10000+10000</f>
        <v>20000</v>
      </c>
      <c r="C35" s="13">
        <v>10000.0</v>
      </c>
      <c r="D35" s="14"/>
      <c r="E35" s="10">
        <v>10000.0</v>
      </c>
      <c r="F35" s="14"/>
      <c r="G35" s="10">
        <v>10000.0</v>
      </c>
      <c r="H35" s="14">
        <v>10000.0</v>
      </c>
      <c r="I35" s="14">
        <v>10000.0</v>
      </c>
      <c r="J35" s="14">
        <v>10000.0</v>
      </c>
      <c r="K35" s="14">
        <v>10000.0</v>
      </c>
      <c r="L35" s="14">
        <v>10000.0</v>
      </c>
      <c r="M35" s="14">
        <v>10000.0</v>
      </c>
      <c r="N35" s="4">
        <f t="shared" si="5"/>
        <v>110000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ht="15.75" customHeight="1">
      <c r="A36" s="32" t="s">
        <v>73</v>
      </c>
      <c r="B36" s="17"/>
      <c r="C36" s="10">
        <f>45000+70000</f>
        <v>115000</v>
      </c>
      <c r="D36" s="33"/>
      <c r="E36" s="33"/>
      <c r="F36" s="33"/>
      <c r="G36" s="17"/>
      <c r="H36" s="27">
        <v>45000.0</v>
      </c>
      <c r="I36" s="27">
        <v>45000.0</v>
      </c>
      <c r="J36" s="27">
        <v>45000.0</v>
      </c>
      <c r="K36" s="27">
        <v>45000.0</v>
      </c>
      <c r="L36" s="27">
        <v>45000.0</v>
      </c>
      <c r="M36" s="27">
        <v>45000.0</v>
      </c>
      <c r="N36" s="4">
        <f t="shared" si="5"/>
        <v>385000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ht="15.75" customHeight="1">
      <c r="A37" s="32" t="s">
        <v>74</v>
      </c>
      <c r="B37" s="27"/>
      <c r="C37" s="13">
        <v>194000.0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4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ht="15.75" customHeight="1">
      <c r="A38" s="20" t="s">
        <v>55</v>
      </c>
      <c r="B38" s="17"/>
      <c r="C38" s="10">
        <v>75000.0</v>
      </c>
      <c r="D38" s="34"/>
      <c r="E38" s="34"/>
      <c r="F38" s="14"/>
      <c r="G38" s="14"/>
      <c r="H38" s="14"/>
      <c r="I38" s="14"/>
      <c r="J38" s="14"/>
      <c r="K38" s="14"/>
      <c r="L38" s="26"/>
      <c r="M38" s="14"/>
      <c r="N38" s="4">
        <f t="shared" ref="N38:N45" si="17">SUM(B38:M38)</f>
        <v>75000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ht="15.75" customHeight="1">
      <c r="A39" s="32" t="s">
        <v>75</v>
      </c>
      <c r="B39" s="27"/>
      <c r="C39" s="13">
        <f t="shared" ref="C39:D39" si="15">280000+50000</f>
        <v>330000</v>
      </c>
      <c r="D39" s="13">
        <f t="shared" si="15"/>
        <v>330000</v>
      </c>
      <c r="E39" s="13">
        <f>280000</f>
        <v>280000</v>
      </c>
      <c r="F39" s="13">
        <v>280000.0</v>
      </c>
      <c r="G39" s="13">
        <f>280000</f>
        <v>280000</v>
      </c>
      <c r="H39" s="28">
        <f t="shared" ref="H39:M39" si="16">280000+50000</f>
        <v>330000</v>
      </c>
      <c r="I39" s="28">
        <f t="shared" si="16"/>
        <v>330000</v>
      </c>
      <c r="J39" s="28">
        <f t="shared" si="16"/>
        <v>330000</v>
      </c>
      <c r="K39" s="28">
        <f t="shared" si="16"/>
        <v>330000</v>
      </c>
      <c r="L39" s="28">
        <f t="shared" si="16"/>
        <v>330000</v>
      </c>
      <c r="M39" s="28">
        <f t="shared" si="16"/>
        <v>330000</v>
      </c>
      <c r="N39" s="4">
        <f t="shared" si="17"/>
        <v>3480000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ht="15.75" customHeight="1">
      <c r="A40" s="1" t="s">
        <v>56</v>
      </c>
      <c r="B40" s="8">
        <f t="shared" ref="B40:M40" si="18">SUM(B41:B43)</f>
        <v>654000</v>
      </c>
      <c r="C40" s="8">
        <f t="shared" si="18"/>
        <v>0</v>
      </c>
      <c r="D40" s="8">
        <f t="shared" si="18"/>
        <v>817000</v>
      </c>
      <c r="E40" s="8">
        <f t="shared" si="18"/>
        <v>990000</v>
      </c>
      <c r="F40" s="8">
        <f t="shared" si="18"/>
        <v>1093000</v>
      </c>
      <c r="G40" s="8">
        <f t="shared" si="18"/>
        <v>1400000</v>
      </c>
      <c r="H40" s="8">
        <f t="shared" si="18"/>
        <v>0</v>
      </c>
      <c r="I40" s="8">
        <f t="shared" si="18"/>
        <v>0</v>
      </c>
      <c r="J40" s="8">
        <f t="shared" si="18"/>
        <v>0</v>
      </c>
      <c r="K40" s="8">
        <f t="shared" si="18"/>
        <v>0</v>
      </c>
      <c r="L40" s="8">
        <f t="shared" si="18"/>
        <v>0</v>
      </c>
      <c r="M40" s="8">
        <f t="shared" si="18"/>
        <v>0</v>
      </c>
      <c r="N40" s="4">
        <f t="shared" si="17"/>
        <v>4954000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ht="15.75" customHeight="1">
      <c r="A41" s="20" t="s">
        <v>57</v>
      </c>
      <c r="B41" s="14"/>
      <c r="C41" s="14"/>
      <c r="D41" s="14"/>
      <c r="E41" s="14"/>
      <c r="F41" s="14"/>
      <c r="G41" s="14"/>
      <c r="H41" s="14"/>
      <c r="I41" s="14"/>
      <c r="J41" s="14"/>
      <c r="K41" s="21"/>
      <c r="L41" s="21"/>
      <c r="M41" s="21"/>
      <c r="N41" s="4">
        <f t="shared" si="17"/>
        <v>0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ht="15.75" customHeight="1">
      <c r="A42" s="20" t="s">
        <v>58</v>
      </c>
      <c r="B42" s="13">
        <v>187000.0</v>
      </c>
      <c r="C42" s="14"/>
      <c r="D42" s="13">
        <v>517000.0</v>
      </c>
      <c r="E42" s="13">
        <f>53000+437000</f>
        <v>490000</v>
      </c>
      <c r="F42" s="13">
        <f>443000</f>
        <v>443000</v>
      </c>
      <c r="G42" s="13">
        <v>850000.0</v>
      </c>
      <c r="H42" s="26"/>
      <c r="I42" s="14"/>
      <c r="J42" s="14"/>
      <c r="K42" s="21"/>
      <c r="L42" s="21"/>
      <c r="M42" s="21"/>
      <c r="N42" s="4">
        <f t="shared" si="17"/>
        <v>2487000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ht="15.75" customHeight="1">
      <c r="A43" s="20" t="s">
        <v>59</v>
      </c>
      <c r="B43" s="13">
        <v>467000.0</v>
      </c>
      <c r="C43" s="14"/>
      <c r="D43" s="13">
        <v>300000.0</v>
      </c>
      <c r="E43" s="13">
        <v>500000.0</v>
      </c>
      <c r="F43" s="13">
        <v>650000.0</v>
      </c>
      <c r="G43" s="13">
        <v>550000.0</v>
      </c>
      <c r="H43" s="26"/>
      <c r="I43" s="14"/>
      <c r="J43" s="14"/>
      <c r="K43" s="21"/>
      <c r="L43" s="21"/>
      <c r="M43" s="21"/>
      <c r="N43" s="4">
        <f t="shared" si="17"/>
        <v>2467000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ht="15.75" customHeight="1">
      <c r="A44" s="1" t="s">
        <v>62</v>
      </c>
      <c r="B44" s="4">
        <f t="shared" ref="B44:M44" si="19">SUM(B7+B27+B40)</f>
        <v>1999500</v>
      </c>
      <c r="C44" s="4">
        <f t="shared" si="19"/>
        <v>2070200</v>
      </c>
      <c r="D44" s="4">
        <f t="shared" si="19"/>
        <v>2002000</v>
      </c>
      <c r="E44" s="4">
        <f t="shared" si="19"/>
        <v>2058000</v>
      </c>
      <c r="F44" s="4">
        <f t="shared" si="19"/>
        <v>2164000</v>
      </c>
      <c r="G44" s="4">
        <f t="shared" si="19"/>
        <v>2255000</v>
      </c>
      <c r="H44" s="4">
        <f t="shared" si="19"/>
        <v>1356000</v>
      </c>
      <c r="I44" s="4">
        <f t="shared" si="19"/>
        <v>1356000</v>
      </c>
      <c r="J44" s="4">
        <f t="shared" si="19"/>
        <v>1356000</v>
      </c>
      <c r="K44" s="4">
        <f t="shared" si="19"/>
        <v>1356000</v>
      </c>
      <c r="L44" s="4">
        <f t="shared" si="19"/>
        <v>1356000</v>
      </c>
      <c r="M44" s="4">
        <f t="shared" si="19"/>
        <v>1356000</v>
      </c>
      <c r="N44" s="4">
        <f t="shared" si="17"/>
        <v>20684700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ht="15.75" customHeight="1">
      <c r="A45" s="22" t="s">
        <v>63</v>
      </c>
      <c r="B45" s="4">
        <f t="shared" ref="B45:M45" si="20">B5-B44</f>
        <v>500</v>
      </c>
      <c r="C45" s="4">
        <f t="shared" si="20"/>
        <v>-200</v>
      </c>
      <c r="D45" s="4">
        <f t="shared" si="20"/>
        <v>-2000</v>
      </c>
      <c r="E45" s="4">
        <f t="shared" si="20"/>
        <v>-158000</v>
      </c>
      <c r="F45" s="4">
        <f t="shared" si="20"/>
        <v>-264000</v>
      </c>
      <c r="G45" s="4">
        <f t="shared" si="20"/>
        <v>-55000</v>
      </c>
      <c r="H45" s="4">
        <f t="shared" si="20"/>
        <v>144000</v>
      </c>
      <c r="I45" s="4">
        <f t="shared" si="20"/>
        <v>144000</v>
      </c>
      <c r="J45" s="4">
        <f t="shared" si="20"/>
        <v>144000</v>
      </c>
      <c r="K45" s="4">
        <f t="shared" si="20"/>
        <v>144000</v>
      </c>
      <c r="L45" s="4">
        <f t="shared" si="20"/>
        <v>144000</v>
      </c>
      <c r="M45" s="4">
        <f t="shared" si="20"/>
        <v>144000</v>
      </c>
      <c r="N45" s="35">
        <f t="shared" si="17"/>
        <v>385300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5.75" customHeight="1">
      <c r="A46" s="11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ht="15.75" hidden="1" customHeight="1">
      <c r="A48" s="22" t="s">
        <v>64</v>
      </c>
      <c r="B48" s="4">
        <f>B45</f>
        <v>500</v>
      </c>
      <c r="C48" s="4">
        <f t="shared" ref="C48:M48" si="21">C45+B48</f>
        <v>300</v>
      </c>
      <c r="D48" s="4">
        <f t="shared" si="21"/>
        <v>-1700</v>
      </c>
      <c r="E48" s="4">
        <f t="shared" si="21"/>
        <v>-159700</v>
      </c>
      <c r="F48" s="4">
        <f t="shared" si="21"/>
        <v>-423700</v>
      </c>
      <c r="G48" s="4">
        <f t="shared" si="21"/>
        <v>-478700</v>
      </c>
      <c r="H48" s="4">
        <f t="shared" si="21"/>
        <v>-334700</v>
      </c>
      <c r="I48" s="4">
        <f t="shared" si="21"/>
        <v>-190700</v>
      </c>
      <c r="J48" s="4">
        <f t="shared" si="21"/>
        <v>-46700</v>
      </c>
      <c r="K48" s="4">
        <f t="shared" si="21"/>
        <v>97300</v>
      </c>
      <c r="L48" s="4">
        <f t="shared" si="21"/>
        <v>241300</v>
      </c>
      <c r="M48" s="4">
        <f t="shared" si="21"/>
        <v>385300</v>
      </c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5"/>
      <c r="N203" s="25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5"/>
      <c r="N204" s="25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5"/>
      <c r="N205" s="25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5"/>
      <c r="N206" s="25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5"/>
      <c r="N207" s="25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5"/>
      <c r="N208" s="25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5"/>
      <c r="N209" s="25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5"/>
      <c r="N210" s="25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5"/>
      <c r="N211" s="25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5"/>
      <c r="N212" s="25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5"/>
      <c r="N213" s="25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5"/>
      <c r="N214" s="25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5"/>
      <c r="N215" s="25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5"/>
      <c r="N216" s="25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5"/>
      <c r="N217" s="25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5"/>
      <c r="N218" s="25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5"/>
      <c r="N219" s="25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5"/>
      <c r="N220" s="25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5"/>
      <c r="N221" s="25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5"/>
      <c r="N222" s="25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5"/>
      <c r="N223" s="25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5"/>
      <c r="N224" s="25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5"/>
      <c r="N225" s="25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5"/>
      <c r="N226" s="25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5"/>
      <c r="N227" s="25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5"/>
      <c r="N228" s="25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5"/>
      <c r="N229" s="25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5"/>
      <c r="N230" s="25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5"/>
      <c r="N231" s="25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5"/>
      <c r="N232" s="25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5"/>
      <c r="N233" s="25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5"/>
      <c r="N234" s="25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5"/>
      <c r="N235" s="25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5"/>
      <c r="N236" s="25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5"/>
      <c r="N237" s="25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5"/>
      <c r="N238" s="25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5"/>
      <c r="N239" s="25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5"/>
      <c r="N240" s="25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5"/>
      <c r="N241" s="25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5"/>
      <c r="N242" s="25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5"/>
      <c r="N243" s="25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5"/>
      <c r="N244" s="25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5"/>
      <c r="N245" s="25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5"/>
      <c r="N246" s="25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5"/>
      <c r="N247" s="25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5"/>
      <c r="N248" s="25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5"/>
      <c r="N249" s="25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5"/>
      <c r="N250" s="25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5"/>
      <c r="N251" s="25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5"/>
      <c r="N252" s="25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5"/>
      <c r="N253" s="25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5"/>
      <c r="N254" s="25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5"/>
      <c r="N255" s="25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5"/>
      <c r="N256" s="25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5"/>
      <c r="N257" s="25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5"/>
      <c r="N258" s="25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5"/>
      <c r="N259" s="25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5"/>
      <c r="N260" s="25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5"/>
      <c r="N261" s="25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5"/>
      <c r="N262" s="25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5"/>
      <c r="N263" s="25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5"/>
      <c r="N264" s="25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5"/>
      <c r="N265" s="25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5"/>
      <c r="N266" s="25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5"/>
      <c r="N267" s="25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5"/>
      <c r="N268" s="25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5"/>
      <c r="N269" s="25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5"/>
      <c r="N270" s="25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5"/>
      <c r="N271" s="25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5"/>
      <c r="N272" s="25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5"/>
      <c r="N273" s="25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5"/>
      <c r="N274" s="25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5"/>
      <c r="N275" s="25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5"/>
      <c r="N276" s="25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5"/>
      <c r="N277" s="25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5"/>
      <c r="N278" s="25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5"/>
      <c r="N279" s="25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5"/>
      <c r="N280" s="25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5"/>
      <c r="N281" s="25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5"/>
      <c r="N282" s="25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5"/>
      <c r="N283" s="25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5"/>
      <c r="N284" s="25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5"/>
      <c r="N285" s="25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5"/>
      <c r="N286" s="25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5"/>
      <c r="N287" s="25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5"/>
      <c r="N288" s="25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5"/>
      <c r="N289" s="25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5"/>
      <c r="N290" s="25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5"/>
      <c r="N291" s="25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5"/>
      <c r="N292" s="25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5"/>
      <c r="N293" s="25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5"/>
      <c r="N294" s="25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5"/>
      <c r="N295" s="25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5"/>
      <c r="N296" s="25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5"/>
      <c r="N297" s="25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5"/>
      <c r="N298" s="25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5"/>
      <c r="N299" s="25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5"/>
      <c r="N300" s="25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5"/>
      <c r="N301" s="25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5"/>
      <c r="N302" s="25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5"/>
      <c r="N303" s="25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5"/>
      <c r="N304" s="25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5"/>
      <c r="N305" s="25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5"/>
      <c r="N306" s="25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5"/>
      <c r="N307" s="25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5"/>
      <c r="N308" s="25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5"/>
      <c r="N309" s="25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5"/>
      <c r="N310" s="25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5"/>
      <c r="N311" s="25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5"/>
      <c r="N312" s="25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5"/>
      <c r="N313" s="25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5"/>
      <c r="N314" s="25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5"/>
      <c r="N315" s="25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5"/>
      <c r="N316" s="25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5"/>
      <c r="N317" s="25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5"/>
      <c r="N318" s="25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5"/>
      <c r="N319" s="25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5"/>
      <c r="N320" s="25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5"/>
      <c r="N321" s="25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5"/>
      <c r="N322" s="25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5"/>
      <c r="N323" s="25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5"/>
      <c r="N324" s="25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5"/>
      <c r="N325" s="25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5"/>
      <c r="N326" s="25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5"/>
      <c r="N327" s="25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5"/>
      <c r="N328" s="25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5"/>
      <c r="N329" s="25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5"/>
      <c r="N330" s="25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5"/>
      <c r="N331" s="25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5"/>
      <c r="N332" s="25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5"/>
      <c r="N333" s="25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5"/>
      <c r="N334" s="25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5"/>
      <c r="N335" s="25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5"/>
      <c r="N336" s="25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5"/>
      <c r="N337" s="25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5"/>
      <c r="N338" s="25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5"/>
      <c r="N339" s="25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5"/>
      <c r="N340" s="25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5"/>
      <c r="N341" s="25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5"/>
      <c r="N342" s="25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5"/>
      <c r="N343" s="25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5"/>
      <c r="N344" s="25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5"/>
      <c r="N345" s="25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5"/>
      <c r="N346" s="25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5"/>
      <c r="N347" s="25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5"/>
      <c r="N348" s="25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5"/>
      <c r="N349" s="25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5"/>
      <c r="N350" s="25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5"/>
      <c r="N351" s="25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5"/>
      <c r="N352" s="25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5"/>
      <c r="N353" s="25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5"/>
      <c r="N354" s="25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5"/>
      <c r="N355" s="25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5"/>
      <c r="N356" s="25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5"/>
      <c r="N357" s="25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5"/>
      <c r="N358" s="25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5"/>
      <c r="N359" s="25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5"/>
      <c r="N360" s="25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5"/>
      <c r="N361" s="25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5"/>
      <c r="N362" s="25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5"/>
      <c r="N363" s="25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5"/>
      <c r="N364" s="25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5"/>
      <c r="N365" s="25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5"/>
      <c r="N366" s="25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5"/>
      <c r="N367" s="25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5"/>
      <c r="N368" s="25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5"/>
      <c r="N369" s="25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5"/>
      <c r="N370" s="25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5"/>
      <c r="N371" s="25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5"/>
      <c r="N372" s="25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5"/>
      <c r="N373" s="25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5"/>
      <c r="N374" s="25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5"/>
      <c r="N375" s="25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5"/>
      <c r="N376" s="25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5"/>
      <c r="N377" s="25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5"/>
      <c r="N378" s="25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5"/>
      <c r="N379" s="25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5"/>
      <c r="N380" s="25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5"/>
      <c r="N381" s="25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5"/>
      <c r="N382" s="25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5"/>
      <c r="N383" s="25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5"/>
      <c r="N384" s="25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5"/>
      <c r="N385" s="25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5"/>
      <c r="N386" s="25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5"/>
      <c r="N387" s="25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5"/>
      <c r="N388" s="25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5"/>
      <c r="N389" s="25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5"/>
      <c r="N390" s="25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5"/>
      <c r="N391" s="25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5"/>
      <c r="N392" s="25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5"/>
      <c r="N393" s="25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5"/>
      <c r="N394" s="25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5"/>
      <c r="N395" s="25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5"/>
      <c r="N396" s="25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5"/>
      <c r="N397" s="25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5"/>
      <c r="N398" s="25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5"/>
      <c r="N399" s="25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5"/>
      <c r="N400" s="25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5"/>
      <c r="N401" s="25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5"/>
      <c r="N402" s="25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5"/>
      <c r="N403" s="25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5"/>
      <c r="N404" s="25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5"/>
      <c r="N405" s="25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5"/>
      <c r="N406" s="25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5"/>
      <c r="N407" s="25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5"/>
      <c r="N408" s="25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5"/>
      <c r="N409" s="25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5"/>
      <c r="N410" s="25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5"/>
      <c r="N411" s="25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5"/>
      <c r="N412" s="25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5"/>
      <c r="N413" s="25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5"/>
      <c r="N414" s="25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5"/>
      <c r="N415" s="25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5"/>
      <c r="N416" s="25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5"/>
      <c r="N417" s="25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5"/>
      <c r="N418" s="25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5"/>
      <c r="N419" s="25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5"/>
      <c r="N420" s="25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5"/>
      <c r="N421" s="25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5"/>
      <c r="N422" s="25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5"/>
      <c r="N423" s="25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5"/>
      <c r="N424" s="25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5"/>
      <c r="N425" s="25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5"/>
      <c r="N426" s="25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5"/>
      <c r="N427" s="25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5"/>
      <c r="N428" s="25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5"/>
      <c r="N429" s="25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5"/>
      <c r="N430" s="25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5"/>
      <c r="N431" s="25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5"/>
      <c r="N432" s="25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5"/>
      <c r="N433" s="25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5"/>
      <c r="N434" s="25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5"/>
      <c r="N435" s="25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5"/>
      <c r="N436" s="25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5"/>
      <c r="N437" s="25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5"/>
      <c r="N438" s="25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5"/>
      <c r="N439" s="25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5"/>
      <c r="N440" s="25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5"/>
      <c r="N441" s="25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5"/>
      <c r="N442" s="25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5"/>
      <c r="N443" s="25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5"/>
      <c r="N444" s="25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5"/>
      <c r="N445" s="25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5"/>
      <c r="N446" s="25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5"/>
      <c r="N447" s="25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5"/>
      <c r="N448" s="25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5"/>
      <c r="N449" s="25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5"/>
      <c r="N450" s="25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5"/>
      <c r="N451" s="25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5"/>
      <c r="N452" s="25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5"/>
      <c r="N453" s="25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5"/>
      <c r="N454" s="25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5"/>
      <c r="N455" s="25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5"/>
      <c r="N456" s="25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5"/>
      <c r="N457" s="25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5"/>
      <c r="N458" s="25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5"/>
      <c r="N459" s="25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5"/>
      <c r="N460" s="25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5"/>
      <c r="N461" s="25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5"/>
      <c r="N462" s="25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5"/>
      <c r="N463" s="25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5"/>
      <c r="N464" s="25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5"/>
      <c r="N465" s="25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5"/>
      <c r="N466" s="25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5"/>
      <c r="N467" s="25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5"/>
      <c r="N468" s="25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5"/>
      <c r="N469" s="25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5"/>
      <c r="N470" s="25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5"/>
      <c r="N471" s="25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5"/>
      <c r="N472" s="25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5"/>
      <c r="N473" s="25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5"/>
      <c r="N474" s="25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5"/>
      <c r="N475" s="25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5"/>
      <c r="N476" s="25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5"/>
      <c r="N477" s="25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5"/>
      <c r="N478" s="25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5"/>
      <c r="N479" s="25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5"/>
      <c r="N480" s="25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5"/>
      <c r="N481" s="25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5"/>
      <c r="N482" s="25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5"/>
      <c r="N483" s="25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5"/>
      <c r="N484" s="25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5"/>
      <c r="N485" s="25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5"/>
      <c r="N486" s="25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5"/>
      <c r="N487" s="25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5"/>
      <c r="N488" s="25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5"/>
      <c r="N489" s="25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5"/>
      <c r="N490" s="25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5"/>
      <c r="N491" s="25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5"/>
      <c r="N492" s="25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5"/>
      <c r="N493" s="25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5"/>
      <c r="N494" s="25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5"/>
      <c r="N495" s="25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5"/>
      <c r="N496" s="25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5"/>
      <c r="N497" s="25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5"/>
      <c r="N498" s="25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5"/>
      <c r="N499" s="25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5"/>
      <c r="N500" s="25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5"/>
      <c r="N501" s="25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5"/>
      <c r="N502" s="25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5"/>
      <c r="N503" s="25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5"/>
      <c r="N504" s="25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5"/>
      <c r="N505" s="25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5"/>
      <c r="N506" s="25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5"/>
      <c r="N507" s="25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5"/>
      <c r="N508" s="25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5"/>
      <c r="N509" s="25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5"/>
      <c r="N510" s="25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5"/>
      <c r="N511" s="25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5"/>
      <c r="N512" s="25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5"/>
      <c r="N513" s="25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5"/>
      <c r="N514" s="25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5"/>
      <c r="N515" s="25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5"/>
      <c r="N516" s="25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5"/>
      <c r="N517" s="25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5"/>
      <c r="N518" s="25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5"/>
      <c r="N519" s="25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5"/>
      <c r="N520" s="25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5"/>
      <c r="N521" s="25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5"/>
      <c r="N522" s="25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5"/>
      <c r="N523" s="25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5"/>
      <c r="N524" s="25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5"/>
      <c r="N525" s="25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5"/>
      <c r="N526" s="25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5"/>
      <c r="N527" s="25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5"/>
      <c r="N528" s="25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5"/>
      <c r="N529" s="25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5"/>
      <c r="N530" s="25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5"/>
      <c r="N531" s="25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5"/>
      <c r="N532" s="25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5"/>
      <c r="N533" s="25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5"/>
      <c r="N534" s="25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5"/>
      <c r="N535" s="25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5"/>
      <c r="N536" s="25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5"/>
      <c r="N537" s="25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5"/>
      <c r="N538" s="25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5"/>
      <c r="N539" s="25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5"/>
      <c r="N540" s="25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5"/>
      <c r="N541" s="25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5"/>
      <c r="N542" s="25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5"/>
      <c r="N543" s="25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5"/>
      <c r="N544" s="25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5"/>
      <c r="N545" s="25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5"/>
      <c r="N546" s="25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5"/>
      <c r="N547" s="25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5"/>
      <c r="N548" s="25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5"/>
      <c r="N549" s="25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5"/>
      <c r="N550" s="25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5"/>
      <c r="N551" s="25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5"/>
      <c r="N552" s="25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5"/>
      <c r="N553" s="25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5"/>
      <c r="N554" s="25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5"/>
      <c r="N555" s="25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5"/>
      <c r="N556" s="25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5"/>
      <c r="N557" s="25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5"/>
      <c r="N558" s="25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5"/>
      <c r="N559" s="25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5"/>
      <c r="N560" s="25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5"/>
      <c r="N561" s="25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5"/>
      <c r="N562" s="25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5"/>
      <c r="N563" s="25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5"/>
      <c r="N564" s="25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5"/>
      <c r="N565" s="25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5"/>
      <c r="N566" s="25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5"/>
      <c r="N567" s="25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5"/>
      <c r="N568" s="25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5"/>
      <c r="N569" s="25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5"/>
      <c r="N570" s="25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5"/>
      <c r="N571" s="25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5"/>
      <c r="N572" s="25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5"/>
      <c r="N573" s="25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5"/>
      <c r="N574" s="25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5"/>
      <c r="N575" s="25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5"/>
      <c r="N576" s="25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5"/>
      <c r="N577" s="25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5"/>
      <c r="N578" s="25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5"/>
      <c r="N579" s="25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5"/>
      <c r="N580" s="25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5"/>
      <c r="N581" s="25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5"/>
      <c r="N582" s="25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5"/>
      <c r="N583" s="25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5"/>
      <c r="N584" s="25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5"/>
      <c r="N585" s="25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5"/>
      <c r="N586" s="25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5"/>
      <c r="N587" s="25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5"/>
      <c r="N588" s="25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5"/>
      <c r="N589" s="25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5"/>
      <c r="N590" s="25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5"/>
      <c r="N591" s="25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5"/>
      <c r="N592" s="25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5"/>
      <c r="N593" s="25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5"/>
      <c r="N594" s="25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5"/>
      <c r="N595" s="25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5"/>
      <c r="N596" s="25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5"/>
      <c r="N597" s="25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5"/>
      <c r="N598" s="25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5"/>
      <c r="N599" s="25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5"/>
      <c r="N600" s="25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5"/>
      <c r="N601" s="25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5"/>
      <c r="N602" s="25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5"/>
      <c r="N603" s="25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5"/>
      <c r="N604" s="25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5"/>
      <c r="N605" s="25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5"/>
      <c r="N606" s="25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5"/>
      <c r="N607" s="25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5"/>
      <c r="N608" s="25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5"/>
      <c r="N609" s="25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5"/>
      <c r="N610" s="25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5"/>
      <c r="N611" s="25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5"/>
      <c r="N612" s="25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5"/>
      <c r="N613" s="25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5"/>
      <c r="N614" s="25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5"/>
      <c r="N615" s="25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5"/>
      <c r="N616" s="25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5"/>
      <c r="N617" s="25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5"/>
      <c r="N618" s="25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5"/>
      <c r="N619" s="25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5"/>
      <c r="N620" s="25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5"/>
      <c r="N621" s="25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5"/>
      <c r="N622" s="25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5"/>
      <c r="N623" s="25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5"/>
      <c r="N624" s="25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5"/>
      <c r="N625" s="25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5"/>
      <c r="N626" s="25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5"/>
      <c r="N627" s="25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5"/>
      <c r="N628" s="25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5"/>
      <c r="N629" s="25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5"/>
      <c r="N630" s="25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5"/>
      <c r="N631" s="25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5"/>
      <c r="N632" s="25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5"/>
      <c r="N633" s="25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5"/>
      <c r="N634" s="25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5"/>
      <c r="N635" s="25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5"/>
      <c r="N636" s="25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5"/>
      <c r="N637" s="25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5"/>
      <c r="N638" s="25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5"/>
      <c r="N639" s="25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5"/>
      <c r="N640" s="25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5"/>
      <c r="N641" s="25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5"/>
      <c r="N642" s="25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5"/>
      <c r="N643" s="25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5"/>
      <c r="N644" s="25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5"/>
      <c r="N645" s="25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5"/>
      <c r="N646" s="25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5"/>
      <c r="N647" s="25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5"/>
      <c r="N648" s="25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5"/>
      <c r="N649" s="25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5"/>
      <c r="N650" s="25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5"/>
      <c r="N651" s="25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5"/>
      <c r="N652" s="25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5"/>
      <c r="N653" s="25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5"/>
      <c r="N654" s="25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5"/>
      <c r="N655" s="25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5"/>
      <c r="N656" s="25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5"/>
      <c r="N657" s="25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5"/>
      <c r="N658" s="25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5"/>
      <c r="N659" s="25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5"/>
      <c r="N660" s="25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5"/>
      <c r="N661" s="25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5"/>
      <c r="N662" s="25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5"/>
      <c r="N663" s="25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5"/>
      <c r="N664" s="25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5"/>
      <c r="N665" s="25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5"/>
      <c r="N666" s="25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5"/>
      <c r="N667" s="25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5"/>
      <c r="N668" s="25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5"/>
      <c r="N669" s="25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5"/>
      <c r="N670" s="25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5"/>
      <c r="N671" s="25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5"/>
      <c r="N672" s="25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5"/>
      <c r="N673" s="25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5"/>
      <c r="N674" s="25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5"/>
      <c r="N675" s="25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5"/>
      <c r="N676" s="25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5"/>
      <c r="N677" s="25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5"/>
      <c r="N678" s="25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5"/>
      <c r="N679" s="25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5"/>
      <c r="N680" s="25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5"/>
      <c r="N681" s="25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5"/>
      <c r="N682" s="25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5"/>
      <c r="N683" s="25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5"/>
      <c r="N684" s="25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5"/>
      <c r="N685" s="25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5"/>
      <c r="N686" s="25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5"/>
      <c r="N687" s="25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5"/>
      <c r="N688" s="25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5"/>
      <c r="N689" s="25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5"/>
      <c r="N690" s="25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5"/>
      <c r="N691" s="25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5"/>
      <c r="N692" s="25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5"/>
      <c r="N693" s="25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5"/>
      <c r="N694" s="25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5"/>
      <c r="N695" s="25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5"/>
      <c r="N696" s="25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5"/>
      <c r="N697" s="25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5"/>
      <c r="N698" s="25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5"/>
      <c r="N699" s="25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5"/>
      <c r="N700" s="25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5"/>
      <c r="N701" s="25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5"/>
      <c r="N702" s="25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5"/>
      <c r="N703" s="25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5"/>
      <c r="N704" s="25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5"/>
      <c r="N705" s="25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5"/>
      <c r="N706" s="25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5"/>
      <c r="N707" s="25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5"/>
      <c r="N708" s="25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5"/>
      <c r="N709" s="25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5"/>
      <c r="N710" s="25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5"/>
      <c r="N711" s="25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5"/>
      <c r="N712" s="25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5"/>
      <c r="N713" s="25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5"/>
      <c r="N714" s="25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5"/>
      <c r="N715" s="25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5"/>
      <c r="N716" s="25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5"/>
      <c r="N717" s="25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5"/>
      <c r="N718" s="25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5"/>
      <c r="N719" s="25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5"/>
      <c r="N720" s="25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5"/>
      <c r="N721" s="25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5"/>
      <c r="N722" s="25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5"/>
      <c r="N723" s="25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5"/>
      <c r="N724" s="25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5"/>
      <c r="N725" s="25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5"/>
      <c r="N726" s="25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5"/>
      <c r="N727" s="25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5"/>
      <c r="N728" s="25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5"/>
      <c r="N729" s="25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5"/>
      <c r="N730" s="25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5"/>
      <c r="N731" s="25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5"/>
      <c r="N732" s="25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5"/>
      <c r="N733" s="25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5"/>
      <c r="N734" s="25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5"/>
      <c r="N735" s="25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5"/>
      <c r="N736" s="25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5"/>
      <c r="N737" s="25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5"/>
      <c r="N738" s="25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5"/>
      <c r="N739" s="25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5"/>
      <c r="N740" s="25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5"/>
      <c r="N741" s="25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5"/>
      <c r="N742" s="25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5"/>
      <c r="N743" s="25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5"/>
      <c r="N744" s="25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5"/>
      <c r="N745" s="25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5"/>
      <c r="N746" s="25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5"/>
      <c r="N747" s="25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5"/>
      <c r="N748" s="25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5"/>
      <c r="N749" s="25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5"/>
      <c r="N750" s="25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5"/>
      <c r="N751" s="25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5"/>
      <c r="N752" s="25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5"/>
      <c r="N753" s="25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5"/>
      <c r="N754" s="25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5"/>
      <c r="N755" s="25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5"/>
      <c r="N756" s="25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5"/>
      <c r="N757" s="25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5"/>
      <c r="N758" s="25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5"/>
      <c r="N759" s="25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5"/>
      <c r="N760" s="25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5"/>
      <c r="N761" s="25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5"/>
      <c r="N762" s="25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5"/>
      <c r="N763" s="25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5"/>
      <c r="N764" s="25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5"/>
      <c r="N765" s="25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5"/>
      <c r="N766" s="25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5"/>
      <c r="N767" s="25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5"/>
      <c r="N768" s="25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5"/>
      <c r="N769" s="25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5"/>
      <c r="N770" s="25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5"/>
      <c r="N771" s="25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5"/>
      <c r="N772" s="25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5"/>
      <c r="N773" s="25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5"/>
      <c r="N774" s="25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5"/>
      <c r="N775" s="25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5"/>
      <c r="N776" s="25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5"/>
      <c r="N777" s="25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5"/>
      <c r="N778" s="25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5"/>
      <c r="N779" s="25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5"/>
      <c r="N780" s="25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5"/>
      <c r="N781" s="25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5"/>
      <c r="N782" s="25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5"/>
      <c r="N783" s="25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5"/>
      <c r="N784" s="25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5"/>
      <c r="N785" s="25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5"/>
      <c r="N786" s="25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5"/>
      <c r="N787" s="25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5"/>
      <c r="N788" s="25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5"/>
      <c r="N789" s="25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5"/>
      <c r="N790" s="25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5"/>
      <c r="N791" s="25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5"/>
      <c r="N792" s="25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5"/>
      <c r="N793" s="25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5"/>
      <c r="N794" s="25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5"/>
      <c r="N795" s="25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5"/>
      <c r="N796" s="25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5"/>
      <c r="N797" s="25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5"/>
      <c r="N798" s="25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5"/>
      <c r="N799" s="25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5"/>
      <c r="N800" s="25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5"/>
      <c r="N801" s="25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5"/>
      <c r="N802" s="25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5"/>
      <c r="N803" s="25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5"/>
      <c r="N804" s="25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5"/>
      <c r="N805" s="25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5"/>
      <c r="N806" s="25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5"/>
      <c r="N807" s="25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5"/>
      <c r="N808" s="25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5"/>
      <c r="N809" s="25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5"/>
      <c r="N810" s="25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5"/>
      <c r="N811" s="25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5"/>
      <c r="N812" s="25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5"/>
      <c r="N813" s="25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5"/>
      <c r="N814" s="25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5"/>
      <c r="N815" s="25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5"/>
      <c r="N816" s="25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5"/>
      <c r="N817" s="25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5"/>
      <c r="N818" s="25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5"/>
      <c r="N819" s="25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5"/>
      <c r="N820" s="25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5"/>
      <c r="N821" s="25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5"/>
      <c r="N822" s="25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5"/>
      <c r="N823" s="25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5"/>
      <c r="N824" s="25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5"/>
      <c r="N825" s="25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5"/>
      <c r="N826" s="25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5"/>
      <c r="N827" s="25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5"/>
      <c r="N828" s="25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5"/>
      <c r="N829" s="25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5"/>
      <c r="N830" s="25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5"/>
      <c r="N831" s="25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5"/>
      <c r="N832" s="25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5"/>
      <c r="N833" s="25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5"/>
      <c r="N834" s="25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5"/>
      <c r="N835" s="25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5"/>
      <c r="N836" s="25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5"/>
      <c r="N837" s="25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5"/>
      <c r="N838" s="25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5"/>
      <c r="N839" s="25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5"/>
      <c r="N840" s="25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5"/>
      <c r="N841" s="25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5"/>
      <c r="N842" s="25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5"/>
      <c r="N843" s="25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5"/>
      <c r="N844" s="25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5"/>
      <c r="N845" s="25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5"/>
      <c r="N846" s="25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5"/>
      <c r="N847" s="25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5"/>
      <c r="N848" s="25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5"/>
      <c r="N849" s="25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5"/>
      <c r="N850" s="25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5"/>
      <c r="N851" s="25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5"/>
      <c r="N852" s="25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5"/>
      <c r="N853" s="25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5"/>
      <c r="N854" s="25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5"/>
      <c r="N855" s="25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5"/>
      <c r="N856" s="25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5"/>
      <c r="N857" s="25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5"/>
      <c r="N858" s="25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5"/>
      <c r="N859" s="25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5"/>
      <c r="N860" s="25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5"/>
      <c r="N861" s="25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5"/>
      <c r="N862" s="25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5"/>
      <c r="N863" s="25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5"/>
      <c r="N864" s="25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5"/>
      <c r="N865" s="25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5"/>
      <c r="N866" s="25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5"/>
      <c r="N867" s="25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5"/>
      <c r="N868" s="25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5"/>
      <c r="N869" s="25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5"/>
      <c r="N870" s="25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5"/>
      <c r="N871" s="25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5"/>
      <c r="N872" s="25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5"/>
      <c r="N873" s="25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5"/>
      <c r="N874" s="25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5"/>
      <c r="N875" s="25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5"/>
      <c r="N876" s="25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5"/>
      <c r="N877" s="25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5"/>
      <c r="N878" s="25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5"/>
      <c r="N879" s="25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5"/>
      <c r="N880" s="25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5"/>
      <c r="N881" s="25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5"/>
      <c r="N882" s="25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5"/>
      <c r="N883" s="25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5"/>
      <c r="N884" s="25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5"/>
      <c r="N885" s="25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5"/>
      <c r="N886" s="25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5"/>
      <c r="N887" s="25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5"/>
      <c r="N888" s="25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5"/>
      <c r="N889" s="25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5"/>
      <c r="N890" s="25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5"/>
      <c r="N891" s="25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5"/>
      <c r="N892" s="25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5"/>
      <c r="N893" s="25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5"/>
      <c r="N894" s="25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5"/>
      <c r="N895" s="25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5"/>
      <c r="N896" s="25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5"/>
      <c r="N897" s="25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5"/>
      <c r="N898" s="25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5"/>
      <c r="N899" s="25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5"/>
      <c r="N900" s="25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5"/>
      <c r="N901" s="25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5"/>
      <c r="N902" s="25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5"/>
      <c r="N903" s="25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5"/>
      <c r="N904" s="25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5"/>
      <c r="N905" s="25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5"/>
      <c r="N906" s="25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5"/>
      <c r="N907" s="25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5"/>
      <c r="N908" s="25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5"/>
      <c r="N909" s="25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5"/>
      <c r="N910" s="25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5"/>
      <c r="N911" s="25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5"/>
      <c r="N912" s="25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5"/>
      <c r="N913" s="25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5"/>
      <c r="N914" s="25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5"/>
      <c r="N915" s="25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5"/>
      <c r="N916" s="25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5"/>
      <c r="N917" s="25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5"/>
      <c r="N918" s="25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5"/>
      <c r="N919" s="25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5"/>
      <c r="N920" s="25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5"/>
      <c r="N921" s="25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5"/>
      <c r="N922" s="25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5"/>
      <c r="N923" s="25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5"/>
      <c r="N924" s="25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5"/>
      <c r="N925" s="25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5"/>
      <c r="N926" s="25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5"/>
      <c r="N927" s="25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5"/>
      <c r="N928" s="25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5"/>
      <c r="N929" s="25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5"/>
      <c r="N930" s="25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5"/>
      <c r="N931" s="25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5"/>
      <c r="N932" s="25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5"/>
      <c r="N933" s="25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5"/>
      <c r="N934" s="25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5"/>
      <c r="N935" s="25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5"/>
      <c r="N936" s="25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5"/>
      <c r="N937" s="25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5"/>
      <c r="N938" s="25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5"/>
      <c r="N939" s="25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5"/>
      <c r="N940" s="25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5"/>
      <c r="N941" s="25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5"/>
      <c r="N942" s="25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5"/>
      <c r="N943" s="25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5"/>
      <c r="N944" s="25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5"/>
      <c r="N945" s="25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5"/>
      <c r="N946" s="25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5"/>
      <c r="N947" s="25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5"/>
      <c r="N948" s="25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5"/>
      <c r="N949" s="25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5"/>
      <c r="N950" s="25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5"/>
      <c r="N951" s="25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5"/>
      <c r="N952" s="25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5"/>
      <c r="N953" s="25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5"/>
      <c r="N954" s="25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5"/>
      <c r="N955" s="25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5"/>
      <c r="N956" s="25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5"/>
      <c r="N957" s="25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5"/>
      <c r="N958" s="25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5"/>
      <c r="N959" s="25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5"/>
      <c r="N960" s="25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5"/>
      <c r="N961" s="25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5"/>
      <c r="N962" s="25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5"/>
      <c r="N963" s="25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5"/>
      <c r="N964" s="25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5"/>
      <c r="N965" s="25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5"/>
      <c r="N966" s="25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5"/>
      <c r="N967" s="25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5"/>
      <c r="N968" s="25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5"/>
      <c r="N969" s="25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5"/>
      <c r="N970" s="25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5"/>
      <c r="N971" s="25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5"/>
      <c r="N972" s="25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5"/>
      <c r="N973" s="25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5"/>
      <c r="N974" s="25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5"/>
      <c r="N975" s="25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5"/>
      <c r="N976" s="25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5"/>
      <c r="N977" s="25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5"/>
      <c r="N978" s="25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5"/>
      <c r="N979" s="25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5"/>
      <c r="N980" s="25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5"/>
      <c r="N981" s="25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5"/>
      <c r="N982" s="25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5"/>
      <c r="N983" s="25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5"/>
      <c r="N984" s="25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5"/>
      <c r="N985" s="25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5"/>
      <c r="N986" s="25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5"/>
      <c r="N987" s="25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5"/>
      <c r="N988" s="25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5"/>
      <c r="N989" s="25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5"/>
      <c r="N990" s="25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5"/>
      <c r="N991" s="25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5"/>
      <c r="N992" s="25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5"/>
      <c r="N993" s="25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5"/>
      <c r="N994" s="25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5"/>
      <c r="N995" s="25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</sheetData>
  <autoFilter ref="$A$1:$N$45"/>
  <printOptions/>
  <pageMargins bottom="0.75" footer="0.0" header="0.0" left="0.7000000000000001" right="0.7000000000000001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9" width="11.0"/>
    <col customWidth="1" min="10" max="10" width="12.57"/>
    <col customWidth="1" min="11" max="11" width="11.0"/>
    <col customWidth="1" min="12" max="12" width="12.14"/>
    <col customWidth="1" min="13" max="13" width="11.71"/>
    <col customWidth="1" min="14" max="14" width="13.0"/>
    <col customWidth="1" min="15" max="15" width="4.14"/>
    <col customWidth="1" min="16" max="26" width="17.71"/>
  </cols>
  <sheetData>
    <row r="1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6" t="s">
        <v>76</v>
      </c>
      <c r="B2" s="39">
        <v>750000.0</v>
      </c>
      <c r="C2" s="39">
        <v>750000.0</v>
      </c>
      <c r="D2" s="39">
        <v>750000.0</v>
      </c>
      <c r="E2" s="39">
        <v>750000.0</v>
      </c>
      <c r="F2" s="39">
        <v>750000.0</v>
      </c>
      <c r="G2" s="39">
        <v>750000.0</v>
      </c>
      <c r="H2" s="39">
        <v>750000.0</v>
      </c>
      <c r="I2" s="39">
        <v>750000.0</v>
      </c>
      <c r="J2" s="39">
        <v>750000.0</v>
      </c>
      <c r="K2" s="39">
        <v>750000.0</v>
      </c>
      <c r="L2" s="39">
        <v>750000.0</v>
      </c>
      <c r="M2" s="39">
        <v>750000.0</v>
      </c>
      <c r="N2" s="39">
        <f t="shared" ref="N2:N19" si="1">SUM(B2:M2)</f>
        <v>9000000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20" t="s">
        <v>19</v>
      </c>
      <c r="B3" s="21">
        <v>270000.0</v>
      </c>
      <c r="C3" s="21">
        <v>270000.0</v>
      </c>
      <c r="D3" s="21">
        <v>270000.0</v>
      </c>
      <c r="E3" s="21">
        <v>270000.0</v>
      </c>
      <c r="F3" s="21">
        <v>270000.0</v>
      </c>
      <c r="G3" s="21">
        <v>270000.0</v>
      </c>
      <c r="H3" s="21">
        <v>270000.0</v>
      </c>
      <c r="I3" s="21">
        <v>270000.0</v>
      </c>
      <c r="J3" s="21">
        <v>270000.0</v>
      </c>
      <c r="K3" s="21">
        <v>270000.0</v>
      </c>
      <c r="L3" s="21">
        <v>270000.0</v>
      </c>
      <c r="M3" s="21">
        <v>270000.0</v>
      </c>
      <c r="N3" s="39">
        <f t="shared" si="1"/>
        <v>3240000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0" t="s">
        <v>77</v>
      </c>
      <c r="B4" s="21">
        <v>80000.0</v>
      </c>
      <c r="C4" s="21">
        <v>80000.0</v>
      </c>
      <c r="D4" s="21">
        <v>80000.0</v>
      </c>
      <c r="E4" s="21">
        <v>80000.0</v>
      </c>
      <c r="F4" s="21">
        <v>80000.0</v>
      </c>
      <c r="G4" s="21">
        <v>80000.0</v>
      </c>
      <c r="H4" s="21">
        <v>80000.0</v>
      </c>
      <c r="I4" s="21">
        <v>80000.0</v>
      </c>
      <c r="J4" s="21">
        <v>80000.0</v>
      </c>
      <c r="K4" s="21">
        <v>80000.0</v>
      </c>
      <c r="L4" s="21">
        <v>80000.0</v>
      </c>
      <c r="M4" s="21">
        <v>80000.0</v>
      </c>
      <c r="N4" s="39">
        <f t="shared" si="1"/>
        <v>960000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0" t="s">
        <v>78</v>
      </c>
      <c r="B5" s="21">
        <v>30000.0</v>
      </c>
      <c r="C5" s="21">
        <v>30000.0</v>
      </c>
      <c r="D5" s="21">
        <v>30000.0</v>
      </c>
      <c r="E5" s="21">
        <v>30000.0</v>
      </c>
      <c r="F5" s="21">
        <v>30000.0</v>
      </c>
      <c r="G5" s="21">
        <v>30000.0</v>
      </c>
      <c r="H5" s="21">
        <v>30000.0</v>
      </c>
      <c r="I5" s="21">
        <v>30000.0</v>
      </c>
      <c r="J5" s="21">
        <v>30000.0</v>
      </c>
      <c r="K5" s="21">
        <v>30000.0</v>
      </c>
      <c r="L5" s="21">
        <v>30000.0</v>
      </c>
      <c r="M5" s="21">
        <v>30000.0</v>
      </c>
      <c r="N5" s="39">
        <f t="shared" si="1"/>
        <v>360000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0" t="s">
        <v>79</v>
      </c>
      <c r="B6" s="21">
        <v>15000.0</v>
      </c>
      <c r="C6" s="21">
        <v>15000.0</v>
      </c>
      <c r="D6" s="21">
        <v>15000.0</v>
      </c>
      <c r="E6" s="21">
        <v>15000.0</v>
      </c>
      <c r="F6" s="21">
        <v>15000.0</v>
      </c>
      <c r="G6" s="21">
        <v>15000.0</v>
      </c>
      <c r="H6" s="21">
        <v>15000.0</v>
      </c>
      <c r="I6" s="21">
        <v>15000.0</v>
      </c>
      <c r="J6" s="21">
        <v>15000.0</v>
      </c>
      <c r="K6" s="21">
        <v>15000.0</v>
      </c>
      <c r="L6" s="21">
        <v>15000.0</v>
      </c>
      <c r="M6" s="21">
        <v>15000.0</v>
      </c>
      <c r="N6" s="39">
        <f t="shared" si="1"/>
        <v>180000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0" t="s">
        <v>80</v>
      </c>
      <c r="B7" s="21">
        <v>50000.0</v>
      </c>
      <c r="C7" s="21">
        <v>50000.0</v>
      </c>
      <c r="D7" s="21">
        <v>50000.0</v>
      </c>
      <c r="E7" s="21">
        <v>50000.0</v>
      </c>
      <c r="F7" s="21">
        <v>50000.0</v>
      </c>
      <c r="G7" s="21">
        <v>50000.0</v>
      </c>
      <c r="H7" s="21">
        <v>50000.0</v>
      </c>
      <c r="I7" s="21">
        <v>50000.0</v>
      </c>
      <c r="J7" s="21">
        <v>50000.0</v>
      </c>
      <c r="K7" s="21">
        <v>50000.0</v>
      </c>
      <c r="L7" s="21">
        <v>50000.0</v>
      </c>
      <c r="M7" s="21">
        <v>50000.0</v>
      </c>
      <c r="N7" s="39">
        <f t="shared" si="1"/>
        <v>600000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0" t="s">
        <v>81</v>
      </c>
      <c r="B8" s="21">
        <v>20000.0</v>
      </c>
      <c r="C8" s="21">
        <v>20000.0</v>
      </c>
      <c r="D8" s="21">
        <v>20000.0</v>
      </c>
      <c r="E8" s="21">
        <v>20000.0</v>
      </c>
      <c r="F8" s="21">
        <v>20000.0</v>
      </c>
      <c r="G8" s="21">
        <v>20000.0</v>
      </c>
      <c r="H8" s="21">
        <v>20000.0</v>
      </c>
      <c r="I8" s="21">
        <v>20000.0</v>
      </c>
      <c r="J8" s="21">
        <v>20000.0</v>
      </c>
      <c r="K8" s="21">
        <v>20000.0</v>
      </c>
      <c r="L8" s="21">
        <v>20000.0</v>
      </c>
      <c r="M8" s="21">
        <v>20000.0</v>
      </c>
      <c r="N8" s="39">
        <f t="shared" si="1"/>
        <v>240000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0" t="s">
        <v>82</v>
      </c>
      <c r="B9" s="21">
        <f t="shared" ref="B9:M9" si="2">5000+5000</f>
        <v>10000</v>
      </c>
      <c r="C9" s="21">
        <f t="shared" si="2"/>
        <v>10000</v>
      </c>
      <c r="D9" s="21">
        <f t="shared" si="2"/>
        <v>10000</v>
      </c>
      <c r="E9" s="21">
        <f t="shared" si="2"/>
        <v>10000</v>
      </c>
      <c r="F9" s="21">
        <f t="shared" si="2"/>
        <v>10000</v>
      </c>
      <c r="G9" s="21">
        <f t="shared" si="2"/>
        <v>10000</v>
      </c>
      <c r="H9" s="21">
        <f t="shared" si="2"/>
        <v>10000</v>
      </c>
      <c r="I9" s="21">
        <f t="shared" si="2"/>
        <v>10000</v>
      </c>
      <c r="J9" s="21">
        <f t="shared" si="2"/>
        <v>10000</v>
      </c>
      <c r="K9" s="21">
        <f t="shared" si="2"/>
        <v>10000</v>
      </c>
      <c r="L9" s="21">
        <f t="shared" si="2"/>
        <v>10000</v>
      </c>
      <c r="M9" s="21">
        <f t="shared" si="2"/>
        <v>10000</v>
      </c>
      <c r="N9" s="39">
        <f t="shared" si="1"/>
        <v>120000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0" t="s">
        <v>83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39">
        <f t="shared" si="1"/>
        <v>0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0" t="s">
        <v>84</v>
      </c>
      <c r="B11" s="21">
        <f t="shared" ref="B11:M11" si="3">30000+10000</f>
        <v>40000</v>
      </c>
      <c r="C11" s="21">
        <f t="shared" si="3"/>
        <v>40000</v>
      </c>
      <c r="D11" s="21">
        <f t="shared" si="3"/>
        <v>40000</v>
      </c>
      <c r="E11" s="21">
        <f t="shared" si="3"/>
        <v>40000</v>
      </c>
      <c r="F11" s="21">
        <f t="shared" si="3"/>
        <v>40000</v>
      </c>
      <c r="G11" s="21">
        <f t="shared" si="3"/>
        <v>40000</v>
      </c>
      <c r="H11" s="21">
        <f t="shared" si="3"/>
        <v>40000</v>
      </c>
      <c r="I11" s="21">
        <f t="shared" si="3"/>
        <v>40000</v>
      </c>
      <c r="J11" s="21">
        <f t="shared" si="3"/>
        <v>40000</v>
      </c>
      <c r="K11" s="21">
        <f t="shared" si="3"/>
        <v>40000</v>
      </c>
      <c r="L11" s="21">
        <f t="shared" si="3"/>
        <v>40000</v>
      </c>
      <c r="M11" s="21">
        <f t="shared" si="3"/>
        <v>40000</v>
      </c>
      <c r="N11" s="39">
        <f t="shared" si="1"/>
        <v>480000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0" t="s">
        <v>85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9">
        <f t="shared" si="1"/>
        <v>0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0" t="s">
        <v>86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39">
        <f t="shared" si="1"/>
        <v>0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0" t="s">
        <v>87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9">
        <f t="shared" si="1"/>
        <v>0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39">
        <f t="shared" si="1"/>
        <v>0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0" t="s">
        <v>88</v>
      </c>
      <c r="B16" s="21">
        <v>85000.0</v>
      </c>
      <c r="C16" s="21">
        <v>85000.0</v>
      </c>
      <c r="D16" s="21">
        <v>85000.0</v>
      </c>
      <c r="E16" s="21">
        <v>85000.0</v>
      </c>
      <c r="F16" s="21">
        <v>85000.0</v>
      </c>
      <c r="G16" s="21">
        <v>85000.0</v>
      </c>
      <c r="H16" s="21">
        <v>85000.0</v>
      </c>
      <c r="I16" s="21">
        <v>85000.0</v>
      </c>
      <c r="J16" s="21">
        <v>85000.0</v>
      </c>
      <c r="K16" s="21">
        <v>85000.0</v>
      </c>
      <c r="L16" s="21"/>
      <c r="M16" s="21"/>
      <c r="N16" s="39">
        <f t="shared" si="1"/>
        <v>850000</v>
      </c>
      <c r="O16" s="24"/>
      <c r="P16" s="40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0" t="s">
        <v>89</v>
      </c>
      <c r="B17" s="21">
        <v>100000.0</v>
      </c>
      <c r="C17" s="21">
        <v>100000.0</v>
      </c>
      <c r="D17" s="21">
        <v>100000.0</v>
      </c>
      <c r="E17" s="21">
        <v>100000.0</v>
      </c>
      <c r="F17" s="21">
        <v>100000.0</v>
      </c>
      <c r="G17" s="21">
        <v>0.0</v>
      </c>
      <c r="H17" s="21"/>
      <c r="I17" s="21"/>
      <c r="J17" s="21"/>
      <c r="K17" s="21"/>
      <c r="L17" s="21"/>
      <c r="M17" s="21"/>
      <c r="N17" s="39">
        <f t="shared" si="1"/>
        <v>500000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0" t="s">
        <v>90</v>
      </c>
      <c r="B18" s="21">
        <v>50000.0</v>
      </c>
      <c r="C18" s="21">
        <v>50000.0</v>
      </c>
      <c r="D18" s="21">
        <v>50000.0</v>
      </c>
      <c r="E18" s="21">
        <v>50000.0</v>
      </c>
      <c r="F18" s="21">
        <v>50000.0</v>
      </c>
      <c r="G18" s="21">
        <v>50000.0</v>
      </c>
      <c r="H18" s="21">
        <v>50000.0</v>
      </c>
      <c r="I18" s="21">
        <v>50000.0</v>
      </c>
      <c r="J18" s="21">
        <v>50000.0</v>
      </c>
      <c r="K18" s="21">
        <v>50000.0</v>
      </c>
      <c r="L18" s="21">
        <v>50000.0</v>
      </c>
      <c r="M18" s="21">
        <v>50000.0</v>
      </c>
      <c r="N18" s="39">
        <f t="shared" si="1"/>
        <v>600000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36" t="s">
        <v>62</v>
      </c>
      <c r="B19" s="39">
        <f t="shared" ref="B19:M19" si="4">SUM(B3:B18)</f>
        <v>750000</v>
      </c>
      <c r="C19" s="39">
        <f t="shared" si="4"/>
        <v>750000</v>
      </c>
      <c r="D19" s="39">
        <f t="shared" si="4"/>
        <v>750000</v>
      </c>
      <c r="E19" s="39">
        <f t="shared" si="4"/>
        <v>750000</v>
      </c>
      <c r="F19" s="39">
        <f t="shared" si="4"/>
        <v>750000</v>
      </c>
      <c r="G19" s="39">
        <f t="shared" si="4"/>
        <v>650000</v>
      </c>
      <c r="H19" s="39">
        <f t="shared" si="4"/>
        <v>650000</v>
      </c>
      <c r="I19" s="39">
        <f t="shared" si="4"/>
        <v>650000</v>
      </c>
      <c r="J19" s="39">
        <f t="shared" si="4"/>
        <v>650000</v>
      </c>
      <c r="K19" s="39">
        <f t="shared" si="4"/>
        <v>650000</v>
      </c>
      <c r="L19" s="39">
        <f t="shared" si="4"/>
        <v>565000</v>
      </c>
      <c r="M19" s="39">
        <f t="shared" si="4"/>
        <v>565000</v>
      </c>
      <c r="N19" s="39">
        <f t="shared" si="1"/>
        <v>8130000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41" t="s">
        <v>63</v>
      </c>
      <c r="B20" s="39">
        <f t="shared" ref="B20:N20" si="5">B2-B19</f>
        <v>0</v>
      </c>
      <c r="C20" s="39">
        <f t="shared" si="5"/>
        <v>0</v>
      </c>
      <c r="D20" s="39">
        <f t="shared" si="5"/>
        <v>0</v>
      </c>
      <c r="E20" s="39">
        <f t="shared" si="5"/>
        <v>0</v>
      </c>
      <c r="F20" s="39">
        <f t="shared" si="5"/>
        <v>0</v>
      </c>
      <c r="G20" s="39">
        <f t="shared" si="5"/>
        <v>100000</v>
      </c>
      <c r="H20" s="39">
        <f t="shared" si="5"/>
        <v>100000</v>
      </c>
      <c r="I20" s="39">
        <f t="shared" si="5"/>
        <v>100000</v>
      </c>
      <c r="J20" s="39">
        <f t="shared" si="5"/>
        <v>100000</v>
      </c>
      <c r="K20" s="39">
        <f t="shared" si="5"/>
        <v>100000</v>
      </c>
      <c r="L20" s="39">
        <f t="shared" si="5"/>
        <v>185000</v>
      </c>
      <c r="M20" s="39">
        <f t="shared" si="5"/>
        <v>185000</v>
      </c>
      <c r="N20" s="39">
        <f t="shared" si="5"/>
        <v>870000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24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3"/>
      <c r="N21" s="4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25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25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5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  <c r="N25" s="25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5"/>
      <c r="N26" s="25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  <c r="N27" s="25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N28" s="25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5"/>
      <c r="N29" s="25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5"/>
      <c r="N30" s="25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5"/>
      <c r="N31" s="25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5"/>
      <c r="N32" s="25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5"/>
      <c r="N33" s="25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5"/>
      <c r="N34" s="25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5"/>
      <c r="N35" s="25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/>
      <c r="N36" s="25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5"/>
      <c r="N37" s="25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5"/>
      <c r="N38" s="25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5"/>
      <c r="N39" s="25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/>
      <c r="N40" s="25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5"/>
      <c r="N41" s="25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5"/>
      <c r="N42" s="25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5"/>
      <c r="N43" s="25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5"/>
      <c r="N44" s="25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5"/>
      <c r="N45" s="25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5"/>
      <c r="N46" s="25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5"/>
      <c r="N47" s="25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5"/>
      <c r="N48" s="25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5"/>
      <c r="N49" s="25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5"/>
      <c r="N50" s="25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5"/>
      <c r="N51" s="25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5"/>
      <c r="N52" s="25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5"/>
      <c r="N53" s="25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5"/>
      <c r="N54" s="25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5"/>
      <c r="N55" s="25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5"/>
      <c r="N56" s="25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5"/>
      <c r="N57" s="25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5"/>
      <c r="N58" s="25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5"/>
      <c r="N59" s="25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5"/>
      <c r="N60" s="25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5"/>
      <c r="N61" s="25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5"/>
      <c r="N62" s="25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5"/>
      <c r="N63" s="25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N64" s="25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5"/>
      <c r="N65" s="25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5"/>
      <c r="N66" s="25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5"/>
      <c r="N67" s="25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5"/>
      <c r="N68" s="25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5"/>
      <c r="N69" s="25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5"/>
      <c r="N70" s="25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5"/>
      <c r="N71" s="25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5"/>
      <c r="N72" s="25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5"/>
      <c r="N73" s="25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5"/>
      <c r="N74" s="25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5"/>
      <c r="N75" s="25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5"/>
      <c r="N76" s="25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5"/>
      <c r="N77" s="25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5"/>
      <c r="N78" s="25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5"/>
      <c r="N79" s="25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5"/>
      <c r="N80" s="25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5"/>
      <c r="N81" s="25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5"/>
      <c r="N82" s="25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5"/>
      <c r="N83" s="25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5"/>
      <c r="N84" s="25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5"/>
      <c r="N85" s="25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5"/>
      <c r="N86" s="25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5"/>
      <c r="N87" s="25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5"/>
      <c r="N88" s="25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5"/>
      <c r="N89" s="25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5"/>
      <c r="N90" s="25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5"/>
      <c r="N91" s="25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5"/>
      <c r="N92" s="25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5"/>
      <c r="N93" s="25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5"/>
      <c r="N94" s="25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5"/>
      <c r="N95" s="25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5"/>
      <c r="N96" s="25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5"/>
      <c r="N97" s="25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5"/>
      <c r="N98" s="25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5"/>
      <c r="N99" s="25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5"/>
      <c r="N100" s="25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5"/>
      <c r="N101" s="25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5"/>
      <c r="N102" s="25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5"/>
      <c r="N103" s="25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5"/>
      <c r="N104" s="25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5"/>
      <c r="N105" s="25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5"/>
      <c r="N106" s="25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5"/>
      <c r="N107" s="25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5"/>
      <c r="N108" s="25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5"/>
      <c r="N109" s="25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5"/>
      <c r="N110" s="25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5"/>
      <c r="N111" s="25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5"/>
      <c r="N112" s="25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5"/>
      <c r="N113" s="25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5"/>
      <c r="N114" s="25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5"/>
      <c r="N115" s="25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5"/>
      <c r="N116" s="25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5"/>
      <c r="N117" s="25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5"/>
      <c r="N118" s="25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5"/>
      <c r="N119" s="25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5"/>
      <c r="N120" s="25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5"/>
      <c r="N121" s="25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5"/>
      <c r="N122" s="25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5"/>
      <c r="N123" s="25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5"/>
      <c r="N124" s="25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5"/>
      <c r="N125" s="25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5"/>
      <c r="N126" s="25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5"/>
      <c r="N127" s="25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5"/>
      <c r="N128" s="25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5"/>
      <c r="N129" s="25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N130" s="25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5"/>
      <c r="N131" s="25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5"/>
      <c r="N132" s="25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5"/>
      <c r="N133" s="25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5"/>
      <c r="N134" s="25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5"/>
      <c r="N135" s="25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5"/>
      <c r="N136" s="25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5"/>
      <c r="N137" s="25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5"/>
      <c r="N138" s="25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5"/>
      <c r="N139" s="25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5"/>
      <c r="N140" s="25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5"/>
      <c r="N141" s="25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5"/>
      <c r="N142" s="25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5"/>
      <c r="N143" s="25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5"/>
      <c r="N144" s="25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5"/>
      <c r="N145" s="25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5"/>
      <c r="N146" s="25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5"/>
      <c r="N147" s="25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5"/>
      <c r="N148" s="25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5"/>
      <c r="N149" s="25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5"/>
      <c r="N150" s="25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5"/>
      <c r="N151" s="25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5"/>
      <c r="N152" s="25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5"/>
      <c r="N153" s="25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5"/>
      <c r="N154" s="25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5"/>
      <c r="N155" s="25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5"/>
      <c r="N156" s="25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5"/>
      <c r="N157" s="25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5"/>
      <c r="N158" s="25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5"/>
      <c r="N159" s="25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5"/>
      <c r="N160" s="25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5"/>
      <c r="N161" s="25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5"/>
      <c r="N162" s="25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5"/>
      <c r="N163" s="25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5"/>
      <c r="N164" s="25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5"/>
      <c r="N165" s="25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5"/>
      <c r="N166" s="25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5"/>
      <c r="N167" s="25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5"/>
      <c r="N168" s="25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5"/>
      <c r="N169" s="25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5"/>
      <c r="N170" s="25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5"/>
      <c r="N171" s="25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5"/>
      <c r="N172" s="25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5"/>
      <c r="N173" s="25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5"/>
      <c r="N174" s="25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5"/>
      <c r="N175" s="25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5"/>
      <c r="N176" s="25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  <c r="N177" s="25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5"/>
      <c r="N178" s="25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5"/>
      <c r="N179" s="25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5"/>
      <c r="N180" s="25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5"/>
      <c r="N181" s="25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5"/>
      <c r="N182" s="25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5"/>
      <c r="N183" s="25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5"/>
      <c r="N184" s="25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5"/>
      <c r="N185" s="25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5"/>
      <c r="N186" s="25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5"/>
      <c r="N187" s="25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5"/>
      <c r="N188" s="25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5"/>
      <c r="N189" s="25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5"/>
      <c r="N190" s="25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5"/>
      <c r="N191" s="25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5"/>
      <c r="N192" s="25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5"/>
      <c r="N193" s="25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5"/>
      <c r="N194" s="25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5"/>
      <c r="N195" s="25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5"/>
      <c r="N196" s="25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5"/>
      <c r="N197" s="25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5"/>
      <c r="N198" s="25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5"/>
      <c r="N199" s="25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5"/>
      <c r="N200" s="25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5"/>
      <c r="N201" s="25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5"/>
      <c r="N202" s="25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5"/>
      <c r="N203" s="25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5"/>
      <c r="N204" s="25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5"/>
      <c r="N205" s="25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5"/>
      <c r="N206" s="25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5"/>
      <c r="N207" s="25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5"/>
      <c r="N208" s="25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5"/>
      <c r="N209" s="25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5"/>
      <c r="N210" s="25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5"/>
      <c r="N211" s="25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5"/>
      <c r="N212" s="25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5"/>
      <c r="N213" s="25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5"/>
      <c r="N214" s="25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5"/>
      <c r="N215" s="25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5"/>
      <c r="N216" s="25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5"/>
      <c r="N217" s="25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5"/>
      <c r="N218" s="25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5"/>
      <c r="N219" s="25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5"/>
      <c r="N220" s="25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5"/>
      <c r="N221" s="25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5"/>
      <c r="N222" s="25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5"/>
      <c r="N223" s="25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5"/>
      <c r="N224" s="25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5"/>
      <c r="N225" s="25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5"/>
      <c r="N226" s="25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5"/>
      <c r="N227" s="25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5"/>
      <c r="N228" s="25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5"/>
      <c r="N229" s="25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5"/>
      <c r="N230" s="25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5"/>
      <c r="N231" s="25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5"/>
      <c r="N232" s="25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5"/>
      <c r="N233" s="25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5"/>
      <c r="N234" s="25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5"/>
      <c r="N235" s="25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5"/>
      <c r="N236" s="25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5"/>
      <c r="N237" s="25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5"/>
      <c r="N238" s="25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5"/>
      <c r="N239" s="25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5"/>
      <c r="N240" s="25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5"/>
      <c r="N241" s="25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5"/>
      <c r="N242" s="25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5"/>
      <c r="N243" s="25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5"/>
      <c r="N244" s="25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5"/>
      <c r="N245" s="25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5"/>
      <c r="N246" s="25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5"/>
      <c r="N247" s="25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5"/>
      <c r="N248" s="25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5"/>
      <c r="N249" s="25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5"/>
      <c r="N250" s="25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5"/>
      <c r="N251" s="25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5"/>
      <c r="N252" s="25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5"/>
      <c r="N253" s="25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5"/>
      <c r="N254" s="25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5"/>
      <c r="N255" s="25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5"/>
      <c r="N256" s="25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5"/>
      <c r="N257" s="25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5"/>
      <c r="N258" s="25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5"/>
      <c r="N259" s="25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5"/>
      <c r="N260" s="25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5"/>
      <c r="N261" s="25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5"/>
      <c r="N262" s="25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5"/>
      <c r="N263" s="25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5"/>
      <c r="N264" s="25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5"/>
      <c r="N265" s="25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5"/>
      <c r="N266" s="25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5"/>
      <c r="N267" s="25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5"/>
      <c r="N268" s="25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5"/>
      <c r="N269" s="25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5"/>
      <c r="N270" s="25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5"/>
      <c r="N271" s="25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5"/>
      <c r="N272" s="25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5"/>
      <c r="N273" s="25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5"/>
      <c r="N274" s="25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5"/>
      <c r="N275" s="25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5"/>
      <c r="N276" s="25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5"/>
      <c r="N277" s="25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5"/>
      <c r="N278" s="25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5"/>
      <c r="N279" s="25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5"/>
      <c r="N280" s="25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5"/>
      <c r="N281" s="25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5"/>
      <c r="N282" s="25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5"/>
      <c r="N283" s="25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5"/>
      <c r="N284" s="25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5"/>
      <c r="N285" s="25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5"/>
      <c r="N286" s="25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5"/>
      <c r="N287" s="25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5"/>
      <c r="N288" s="25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5"/>
      <c r="N289" s="25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5"/>
      <c r="N290" s="25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5"/>
      <c r="N291" s="25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5"/>
      <c r="N292" s="25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5"/>
      <c r="N293" s="25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5"/>
      <c r="N294" s="25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5"/>
      <c r="N295" s="25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5"/>
      <c r="N296" s="25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5"/>
      <c r="N297" s="25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5"/>
      <c r="N298" s="25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5"/>
      <c r="N299" s="25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5"/>
      <c r="N300" s="25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5"/>
      <c r="N301" s="25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5"/>
      <c r="N302" s="25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5"/>
      <c r="N303" s="25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5"/>
      <c r="N304" s="25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5"/>
      <c r="N305" s="25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5"/>
      <c r="N306" s="25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5"/>
      <c r="N307" s="25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5"/>
      <c r="N308" s="25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5"/>
      <c r="N309" s="25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5"/>
      <c r="N310" s="25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5"/>
      <c r="N311" s="25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5"/>
      <c r="N312" s="25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5"/>
      <c r="N313" s="25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5"/>
      <c r="N314" s="25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5"/>
      <c r="N315" s="25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5"/>
      <c r="N316" s="25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5"/>
      <c r="N317" s="25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5"/>
      <c r="N318" s="25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5"/>
      <c r="N319" s="25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5"/>
      <c r="N320" s="25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5"/>
      <c r="N321" s="25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5"/>
      <c r="N322" s="25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5"/>
      <c r="N323" s="25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5"/>
      <c r="N324" s="25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5"/>
      <c r="N325" s="25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5"/>
      <c r="N326" s="25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5"/>
      <c r="N327" s="25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5"/>
      <c r="N328" s="25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5"/>
      <c r="N329" s="25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5"/>
      <c r="N330" s="25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5"/>
      <c r="N331" s="25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5"/>
      <c r="N332" s="25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5"/>
      <c r="N333" s="25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5"/>
      <c r="N334" s="25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5"/>
      <c r="N335" s="25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5"/>
      <c r="N336" s="25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5"/>
      <c r="N337" s="25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5"/>
      <c r="N338" s="25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5"/>
      <c r="N339" s="25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5"/>
      <c r="N340" s="25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5"/>
      <c r="N341" s="25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5"/>
      <c r="N342" s="25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5"/>
      <c r="N343" s="25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5"/>
      <c r="N344" s="25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5"/>
      <c r="N345" s="25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5"/>
      <c r="N346" s="25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5"/>
      <c r="N347" s="25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5"/>
      <c r="N348" s="25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5"/>
      <c r="N349" s="25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5"/>
      <c r="N350" s="25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5"/>
      <c r="N351" s="25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5"/>
      <c r="N352" s="25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5"/>
      <c r="N353" s="25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5"/>
      <c r="N354" s="25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5"/>
      <c r="N355" s="25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5"/>
      <c r="N356" s="25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5"/>
      <c r="N357" s="25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5"/>
      <c r="N358" s="25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5"/>
      <c r="N359" s="25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5"/>
      <c r="N360" s="25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5"/>
      <c r="N361" s="25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5"/>
      <c r="N362" s="25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5"/>
      <c r="N363" s="25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5"/>
      <c r="N364" s="25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5"/>
      <c r="N365" s="25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5"/>
      <c r="N366" s="25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5"/>
      <c r="N367" s="25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5"/>
      <c r="N368" s="25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5"/>
      <c r="N369" s="25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5"/>
      <c r="N370" s="25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5"/>
      <c r="N371" s="25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5"/>
      <c r="N372" s="25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5"/>
      <c r="N373" s="25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5"/>
      <c r="N374" s="25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5"/>
      <c r="N375" s="25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5"/>
      <c r="N376" s="25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5"/>
      <c r="N377" s="25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5"/>
      <c r="N378" s="25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5"/>
      <c r="N379" s="25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5"/>
      <c r="N380" s="25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5"/>
      <c r="N381" s="25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5"/>
      <c r="N382" s="25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5"/>
      <c r="N383" s="25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5"/>
      <c r="N384" s="25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5"/>
      <c r="N385" s="25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5"/>
      <c r="N386" s="25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5"/>
      <c r="N387" s="25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5"/>
      <c r="N388" s="25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5"/>
      <c r="N389" s="25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5"/>
      <c r="N390" s="25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5"/>
      <c r="N391" s="25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5"/>
      <c r="N392" s="25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5"/>
      <c r="N393" s="25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5"/>
      <c r="N394" s="25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5"/>
      <c r="N395" s="25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5"/>
      <c r="N396" s="25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5"/>
      <c r="N397" s="25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5"/>
      <c r="N398" s="25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5"/>
      <c r="N399" s="25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5"/>
      <c r="N400" s="25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5"/>
      <c r="N401" s="25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5"/>
      <c r="N402" s="25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5"/>
      <c r="N403" s="25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5"/>
      <c r="N404" s="25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5"/>
      <c r="N405" s="25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5"/>
      <c r="N406" s="25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5"/>
      <c r="N407" s="25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5"/>
      <c r="N408" s="25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5"/>
      <c r="N409" s="25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5"/>
      <c r="N410" s="25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5"/>
      <c r="N411" s="25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5"/>
      <c r="N412" s="25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5"/>
      <c r="N413" s="25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5"/>
      <c r="N414" s="25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5"/>
      <c r="N415" s="25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5"/>
      <c r="N416" s="25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5"/>
      <c r="N417" s="25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5"/>
      <c r="N418" s="25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5"/>
      <c r="N419" s="25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5"/>
      <c r="N420" s="25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5"/>
      <c r="N421" s="25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5"/>
      <c r="N422" s="25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5"/>
      <c r="N423" s="25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5"/>
      <c r="N424" s="25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5"/>
      <c r="N425" s="25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5"/>
      <c r="N426" s="25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5"/>
      <c r="N427" s="25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5"/>
      <c r="N428" s="25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5"/>
      <c r="N429" s="25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5"/>
      <c r="N430" s="25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5"/>
      <c r="N431" s="25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5"/>
      <c r="N432" s="25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5"/>
      <c r="N433" s="25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5"/>
      <c r="N434" s="25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5"/>
      <c r="N435" s="25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5"/>
      <c r="N436" s="25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5"/>
      <c r="N437" s="25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5"/>
      <c r="N438" s="25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5"/>
      <c r="N439" s="25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5"/>
      <c r="N440" s="25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5"/>
      <c r="N441" s="25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5"/>
      <c r="N442" s="25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5"/>
      <c r="N443" s="25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5"/>
      <c r="N444" s="25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5"/>
      <c r="N445" s="25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5"/>
      <c r="N446" s="25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5"/>
      <c r="N447" s="25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5"/>
      <c r="N448" s="25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5"/>
      <c r="N449" s="25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5"/>
      <c r="N450" s="25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5"/>
      <c r="N451" s="25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5"/>
      <c r="N452" s="25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5"/>
      <c r="N453" s="25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5"/>
      <c r="N454" s="25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5"/>
      <c r="N455" s="25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5"/>
      <c r="N456" s="25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5"/>
      <c r="N457" s="25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5"/>
      <c r="N458" s="25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5"/>
      <c r="N459" s="25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5"/>
      <c r="N460" s="25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5"/>
      <c r="N461" s="25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5"/>
      <c r="N462" s="25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5"/>
      <c r="N463" s="25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5"/>
      <c r="N464" s="25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5"/>
      <c r="N465" s="25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5"/>
      <c r="N466" s="25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5"/>
      <c r="N467" s="25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5"/>
      <c r="N468" s="25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5"/>
      <c r="N469" s="25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5"/>
      <c r="N470" s="25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5"/>
      <c r="N471" s="25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5"/>
      <c r="N472" s="25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5"/>
      <c r="N473" s="25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5"/>
      <c r="N474" s="25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5"/>
      <c r="N475" s="25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5"/>
      <c r="N476" s="25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5"/>
      <c r="N477" s="25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5"/>
      <c r="N478" s="25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5"/>
      <c r="N479" s="25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5"/>
      <c r="N480" s="25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5"/>
      <c r="N481" s="25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5"/>
      <c r="N482" s="25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5"/>
      <c r="N483" s="25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5"/>
      <c r="N484" s="25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5"/>
      <c r="N485" s="25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5"/>
      <c r="N486" s="25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5"/>
      <c r="N487" s="25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5"/>
      <c r="N488" s="25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5"/>
      <c r="N489" s="25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5"/>
      <c r="N490" s="25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5"/>
      <c r="N491" s="25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5"/>
      <c r="N492" s="25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5"/>
      <c r="N493" s="25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5"/>
      <c r="N494" s="25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5"/>
      <c r="N495" s="25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5"/>
      <c r="N496" s="25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5"/>
      <c r="N497" s="25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5"/>
      <c r="N498" s="25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5"/>
      <c r="N499" s="25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5"/>
      <c r="N500" s="25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5"/>
      <c r="N501" s="25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5"/>
      <c r="N502" s="25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5"/>
      <c r="N503" s="25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5"/>
      <c r="N504" s="25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5"/>
      <c r="N505" s="25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5"/>
      <c r="N506" s="25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5"/>
      <c r="N507" s="25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5"/>
      <c r="N508" s="25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5"/>
      <c r="N509" s="25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5"/>
      <c r="N510" s="25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5"/>
      <c r="N511" s="25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5"/>
      <c r="N512" s="25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5"/>
      <c r="N513" s="25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5"/>
      <c r="N514" s="25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5"/>
      <c r="N515" s="25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5"/>
      <c r="N516" s="25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5"/>
      <c r="N517" s="25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5"/>
      <c r="N518" s="25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5"/>
      <c r="N519" s="25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5"/>
      <c r="N520" s="25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5"/>
      <c r="N521" s="25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5"/>
      <c r="N522" s="25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5"/>
      <c r="N523" s="25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5"/>
      <c r="N524" s="25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5"/>
      <c r="N525" s="25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5"/>
      <c r="N526" s="25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5"/>
      <c r="N527" s="25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5"/>
      <c r="N528" s="25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5"/>
      <c r="N529" s="25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5"/>
      <c r="N530" s="25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5"/>
      <c r="N531" s="25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5"/>
      <c r="N532" s="25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5"/>
      <c r="N533" s="25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5"/>
      <c r="N534" s="25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5"/>
      <c r="N535" s="25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5"/>
      <c r="N536" s="25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5"/>
      <c r="N537" s="25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5"/>
      <c r="N538" s="25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5"/>
      <c r="N539" s="25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5"/>
      <c r="N540" s="25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5"/>
      <c r="N541" s="25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5"/>
      <c r="N542" s="25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5"/>
      <c r="N543" s="25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5"/>
      <c r="N544" s="25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5"/>
      <c r="N545" s="25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5"/>
      <c r="N546" s="25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5"/>
      <c r="N547" s="25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5"/>
      <c r="N548" s="25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5"/>
      <c r="N549" s="25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5"/>
      <c r="N550" s="25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5"/>
      <c r="N551" s="25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5"/>
      <c r="N552" s="25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5"/>
      <c r="N553" s="25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5"/>
      <c r="N554" s="25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5"/>
      <c r="N555" s="25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5"/>
      <c r="N556" s="25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5"/>
      <c r="N557" s="25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5"/>
      <c r="N558" s="25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5"/>
      <c r="N559" s="25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5"/>
      <c r="N560" s="25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5"/>
      <c r="N561" s="25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5"/>
      <c r="N562" s="25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5"/>
      <c r="N563" s="25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5"/>
      <c r="N564" s="25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5"/>
      <c r="N565" s="25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5"/>
      <c r="N566" s="25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5"/>
      <c r="N567" s="25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5"/>
      <c r="N568" s="25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5"/>
      <c r="N569" s="25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5"/>
      <c r="N570" s="25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5"/>
      <c r="N571" s="25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5"/>
      <c r="N572" s="25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5"/>
      <c r="N573" s="25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5"/>
      <c r="N574" s="25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5"/>
      <c r="N575" s="25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5"/>
      <c r="N576" s="25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5"/>
      <c r="N577" s="25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5"/>
      <c r="N578" s="25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5"/>
      <c r="N579" s="25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5"/>
      <c r="N580" s="25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5"/>
      <c r="N581" s="25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5"/>
      <c r="N582" s="25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5"/>
      <c r="N583" s="25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5"/>
      <c r="N584" s="25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5"/>
      <c r="N585" s="25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5"/>
      <c r="N586" s="25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5"/>
      <c r="N587" s="25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5"/>
      <c r="N588" s="25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5"/>
      <c r="N589" s="25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5"/>
      <c r="N590" s="25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5"/>
      <c r="N591" s="25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5"/>
      <c r="N592" s="25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5"/>
      <c r="N593" s="25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5"/>
      <c r="N594" s="25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5"/>
      <c r="N595" s="25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5"/>
      <c r="N596" s="25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5"/>
      <c r="N597" s="25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5"/>
      <c r="N598" s="25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5"/>
      <c r="N599" s="25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5"/>
      <c r="N600" s="25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5"/>
      <c r="N601" s="25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5"/>
      <c r="N602" s="25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5"/>
      <c r="N603" s="25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5"/>
      <c r="N604" s="25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5"/>
      <c r="N605" s="25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5"/>
      <c r="N606" s="25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5"/>
      <c r="N607" s="25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5"/>
      <c r="N608" s="25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5"/>
      <c r="N609" s="25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5"/>
      <c r="N610" s="25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5"/>
      <c r="N611" s="25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5"/>
      <c r="N612" s="25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5"/>
      <c r="N613" s="25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5"/>
      <c r="N614" s="25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5"/>
      <c r="N615" s="25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5"/>
      <c r="N616" s="25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5"/>
      <c r="N617" s="25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5"/>
      <c r="N618" s="25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5"/>
      <c r="N619" s="25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5"/>
      <c r="N620" s="25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5"/>
      <c r="N621" s="25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5"/>
      <c r="N622" s="25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5"/>
      <c r="N623" s="25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5"/>
      <c r="N624" s="25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5"/>
      <c r="N625" s="25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5"/>
      <c r="N626" s="25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5"/>
      <c r="N627" s="25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5"/>
      <c r="N628" s="25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5"/>
      <c r="N629" s="25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5"/>
      <c r="N630" s="25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5"/>
      <c r="N631" s="25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5"/>
      <c r="N632" s="25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5"/>
      <c r="N633" s="25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5"/>
      <c r="N634" s="25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5"/>
      <c r="N635" s="25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5"/>
      <c r="N636" s="25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5"/>
      <c r="N637" s="25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5"/>
      <c r="N638" s="25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5"/>
      <c r="N639" s="25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5"/>
      <c r="N640" s="25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5"/>
      <c r="N641" s="25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5"/>
      <c r="N642" s="25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5"/>
      <c r="N643" s="25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5"/>
      <c r="N644" s="25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5"/>
      <c r="N645" s="25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5"/>
      <c r="N646" s="25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5"/>
      <c r="N647" s="25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5"/>
      <c r="N648" s="25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5"/>
      <c r="N649" s="25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5"/>
      <c r="N650" s="25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5"/>
      <c r="N651" s="25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5"/>
      <c r="N652" s="25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5"/>
      <c r="N653" s="25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5"/>
      <c r="N654" s="25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5"/>
      <c r="N655" s="25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5"/>
      <c r="N656" s="25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5"/>
      <c r="N657" s="25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5"/>
      <c r="N658" s="25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5"/>
      <c r="N659" s="25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5"/>
      <c r="N660" s="25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5"/>
      <c r="N661" s="25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5"/>
      <c r="N662" s="25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5"/>
      <c r="N663" s="25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5"/>
      <c r="N664" s="25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5"/>
      <c r="N665" s="25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5"/>
      <c r="N666" s="25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5"/>
      <c r="N667" s="25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5"/>
      <c r="N668" s="25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5"/>
      <c r="N669" s="25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5"/>
      <c r="N670" s="25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5"/>
      <c r="N671" s="25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5"/>
      <c r="N672" s="25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5"/>
      <c r="N673" s="25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5"/>
      <c r="N674" s="25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5"/>
      <c r="N675" s="25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5"/>
      <c r="N676" s="25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5"/>
      <c r="N677" s="25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5"/>
      <c r="N678" s="25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5"/>
      <c r="N679" s="25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5"/>
      <c r="N680" s="25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5"/>
      <c r="N681" s="25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5"/>
      <c r="N682" s="25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5"/>
      <c r="N683" s="25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5"/>
      <c r="N684" s="25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5"/>
      <c r="N685" s="25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5"/>
      <c r="N686" s="25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5"/>
      <c r="N687" s="25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5"/>
      <c r="N688" s="25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5"/>
      <c r="N689" s="25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5"/>
      <c r="N690" s="25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5"/>
      <c r="N691" s="25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5"/>
      <c r="N692" s="25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5"/>
      <c r="N693" s="25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5"/>
      <c r="N694" s="25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5"/>
      <c r="N695" s="25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5"/>
      <c r="N696" s="25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5"/>
      <c r="N697" s="25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5"/>
      <c r="N698" s="25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5"/>
      <c r="N699" s="25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5"/>
      <c r="N700" s="25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5"/>
      <c r="N701" s="25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5"/>
      <c r="N702" s="25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5"/>
      <c r="N703" s="25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5"/>
      <c r="N704" s="25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5"/>
      <c r="N705" s="25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5"/>
      <c r="N706" s="25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5"/>
      <c r="N707" s="25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5"/>
      <c r="N708" s="25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5"/>
      <c r="N709" s="25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5"/>
      <c r="N710" s="25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5"/>
      <c r="N711" s="25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5"/>
      <c r="N712" s="25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5"/>
      <c r="N713" s="25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5"/>
      <c r="N714" s="25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5"/>
      <c r="N715" s="25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5"/>
      <c r="N716" s="25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5"/>
      <c r="N717" s="25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5"/>
      <c r="N718" s="25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5"/>
      <c r="N719" s="25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5"/>
      <c r="N720" s="25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5"/>
      <c r="N721" s="25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5"/>
      <c r="N722" s="25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5"/>
      <c r="N723" s="25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5"/>
      <c r="N724" s="25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5"/>
      <c r="N725" s="25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5"/>
      <c r="N726" s="25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5"/>
      <c r="N727" s="25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5"/>
      <c r="N728" s="25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5"/>
      <c r="N729" s="25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5"/>
      <c r="N730" s="25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5"/>
      <c r="N731" s="25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5"/>
      <c r="N732" s="25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5"/>
      <c r="N733" s="25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5"/>
      <c r="N734" s="25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5"/>
      <c r="N735" s="25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5"/>
      <c r="N736" s="25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5"/>
      <c r="N737" s="25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5"/>
      <c r="N738" s="25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5"/>
      <c r="N739" s="25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5"/>
      <c r="N740" s="25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5"/>
      <c r="N741" s="25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5"/>
      <c r="N742" s="25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5"/>
      <c r="N743" s="25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5"/>
      <c r="N744" s="25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5"/>
      <c r="N745" s="25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5"/>
      <c r="N746" s="25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5"/>
      <c r="N747" s="25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5"/>
      <c r="N748" s="25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5"/>
      <c r="N749" s="25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5"/>
      <c r="N750" s="25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5"/>
      <c r="N751" s="25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5"/>
      <c r="N752" s="25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5"/>
      <c r="N753" s="25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5"/>
      <c r="N754" s="25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5"/>
      <c r="N755" s="25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5"/>
      <c r="N756" s="25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5"/>
      <c r="N757" s="25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5"/>
      <c r="N758" s="25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5"/>
      <c r="N759" s="25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5"/>
      <c r="N760" s="25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5"/>
      <c r="N761" s="25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5"/>
      <c r="N762" s="25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5"/>
      <c r="N763" s="25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5"/>
      <c r="N764" s="25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5"/>
      <c r="N765" s="25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5"/>
      <c r="N766" s="25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5"/>
      <c r="N767" s="25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5"/>
      <c r="N768" s="25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5"/>
      <c r="N769" s="25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5"/>
      <c r="N770" s="25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5"/>
      <c r="N771" s="25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5"/>
      <c r="N772" s="25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5"/>
      <c r="N773" s="25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5"/>
      <c r="N774" s="25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5"/>
      <c r="N775" s="25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5"/>
      <c r="N776" s="25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5"/>
      <c r="N777" s="25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5"/>
      <c r="N778" s="25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5"/>
      <c r="N779" s="25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5"/>
      <c r="N780" s="25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5"/>
      <c r="N781" s="25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5"/>
      <c r="N782" s="25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5"/>
      <c r="N783" s="25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5"/>
      <c r="N784" s="25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5"/>
      <c r="N785" s="25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5"/>
      <c r="N786" s="25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5"/>
      <c r="N787" s="25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5"/>
      <c r="N788" s="25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5"/>
      <c r="N789" s="25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5"/>
      <c r="N790" s="25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5"/>
      <c r="N791" s="25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5"/>
      <c r="N792" s="25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5"/>
      <c r="N793" s="25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5"/>
      <c r="N794" s="25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5"/>
      <c r="N795" s="25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5"/>
      <c r="N796" s="25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5"/>
      <c r="N797" s="25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5"/>
      <c r="N798" s="25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5"/>
      <c r="N799" s="25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5"/>
      <c r="N800" s="25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5"/>
      <c r="N801" s="25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5"/>
      <c r="N802" s="25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5"/>
      <c r="N803" s="25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5"/>
      <c r="N804" s="25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5"/>
      <c r="N805" s="25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5"/>
      <c r="N806" s="25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5"/>
      <c r="N807" s="25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5"/>
      <c r="N808" s="25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5"/>
      <c r="N809" s="25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5"/>
      <c r="N810" s="25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5"/>
      <c r="N811" s="25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5"/>
      <c r="N812" s="25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5"/>
      <c r="N813" s="25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5"/>
      <c r="N814" s="25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5"/>
      <c r="N815" s="25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5"/>
      <c r="N816" s="25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5"/>
      <c r="N817" s="25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5"/>
      <c r="N818" s="25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5"/>
      <c r="N819" s="25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5"/>
      <c r="N820" s="25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5"/>
      <c r="N821" s="25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5"/>
      <c r="N822" s="25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5"/>
      <c r="N823" s="25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5"/>
      <c r="N824" s="25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5"/>
      <c r="N825" s="25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5"/>
      <c r="N826" s="25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5"/>
      <c r="N827" s="25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5"/>
      <c r="N828" s="25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5"/>
      <c r="N829" s="25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5"/>
      <c r="N830" s="25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5"/>
      <c r="N831" s="25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5"/>
      <c r="N832" s="25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5"/>
      <c r="N833" s="25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5"/>
      <c r="N834" s="25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5"/>
      <c r="N835" s="25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5"/>
      <c r="N836" s="25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5"/>
      <c r="N837" s="25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5"/>
      <c r="N838" s="25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5"/>
      <c r="N839" s="25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5"/>
      <c r="N840" s="25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5"/>
      <c r="N841" s="25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5"/>
      <c r="N842" s="25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5"/>
      <c r="N843" s="25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5"/>
      <c r="N844" s="25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5"/>
      <c r="N845" s="25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5"/>
      <c r="N846" s="25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5"/>
      <c r="N847" s="25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5"/>
      <c r="N848" s="25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5"/>
      <c r="N849" s="25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5"/>
      <c r="N850" s="25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5"/>
      <c r="N851" s="25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5"/>
      <c r="N852" s="25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5"/>
      <c r="N853" s="25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5"/>
      <c r="N854" s="25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5"/>
      <c r="N855" s="25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5"/>
      <c r="N856" s="25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5"/>
      <c r="N857" s="25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5"/>
      <c r="N858" s="25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5"/>
      <c r="N859" s="25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5"/>
      <c r="N860" s="25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5"/>
      <c r="N861" s="25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5"/>
      <c r="N862" s="25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5"/>
      <c r="N863" s="25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5"/>
      <c r="N864" s="25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5"/>
      <c r="N865" s="25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5"/>
      <c r="N866" s="25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5"/>
      <c r="N867" s="25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5"/>
      <c r="N868" s="25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5"/>
      <c r="N869" s="25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5"/>
      <c r="N870" s="25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5"/>
      <c r="N871" s="25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5"/>
      <c r="N872" s="25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5"/>
      <c r="N873" s="25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5"/>
      <c r="N874" s="25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5"/>
      <c r="N875" s="25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5"/>
      <c r="N876" s="25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5"/>
      <c r="N877" s="25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5"/>
      <c r="N878" s="25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5"/>
      <c r="N879" s="25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5"/>
      <c r="N880" s="25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5"/>
      <c r="N881" s="25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5"/>
      <c r="N882" s="25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5"/>
      <c r="N883" s="25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5"/>
      <c r="N884" s="25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5"/>
      <c r="N885" s="25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5"/>
      <c r="N886" s="25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5"/>
      <c r="N887" s="25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5"/>
      <c r="N888" s="25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5"/>
      <c r="N889" s="25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5"/>
      <c r="N890" s="25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5"/>
      <c r="N891" s="25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5"/>
      <c r="N892" s="25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5"/>
      <c r="N893" s="25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5"/>
      <c r="N894" s="25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5"/>
      <c r="N895" s="25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5"/>
      <c r="N896" s="25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5"/>
      <c r="N897" s="25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5"/>
      <c r="N898" s="25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5"/>
      <c r="N899" s="25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5"/>
      <c r="N900" s="25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5"/>
      <c r="N901" s="25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5"/>
      <c r="N902" s="25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5"/>
      <c r="N903" s="25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5"/>
      <c r="N904" s="25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5"/>
      <c r="N905" s="25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5"/>
      <c r="N906" s="25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5"/>
      <c r="N907" s="25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5"/>
      <c r="N908" s="25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5"/>
      <c r="N909" s="25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5"/>
      <c r="N910" s="25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5"/>
      <c r="N911" s="25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5"/>
      <c r="N912" s="25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5"/>
      <c r="N913" s="25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5"/>
      <c r="N914" s="25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5"/>
      <c r="N915" s="25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5"/>
      <c r="N916" s="25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5"/>
      <c r="N917" s="25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5"/>
      <c r="N918" s="25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5"/>
      <c r="N919" s="25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5"/>
      <c r="N920" s="25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5"/>
      <c r="N921" s="25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5"/>
      <c r="N922" s="25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5"/>
      <c r="N923" s="25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5"/>
      <c r="N924" s="25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5"/>
      <c r="N925" s="25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5"/>
      <c r="N926" s="25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5"/>
      <c r="N927" s="25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5"/>
      <c r="N928" s="25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5"/>
      <c r="N929" s="25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5"/>
      <c r="N930" s="25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5"/>
      <c r="N931" s="25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5"/>
      <c r="N932" s="25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5"/>
      <c r="N933" s="25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5"/>
      <c r="N934" s="25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5"/>
      <c r="N935" s="25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5"/>
      <c r="N936" s="25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5"/>
      <c r="N937" s="25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5"/>
      <c r="N938" s="25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5"/>
      <c r="N939" s="25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5"/>
      <c r="N940" s="25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5"/>
      <c r="N941" s="25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5"/>
      <c r="N942" s="25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5"/>
      <c r="N943" s="25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5"/>
      <c r="N944" s="25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5"/>
      <c r="N945" s="25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5"/>
      <c r="N946" s="25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5"/>
      <c r="N947" s="25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5"/>
      <c r="N948" s="25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5"/>
      <c r="N949" s="25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5"/>
      <c r="N950" s="25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5"/>
      <c r="N951" s="25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5"/>
      <c r="N952" s="25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5"/>
      <c r="N953" s="25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5"/>
      <c r="N954" s="25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5"/>
      <c r="N955" s="25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5"/>
      <c r="N956" s="25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5"/>
      <c r="N957" s="25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5"/>
      <c r="N958" s="25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5"/>
      <c r="N959" s="25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5"/>
      <c r="N960" s="25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5"/>
      <c r="N961" s="25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5"/>
      <c r="N962" s="25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5"/>
      <c r="N963" s="25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5"/>
      <c r="N964" s="25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5"/>
      <c r="N965" s="25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5"/>
      <c r="N966" s="25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5"/>
      <c r="N967" s="25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5"/>
      <c r="N968" s="25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5"/>
      <c r="N969" s="25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5"/>
      <c r="N970" s="25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5"/>
      <c r="N971" s="25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5"/>
      <c r="N972" s="25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5"/>
      <c r="N973" s="25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5"/>
      <c r="N974" s="25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5"/>
      <c r="N975" s="25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5"/>
      <c r="N976" s="25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5"/>
      <c r="N977" s="25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5"/>
      <c r="N978" s="25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5"/>
      <c r="N979" s="25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5"/>
      <c r="N980" s="25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5"/>
      <c r="N981" s="25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5"/>
      <c r="N982" s="25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5"/>
      <c r="N983" s="25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5"/>
      <c r="N984" s="25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5"/>
      <c r="N985" s="25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5"/>
      <c r="N986" s="25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5"/>
      <c r="N987" s="25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5"/>
      <c r="N988" s="25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5"/>
      <c r="N989" s="25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5"/>
      <c r="N990" s="25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5"/>
      <c r="N991" s="25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5"/>
      <c r="N992" s="25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5"/>
      <c r="N993" s="25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5"/>
      <c r="N994" s="25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5"/>
      <c r="N995" s="25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5"/>
      <c r="N996" s="25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5"/>
      <c r="N997" s="25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5"/>
      <c r="N998" s="25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5"/>
      <c r="N999" s="25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5"/>
      <c r="N1000" s="25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000000000000001" right="0.7000000000000001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hidden="1" min="2" max="2" width="8.29"/>
    <col customWidth="1" min="3" max="3" width="12.14"/>
    <col customWidth="1" min="4" max="26" width="8.71"/>
  </cols>
  <sheetData>
    <row r="2">
      <c r="A2" s="44" t="s">
        <v>91</v>
      </c>
      <c r="B2" s="45"/>
      <c r="C2" s="45" t="s">
        <v>92</v>
      </c>
    </row>
    <row r="3">
      <c r="A3" s="45" t="s">
        <v>93</v>
      </c>
      <c r="B3" s="10">
        <f t="shared" ref="B3:C3" si="1">125000+15000</f>
        <v>140000</v>
      </c>
      <c r="C3" s="46">
        <f t="shared" si="1"/>
        <v>140000</v>
      </c>
    </row>
    <row r="4" hidden="1">
      <c r="A4" s="45" t="s">
        <v>94</v>
      </c>
      <c r="B4" s="17">
        <v>26000.0</v>
      </c>
      <c r="C4" s="17"/>
    </row>
    <row r="5" hidden="1">
      <c r="A5" s="45" t="s">
        <v>95</v>
      </c>
      <c r="B5" s="17">
        <v>20000.0</v>
      </c>
      <c r="C5" s="17"/>
    </row>
    <row r="6">
      <c r="A6" s="45" t="s">
        <v>96</v>
      </c>
      <c r="B6" s="10">
        <v>43000.0</v>
      </c>
      <c r="C6" s="17">
        <v>43000.0</v>
      </c>
    </row>
    <row r="7" hidden="1">
      <c r="A7" s="45" t="s">
        <v>97</v>
      </c>
      <c r="B7" s="17">
        <v>29000.0</v>
      </c>
      <c r="C7" s="17"/>
    </row>
    <row r="8">
      <c r="A8" s="45" t="s">
        <v>98</v>
      </c>
      <c r="B8" s="10">
        <v>130000.0</v>
      </c>
      <c r="C8" s="17">
        <v>130000.0</v>
      </c>
    </row>
    <row r="9" hidden="1">
      <c r="A9" s="45" t="s">
        <v>99</v>
      </c>
      <c r="B9" s="17">
        <v>8000.0</v>
      </c>
      <c r="C9" s="17"/>
    </row>
    <row r="10" hidden="1">
      <c r="A10" s="45" t="s">
        <v>100</v>
      </c>
      <c r="B10" s="17">
        <v>27000.0</v>
      </c>
      <c r="C10" s="17"/>
    </row>
    <row r="11" hidden="1">
      <c r="A11" s="45" t="s">
        <v>101</v>
      </c>
      <c r="B11" s="17">
        <v>12000.0</v>
      </c>
      <c r="C11" s="17"/>
    </row>
    <row r="12">
      <c r="A12" s="45" t="s">
        <v>102</v>
      </c>
      <c r="B12" s="10">
        <v>40500.0</v>
      </c>
      <c r="C12" s="17">
        <v>40500.0</v>
      </c>
    </row>
    <row r="13">
      <c r="A13" s="45" t="s">
        <v>103</v>
      </c>
      <c r="B13" s="10">
        <v>34000.0</v>
      </c>
      <c r="C13" s="17">
        <v>34000.0</v>
      </c>
    </row>
    <row r="14">
      <c r="A14" s="45" t="s">
        <v>104</v>
      </c>
      <c r="B14" s="10">
        <v>120000.0</v>
      </c>
      <c r="C14" s="17">
        <v>120000.0</v>
      </c>
    </row>
    <row r="15">
      <c r="A15" s="45" t="s">
        <v>105</v>
      </c>
      <c r="B15" s="17">
        <f t="shared" ref="B15:C15" si="2">2700+2800+1000+2800+2600+2700+2700+4000+2700+2600</f>
        <v>26600</v>
      </c>
      <c r="C15" s="17">
        <f t="shared" si="2"/>
        <v>26600</v>
      </c>
    </row>
    <row r="16">
      <c r="A16" s="45" t="s">
        <v>106</v>
      </c>
      <c r="B16" s="17"/>
      <c r="C16" s="17"/>
    </row>
    <row r="17">
      <c r="A17" s="45" t="s">
        <v>107</v>
      </c>
      <c r="B17" s="17"/>
      <c r="C17" s="17"/>
    </row>
    <row r="18">
      <c r="A18" s="45"/>
      <c r="B18" s="17">
        <f>SUM(B3:B15)</f>
        <v>656100</v>
      </c>
      <c r="C18" s="17">
        <f>SUM(C3:C17)</f>
        <v>534100</v>
      </c>
    </row>
    <row r="19">
      <c r="A19" s="45"/>
      <c r="B19" s="47"/>
      <c r="C19" s="10">
        <f>C18/2</f>
        <v>267050</v>
      </c>
    </row>
    <row r="20">
      <c r="B20" s="48"/>
    </row>
    <row r="21" ht="15.75" customHeight="1"/>
    <row r="22" ht="15.75" customHeight="1">
      <c r="C22" s="49"/>
    </row>
    <row r="23" ht="15.75" customHeight="1">
      <c r="A23" s="50" t="s">
        <v>108</v>
      </c>
      <c r="B23" s="45"/>
      <c r="C23" s="13">
        <v>100000.0</v>
      </c>
      <c r="D23" s="49"/>
    </row>
    <row r="24" ht="15.75" customHeight="1">
      <c r="A24" s="45" t="s">
        <v>109</v>
      </c>
      <c r="B24" s="45"/>
      <c r="C24" s="51">
        <v>4100000.0</v>
      </c>
    </row>
    <row r="25" ht="15.75" customHeight="1">
      <c r="A25" s="45" t="s">
        <v>110</v>
      </c>
      <c r="B25" s="45"/>
      <c r="C25" s="13">
        <v>50000.0</v>
      </c>
    </row>
    <row r="26" ht="15.75" customHeight="1">
      <c r="A26" s="45" t="s">
        <v>111</v>
      </c>
      <c r="B26" s="45"/>
      <c r="C26" s="10">
        <f>130000+30000+15000</f>
        <v>175000</v>
      </c>
      <c r="E26" s="49"/>
    </row>
    <row r="27" ht="15.75" customHeight="1">
      <c r="A27" s="45" t="s">
        <v>112</v>
      </c>
      <c r="B27" s="45"/>
      <c r="C27" s="10">
        <v>100000.0</v>
      </c>
    </row>
    <row r="28" ht="15.75" customHeight="1">
      <c r="A28" s="45"/>
      <c r="B28" s="45"/>
      <c r="C28" s="17">
        <f>SUM(C23:C27)</f>
        <v>4525000</v>
      </c>
    </row>
    <row r="29" ht="15.75" customHeight="1"/>
    <row r="30" ht="15.75" customHeight="1">
      <c r="A30" s="52" t="s">
        <v>113</v>
      </c>
      <c r="B30" s="53"/>
      <c r="C30" s="54">
        <v>4000000.0</v>
      </c>
    </row>
    <row r="31" ht="15.75" customHeight="1">
      <c r="A31" s="52" t="s">
        <v>114</v>
      </c>
      <c r="B31" s="53"/>
      <c r="C31" s="54"/>
    </row>
    <row r="32" ht="15.75" customHeight="1">
      <c r="A32" s="52" t="s">
        <v>115</v>
      </c>
      <c r="B32" s="53"/>
      <c r="C32" s="54">
        <v>400000.0</v>
      </c>
    </row>
    <row r="33" ht="15.75" customHeight="1">
      <c r="A33" s="52" t="s">
        <v>74</v>
      </c>
      <c r="B33" s="53"/>
      <c r="C33" s="54">
        <v>1000000.0</v>
      </c>
    </row>
    <row r="34" ht="15.75" customHeight="1">
      <c r="A34" s="52" t="s">
        <v>116</v>
      </c>
      <c r="B34" s="53"/>
      <c r="C34" s="55">
        <f>SUM(C31:C33)-C30</f>
        <v>-2600000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29"/>
  </cols>
  <sheetData>
    <row r="1">
      <c r="A1" s="56" t="s">
        <v>117</v>
      </c>
      <c r="B1" s="57" t="s">
        <v>118</v>
      </c>
      <c r="C1" s="56" t="s">
        <v>119</v>
      </c>
    </row>
    <row r="2">
      <c r="A2" s="56" t="s">
        <v>120</v>
      </c>
      <c r="B2" s="57">
        <v>150000.0</v>
      </c>
      <c r="C2" s="56" t="s">
        <v>121</v>
      </c>
    </row>
    <row r="3">
      <c r="A3" s="56" t="s">
        <v>122</v>
      </c>
      <c r="B3" s="57">
        <v>80000.0</v>
      </c>
      <c r="C3" s="56" t="s">
        <v>123</v>
      </c>
    </row>
    <row r="4">
      <c r="A4" s="56" t="s">
        <v>124</v>
      </c>
      <c r="B4" s="57">
        <v>20000.0</v>
      </c>
      <c r="C4" s="56" t="s">
        <v>123</v>
      </c>
    </row>
    <row r="5">
      <c r="A5" s="56" t="s">
        <v>125</v>
      </c>
      <c r="B5" s="57">
        <v>40000.0</v>
      </c>
      <c r="C5" s="56" t="s">
        <v>126</v>
      </c>
    </row>
    <row r="6">
      <c r="A6" s="56" t="s">
        <v>127</v>
      </c>
      <c r="B6" s="57">
        <v>40000.0</v>
      </c>
      <c r="C6" s="56" t="s">
        <v>126</v>
      </c>
    </row>
    <row r="7">
      <c r="A7" s="56" t="s">
        <v>128</v>
      </c>
      <c r="B7" s="57">
        <v>100000.0</v>
      </c>
      <c r="C7" s="56" t="s">
        <v>123</v>
      </c>
    </row>
    <row r="8">
      <c r="A8" s="56" t="s">
        <v>129</v>
      </c>
      <c r="B8" s="57">
        <v>300000.0</v>
      </c>
      <c r="C8" s="56" t="s">
        <v>126</v>
      </c>
    </row>
    <row r="9">
      <c r="A9" s="56" t="s">
        <v>130</v>
      </c>
      <c r="B9" s="57">
        <v>100000.0</v>
      </c>
      <c r="C9" s="56" t="s">
        <v>126</v>
      </c>
    </row>
    <row r="10">
      <c r="A10" s="56" t="s">
        <v>131</v>
      </c>
      <c r="B10" s="57">
        <v>40000.0</v>
      </c>
      <c r="C10" s="56" t="s">
        <v>123</v>
      </c>
    </row>
    <row r="11">
      <c r="A11" s="56" t="s">
        <v>132</v>
      </c>
      <c r="B11" s="57">
        <v>20000.0</v>
      </c>
      <c r="C11" s="56"/>
    </row>
    <row r="12">
      <c r="A12" s="56" t="s">
        <v>133</v>
      </c>
      <c r="B12" s="57">
        <v>10000.0</v>
      </c>
      <c r="C12" s="56" t="s">
        <v>126</v>
      </c>
    </row>
    <row r="13">
      <c r="A13" s="56" t="s">
        <v>134</v>
      </c>
      <c r="B13" s="57">
        <v>20000.0</v>
      </c>
      <c r="C13" s="56" t="s">
        <v>123</v>
      </c>
    </row>
    <row r="14">
      <c r="A14" s="56" t="s">
        <v>135</v>
      </c>
      <c r="B14" s="57">
        <v>50000.0</v>
      </c>
    </row>
    <row r="15">
      <c r="A15" s="56" t="s">
        <v>136</v>
      </c>
      <c r="B15" s="57">
        <v>100000.0</v>
      </c>
    </row>
    <row r="16">
      <c r="A16" s="56" t="s">
        <v>137</v>
      </c>
      <c r="B16" s="57">
        <v>30000.0</v>
      </c>
    </row>
    <row r="17">
      <c r="A17" s="56" t="s">
        <v>138</v>
      </c>
      <c r="B17" s="57">
        <v>30000.0</v>
      </c>
    </row>
    <row r="18">
      <c r="A18" s="56" t="s">
        <v>139</v>
      </c>
      <c r="B18" s="57">
        <v>70000.0</v>
      </c>
    </row>
    <row r="19">
      <c r="A19" s="56" t="s">
        <v>140</v>
      </c>
      <c r="B19" s="57">
        <v>350000.0</v>
      </c>
    </row>
    <row r="20">
      <c r="A20" s="56" t="s">
        <v>141</v>
      </c>
      <c r="B20" s="57">
        <v>350000.0</v>
      </c>
    </row>
    <row r="21">
      <c r="A21" s="56" t="s">
        <v>142</v>
      </c>
      <c r="B21" s="57">
        <v>500000.0</v>
      </c>
    </row>
    <row r="22">
      <c r="A22" s="56" t="s">
        <v>143</v>
      </c>
      <c r="B22" s="57">
        <v>650000.0</v>
      </c>
    </row>
    <row r="23">
      <c r="A23" s="56" t="s">
        <v>144</v>
      </c>
      <c r="B23" s="57">
        <v>80000.0</v>
      </c>
    </row>
    <row r="24">
      <c r="A24" s="56" t="s">
        <v>145</v>
      </c>
      <c r="B24" s="57">
        <v>200000.0</v>
      </c>
    </row>
    <row r="25">
      <c r="A25" s="56" t="s">
        <v>146</v>
      </c>
      <c r="B25" s="57">
        <v>50000.0</v>
      </c>
    </row>
    <row r="26">
      <c r="A26" s="56" t="s">
        <v>147</v>
      </c>
      <c r="B26" s="57">
        <v>200000.0</v>
      </c>
    </row>
    <row r="27">
      <c r="A27" s="56" t="s">
        <v>148</v>
      </c>
      <c r="B27" s="57">
        <v>30000.0</v>
      </c>
    </row>
    <row r="28">
      <c r="A28" s="56" t="s">
        <v>149</v>
      </c>
      <c r="B28" s="57">
        <v>300000.0</v>
      </c>
    </row>
    <row r="29">
      <c r="A29" s="56" t="s">
        <v>150</v>
      </c>
      <c r="B29" s="57">
        <v>80000.0</v>
      </c>
    </row>
    <row r="30">
      <c r="A30" s="56" t="s">
        <v>151</v>
      </c>
      <c r="B30" s="57">
        <v>40000.0</v>
      </c>
    </row>
    <row r="31">
      <c r="A31" s="56" t="s">
        <v>152</v>
      </c>
      <c r="B31" s="57">
        <v>30000.0</v>
      </c>
    </row>
    <row r="32">
      <c r="A32" s="56" t="s">
        <v>153</v>
      </c>
      <c r="B32" s="57">
        <v>15000.0</v>
      </c>
    </row>
    <row r="33">
      <c r="A33" s="56" t="s">
        <v>154</v>
      </c>
      <c r="B33" s="57">
        <v>40000.0</v>
      </c>
    </row>
    <row r="34">
      <c r="A34" s="56" t="s">
        <v>155</v>
      </c>
      <c r="B34" s="57">
        <v>15000.0</v>
      </c>
    </row>
    <row r="35">
      <c r="A35" s="56" t="s">
        <v>156</v>
      </c>
      <c r="B35" s="57">
        <v>10000.0</v>
      </c>
    </row>
    <row r="36">
      <c r="A36" s="56" t="s">
        <v>157</v>
      </c>
      <c r="B36" s="57">
        <v>25000.0</v>
      </c>
    </row>
    <row r="37">
      <c r="B37" s="58"/>
    </row>
    <row r="38">
      <c r="A38" s="56" t="s">
        <v>158</v>
      </c>
      <c r="B38" s="58">
        <f>SUM(B2:B37)</f>
        <v>4165000</v>
      </c>
    </row>
    <row r="39">
      <c r="B39" s="58"/>
    </row>
    <row r="40">
      <c r="B40" s="58"/>
    </row>
    <row r="41">
      <c r="B41" s="58"/>
    </row>
    <row r="42">
      <c r="B42" s="58"/>
    </row>
    <row r="43">
      <c r="B43" s="58"/>
    </row>
    <row r="44">
      <c r="B44" s="58"/>
    </row>
    <row r="45">
      <c r="B45" s="58"/>
    </row>
    <row r="46">
      <c r="B46" s="58"/>
    </row>
    <row r="47">
      <c r="B47" s="58"/>
    </row>
    <row r="48">
      <c r="B48" s="58"/>
    </row>
    <row r="49">
      <c r="B49" s="58"/>
    </row>
    <row r="50">
      <c r="B50" s="58"/>
    </row>
    <row r="51">
      <c r="B51" s="58"/>
    </row>
    <row r="52">
      <c r="B52" s="58"/>
    </row>
    <row r="53">
      <c r="B53" s="58"/>
    </row>
    <row r="54">
      <c r="B54" s="58"/>
    </row>
    <row r="55">
      <c r="B55" s="58"/>
    </row>
    <row r="56">
      <c r="B56" s="58"/>
    </row>
    <row r="57">
      <c r="B57" s="58"/>
    </row>
    <row r="58">
      <c r="B58" s="58"/>
    </row>
    <row r="59">
      <c r="B59" s="58"/>
    </row>
    <row r="60">
      <c r="B60" s="58"/>
    </row>
    <row r="61">
      <c r="B61" s="58"/>
    </row>
    <row r="62">
      <c r="B62" s="58"/>
    </row>
    <row r="63">
      <c r="B63" s="58"/>
    </row>
    <row r="64">
      <c r="B64" s="58"/>
    </row>
    <row r="65">
      <c r="B65" s="58"/>
    </row>
    <row r="66">
      <c r="B66" s="58"/>
    </row>
    <row r="67">
      <c r="B67" s="58"/>
    </row>
    <row r="68">
      <c r="B68" s="58"/>
    </row>
    <row r="69">
      <c r="B69" s="58"/>
    </row>
    <row r="70">
      <c r="B70" s="58"/>
    </row>
    <row r="71">
      <c r="B71" s="58"/>
    </row>
    <row r="72">
      <c r="B72" s="58"/>
    </row>
    <row r="73">
      <c r="B73" s="58"/>
    </row>
    <row r="74">
      <c r="B74" s="58"/>
    </row>
    <row r="75">
      <c r="B75" s="58"/>
    </row>
    <row r="76">
      <c r="B76" s="58"/>
    </row>
    <row r="77">
      <c r="B77" s="58"/>
    </row>
    <row r="78">
      <c r="B78" s="58"/>
    </row>
    <row r="79">
      <c r="B79" s="58"/>
    </row>
    <row r="80">
      <c r="B80" s="58"/>
    </row>
    <row r="81">
      <c r="B81" s="58"/>
    </row>
    <row r="82">
      <c r="B82" s="58"/>
    </row>
    <row r="83">
      <c r="B83" s="58"/>
    </row>
    <row r="84">
      <c r="B84" s="58"/>
    </row>
    <row r="85">
      <c r="B85" s="58"/>
    </row>
    <row r="86">
      <c r="B86" s="58"/>
    </row>
    <row r="87">
      <c r="B87" s="58"/>
    </row>
    <row r="88">
      <c r="B88" s="58"/>
    </row>
    <row r="89">
      <c r="B89" s="58"/>
    </row>
    <row r="90">
      <c r="B90" s="58"/>
    </row>
    <row r="91">
      <c r="B91" s="58"/>
    </row>
    <row r="92">
      <c r="B92" s="58"/>
    </row>
    <row r="93">
      <c r="B93" s="58"/>
    </row>
    <row r="94">
      <c r="B94" s="58"/>
    </row>
    <row r="95">
      <c r="B95" s="58"/>
    </row>
    <row r="96">
      <c r="B96" s="58"/>
    </row>
    <row r="97">
      <c r="B97" s="58"/>
    </row>
    <row r="98">
      <c r="B98" s="58"/>
    </row>
    <row r="99">
      <c r="B99" s="58"/>
    </row>
    <row r="100">
      <c r="B100" s="58"/>
    </row>
    <row r="101">
      <c r="B101" s="58"/>
    </row>
    <row r="102">
      <c r="B102" s="58"/>
    </row>
    <row r="103">
      <c r="B103" s="58"/>
    </row>
    <row r="104">
      <c r="B104" s="58"/>
    </row>
    <row r="105">
      <c r="B105" s="58"/>
    </row>
    <row r="106">
      <c r="B106" s="58"/>
    </row>
    <row r="107">
      <c r="B107" s="58"/>
    </row>
    <row r="108">
      <c r="B108" s="58"/>
    </row>
    <row r="109">
      <c r="B109" s="58"/>
    </row>
    <row r="110">
      <c r="B110" s="58"/>
    </row>
    <row r="111">
      <c r="B111" s="58"/>
    </row>
    <row r="112">
      <c r="B112" s="58"/>
    </row>
    <row r="113">
      <c r="B113" s="58"/>
    </row>
    <row r="114">
      <c r="B114" s="58"/>
    </row>
    <row r="115">
      <c r="B115" s="58"/>
    </row>
    <row r="116">
      <c r="B116" s="58"/>
    </row>
    <row r="117">
      <c r="B117" s="58"/>
    </row>
    <row r="118">
      <c r="B118" s="58"/>
    </row>
    <row r="119">
      <c r="B119" s="58"/>
    </row>
    <row r="120">
      <c r="B120" s="58"/>
    </row>
    <row r="121">
      <c r="B121" s="58"/>
    </row>
    <row r="122">
      <c r="B122" s="58"/>
    </row>
    <row r="123">
      <c r="B123" s="58"/>
    </row>
    <row r="124">
      <c r="B124" s="58"/>
    </row>
    <row r="125">
      <c r="B125" s="58"/>
    </row>
    <row r="126">
      <c r="B126" s="58"/>
    </row>
    <row r="127">
      <c r="B127" s="58"/>
    </row>
    <row r="128">
      <c r="B128" s="58"/>
    </row>
    <row r="129">
      <c r="B129" s="58"/>
    </row>
    <row r="130">
      <c r="B130" s="58"/>
    </row>
    <row r="131">
      <c r="B131" s="58"/>
    </row>
    <row r="132">
      <c r="B132" s="58"/>
    </row>
    <row r="133">
      <c r="B133" s="58"/>
    </row>
    <row r="134">
      <c r="B134" s="58"/>
    </row>
    <row r="135">
      <c r="B135" s="58"/>
    </row>
    <row r="136">
      <c r="B136" s="58"/>
    </row>
    <row r="137">
      <c r="B137" s="58"/>
    </row>
    <row r="138">
      <c r="B138" s="58"/>
    </row>
    <row r="139">
      <c r="B139" s="58"/>
    </row>
    <row r="140">
      <c r="B140" s="58"/>
    </row>
    <row r="141">
      <c r="B141" s="58"/>
    </row>
    <row r="142">
      <c r="B142" s="58"/>
    </row>
    <row r="143">
      <c r="B143" s="58"/>
    </row>
    <row r="144">
      <c r="B144" s="58"/>
    </row>
    <row r="145">
      <c r="B145" s="58"/>
    </row>
    <row r="146">
      <c r="B146" s="58"/>
    </row>
    <row r="147">
      <c r="B147" s="58"/>
    </row>
    <row r="148">
      <c r="B148" s="58"/>
    </row>
    <row r="149">
      <c r="B149" s="58"/>
    </row>
    <row r="150">
      <c r="B150" s="58"/>
    </row>
    <row r="151">
      <c r="B151" s="58"/>
    </row>
    <row r="152">
      <c r="B152" s="58"/>
    </row>
    <row r="153">
      <c r="B153" s="58"/>
    </row>
    <row r="154">
      <c r="B154" s="58"/>
    </row>
    <row r="155">
      <c r="B155" s="58"/>
    </row>
    <row r="156">
      <c r="B156" s="58"/>
    </row>
    <row r="157">
      <c r="B157" s="58"/>
    </row>
    <row r="158">
      <c r="B158" s="58"/>
    </row>
    <row r="159">
      <c r="B159" s="58"/>
    </row>
    <row r="160">
      <c r="B160" s="58"/>
    </row>
    <row r="161">
      <c r="B161" s="58"/>
    </row>
    <row r="162">
      <c r="B162" s="58"/>
    </row>
    <row r="163">
      <c r="B163" s="58"/>
    </row>
    <row r="164">
      <c r="B164" s="58"/>
    </row>
    <row r="165">
      <c r="B165" s="58"/>
    </row>
    <row r="166">
      <c r="B166" s="58"/>
    </row>
    <row r="167">
      <c r="B167" s="58"/>
    </row>
    <row r="168">
      <c r="B168" s="58"/>
    </row>
    <row r="169">
      <c r="B169" s="58"/>
    </row>
    <row r="170">
      <c r="B170" s="58"/>
    </row>
    <row r="171">
      <c r="B171" s="58"/>
    </row>
    <row r="172">
      <c r="B172" s="58"/>
    </row>
    <row r="173">
      <c r="B173" s="58"/>
    </row>
    <row r="174">
      <c r="B174" s="58"/>
    </row>
    <row r="175">
      <c r="B175" s="58"/>
    </row>
    <row r="176">
      <c r="B176" s="58"/>
    </row>
    <row r="177">
      <c r="B177" s="58"/>
    </row>
    <row r="178">
      <c r="B178" s="58"/>
    </row>
    <row r="179">
      <c r="B179" s="58"/>
    </row>
    <row r="180">
      <c r="B180" s="58"/>
    </row>
    <row r="181">
      <c r="B181" s="58"/>
    </row>
    <row r="182">
      <c r="B182" s="58"/>
    </row>
    <row r="183">
      <c r="B183" s="58"/>
    </row>
    <row r="184">
      <c r="B184" s="58"/>
    </row>
    <row r="185">
      <c r="B185" s="58"/>
    </row>
    <row r="186">
      <c r="B186" s="58"/>
    </row>
    <row r="187">
      <c r="B187" s="58"/>
    </row>
    <row r="188">
      <c r="B188" s="58"/>
    </row>
    <row r="189">
      <c r="B189" s="58"/>
    </row>
    <row r="190">
      <c r="B190" s="58"/>
    </row>
    <row r="191">
      <c r="B191" s="58"/>
    </row>
    <row r="192">
      <c r="B192" s="58"/>
    </row>
    <row r="193">
      <c r="B193" s="58"/>
    </row>
    <row r="194">
      <c r="B194" s="58"/>
    </row>
    <row r="195">
      <c r="B195" s="58"/>
    </row>
    <row r="196">
      <c r="B196" s="58"/>
    </row>
    <row r="197">
      <c r="B197" s="58"/>
    </row>
    <row r="198">
      <c r="B198" s="58"/>
    </row>
    <row r="199">
      <c r="B199" s="58"/>
    </row>
    <row r="200">
      <c r="B200" s="58"/>
    </row>
    <row r="201">
      <c r="B201" s="58"/>
    </row>
    <row r="202">
      <c r="B202" s="58"/>
    </row>
    <row r="203">
      <c r="B203" s="58"/>
    </row>
    <row r="204">
      <c r="B204" s="58"/>
    </row>
    <row r="205">
      <c r="B205" s="58"/>
    </row>
    <row r="206">
      <c r="B206" s="58"/>
    </row>
    <row r="207">
      <c r="B207" s="58"/>
    </row>
    <row r="208">
      <c r="B208" s="58"/>
    </row>
    <row r="209">
      <c r="B209" s="58"/>
    </row>
    <row r="210">
      <c r="B210" s="58"/>
    </row>
    <row r="211">
      <c r="B211" s="58"/>
    </row>
    <row r="212">
      <c r="B212" s="58"/>
    </row>
    <row r="213">
      <c r="B213" s="58"/>
    </row>
    <row r="214">
      <c r="B214" s="58"/>
    </row>
    <row r="215">
      <c r="B215" s="58"/>
    </row>
    <row r="216">
      <c r="B216" s="58"/>
    </row>
    <row r="217">
      <c r="B217" s="58"/>
    </row>
    <row r="218">
      <c r="B218" s="58"/>
    </row>
    <row r="219">
      <c r="B219" s="58"/>
    </row>
    <row r="220">
      <c r="B220" s="58"/>
    </row>
    <row r="221">
      <c r="B221" s="58"/>
    </row>
    <row r="222">
      <c r="B222" s="58"/>
    </row>
    <row r="223">
      <c r="B223" s="58"/>
    </row>
    <row r="224">
      <c r="B224" s="58"/>
    </row>
    <row r="225">
      <c r="B225" s="58"/>
    </row>
    <row r="226">
      <c r="B226" s="58"/>
    </row>
    <row r="227">
      <c r="B227" s="58"/>
    </row>
    <row r="228">
      <c r="B228" s="58"/>
    </row>
    <row r="229">
      <c r="B229" s="58"/>
    </row>
    <row r="230">
      <c r="B230" s="58"/>
    </row>
    <row r="231">
      <c r="B231" s="58"/>
    </row>
    <row r="232">
      <c r="B232" s="58"/>
    </row>
    <row r="233">
      <c r="B233" s="58"/>
    </row>
    <row r="234">
      <c r="B234" s="58"/>
    </row>
    <row r="235">
      <c r="B235" s="58"/>
    </row>
    <row r="236">
      <c r="B236" s="58"/>
    </row>
    <row r="237">
      <c r="B237" s="58"/>
    </row>
    <row r="238">
      <c r="B238" s="58"/>
    </row>
    <row r="239">
      <c r="B239" s="58"/>
    </row>
    <row r="240">
      <c r="B240" s="58"/>
    </row>
    <row r="241">
      <c r="B241" s="58"/>
    </row>
    <row r="242">
      <c r="B242" s="58"/>
    </row>
    <row r="243">
      <c r="B243" s="58"/>
    </row>
    <row r="244">
      <c r="B244" s="58"/>
    </row>
    <row r="245">
      <c r="B245" s="58"/>
    </row>
    <row r="246">
      <c r="B246" s="58"/>
    </row>
    <row r="247">
      <c r="B247" s="58"/>
    </row>
    <row r="248">
      <c r="B248" s="58"/>
    </row>
    <row r="249">
      <c r="B249" s="58"/>
    </row>
    <row r="250">
      <c r="B250" s="58"/>
    </row>
    <row r="251">
      <c r="B251" s="58"/>
    </row>
    <row r="252">
      <c r="B252" s="58"/>
    </row>
    <row r="253">
      <c r="B253" s="58"/>
    </row>
    <row r="254">
      <c r="B254" s="58"/>
    </row>
    <row r="255">
      <c r="B255" s="58"/>
    </row>
    <row r="256">
      <c r="B256" s="58"/>
    </row>
    <row r="257">
      <c r="B257" s="58"/>
    </row>
    <row r="258">
      <c r="B258" s="58"/>
    </row>
    <row r="259">
      <c r="B259" s="58"/>
    </row>
    <row r="260">
      <c r="B260" s="58"/>
    </row>
    <row r="261">
      <c r="B261" s="58"/>
    </row>
    <row r="262">
      <c r="B262" s="58"/>
    </row>
    <row r="263">
      <c r="B263" s="58"/>
    </row>
    <row r="264">
      <c r="B264" s="58"/>
    </row>
    <row r="265">
      <c r="B265" s="58"/>
    </row>
    <row r="266">
      <c r="B266" s="58"/>
    </row>
    <row r="267">
      <c r="B267" s="58"/>
    </row>
    <row r="268">
      <c r="B268" s="58"/>
    </row>
    <row r="269">
      <c r="B269" s="58"/>
    </row>
    <row r="270">
      <c r="B270" s="58"/>
    </row>
    <row r="271">
      <c r="B271" s="58"/>
    </row>
    <row r="272">
      <c r="B272" s="58"/>
    </row>
    <row r="273">
      <c r="B273" s="58"/>
    </row>
    <row r="274">
      <c r="B274" s="58"/>
    </row>
    <row r="275">
      <c r="B275" s="58"/>
    </row>
    <row r="276">
      <c r="B276" s="58"/>
    </row>
    <row r="277">
      <c r="B277" s="58"/>
    </row>
    <row r="278">
      <c r="B278" s="58"/>
    </row>
    <row r="279">
      <c r="B279" s="58"/>
    </row>
    <row r="280">
      <c r="B280" s="58"/>
    </row>
    <row r="281">
      <c r="B281" s="58"/>
    </row>
    <row r="282">
      <c r="B282" s="58"/>
    </row>
    <row r="283">
      <c r="B283" s="58"/>
    </row>
    <row r="284">
      <c r="B284" s="58"/>
    </row>
    <row r="285">
      <c r="B285" s="58"/>
    </row>
    <row r="286">
      <c r="B286" s="58"/>
    </row>
    <row r="287">
      <c r="B287" s="58"/>
    </row>
    <row r="288">
      <c r="B288" s="58"/>
    </row>
    <row r="289">
      <c r="B289" s="58"/>
    </row>
    <row r="290">
      <c r="B290" s="58"/>
    </row>
    <row r="291">
      <c r="B291" s="58"/>
    </row>
    <row r="292">
      <c r="B292" s="58"/>
    </row>
    <row r="293">
      <c r="B293" s="58"/>
    </row>
    <row r="294">
      <c r="B294" s="58"/>
    </row>
    <row r="295">
      <c r="B295" s="58"/>
    </row>
    <row r="296">
      <c r="B296" s="58"/>
    </row>
    <row r="297">
      <c r="B297" s="58"/>
    </row>
    <row r="298">
      <c r="B298" s="58"/>
    </row>
    <row r="299">
      <c r="B299" s="58"/>
    </row>
    <row r="300">
      <c r="B300" s="58"/>
    </row>
    <row r="301">
      <c r="B301" s="58"/>
    </row>
    <row r="302">
      <c r="B302" s="58"/>
    </row>
    <row r="303">
      <c r="B303" s="58"/>
    </row>
    <row r="304">
      <c r="B304" s="58"/>
    </row>
    <row r="305">
      <c r="B305" s="58"/>
    </row>
    <row r="306">
      <c r="B306" s="58"/>
    </row>
    <row r="307">
      <c r="B307" s="58"/>
    </row>
    <row r="308">
      <c r="B308" s="58"/>
    </row>
    <row r="309">
      <c r="B309" s="58"/>
    </row>
    <row r="310">
      <c r="B310" s="58"/>
    </row>
    <row r="311">
      <c r="B311" s="58"/>
    </row>
    <row r="312">
      <c r="B312" s="58"/>
    </row>
    <row r="313">
      <c r="B313" s="58"/>
    </row>
    <row r="314">
      <c r="B314" s="58"/>
    </row>
    <row r="315">
      <c r="B315" s="58"/>
    </row>
    <row r="316">
      <c r="B316" s="58"/>
    </row>
    <row r="317">
      <c r="B317" s="58"/>
    </row>
    <row r="318">
      <c r="B318" s="58"/>
    </row>
    <row r="319">
      <c r="B319" s="58"/>
    </row>
    <row r="320">
      <c r="B320" s="58"/>
    </row>
    <row r="321">
      <c r="B321" s="58"/>
    </row>
    <row r="322">
      <c r="B322" s="58"/>
    </row>
    <row r="323">
      <c r="B323" s="58"/>
    </row>
    <row r="324">
      <c r="B324" s="58"/>
    </row>
    <row r="325">
      <c r="B325" s="58"/>
    </row>
    <row r="326">
      <c r="B326" s="58"/>
    </row>
    <row r="327">
      <c r="B327" s="58"/>
    </row>
    <row r="328">
      <c r="B328" s="58"/>
    </row>
    <row r="329">
      <c r="B329" s="58"/>
    </row>
    <row r="330">
      <c r="B330" s="58"/>
    </row>
    <row r="331">
      <c r="B331" s="58"/>
    </row>
    <row r="332">
      <c r="B332" s="58"/>
    </row>
    <row r="333">
      <c r="B333" s="58"/>
    </row>
    <row r="334">
      <c r="B334" s="58"/>
    </row>
    <row r="335">
      <c r="B335" s="58"/>
    </row>
    <row r="336">
      <c r="B336" s="58"/>
    </row>
    <row r="337">
      <c r="B337" s="58"/>
    </row>
    <row r="338">
      <c r="B338" s="58"/>
    </row>
    <row r="339">
      <c r="B339" s="58"/>
    </row>
    <row r="340">
      <c r="B340" s="58"/>
    </row>
    <row r="341">
      <c r="B341" s="58"/>
    </row>
    <row r="342">
      <c r="B342" s="58"/>
    </row>
    <row r="343">
      <c r="B343" s="58"/>
    </row>
    <row r="344">
      <c r="B344" s="58"/>
    </row>
    <row r="345">
      <c r="B345" s="58"/>
    </row>
    <row r="346">
      <c r="B346" s="58"/>
    </row>
    <row r="347">
      <c r="B347" s="58"/>
    </row>
    <row r="348">
      <c r="B348" s="58"/>
    </row>
    <row r="349">
      <c r="B349" s="58"/>
    </row>
    <row r="350">
      <c r="B350" s="58"/>
    </row>
    <row r="351">
      <c r="B351" s="58"/>
    </row>
    <row r="352">
      <c r="B352" s="58"/>
    </row>
    <row r="353">
      <c r="B353" s="58"/>
    </row>
    <row r="354">
      <c r="B354" s="58"/>
    </row>
    <row r="355">
      <c r="B355" s="58"/>
    </row>
    <row r="356">
      <c r="B356" s="58"/>
    </row>
    <row r="357">
      <c r="B357" s="58"/>
    </row>
    <row r="358">
      <c r="B358" s="58"/>
    </row>
    <row r="359">
      <c r="B359" s="58"/>
    </row>
    <row r="360">
      <c r="B360" s="58"/>
    </row>
    <row r="361">
      <c r="B361" s="58"/>
    </row>
    <row r="362">
      <c r="B362" s="58"/>
    </row>
    <row r="363">
      <c r="B363" s="58"/>
    </row>
    <row r="364">
      <c r="B364" s="58"/>
    </row>
    <row r="365">
      <c r="B365" s="58"/>
    </row>
    <row r="366">
      <c r="B366" s="58"/>
    </row>
    <row r="367">
      <c r="B367" s="58"/>
    </row>
    <row r="368">
      <c r="B368" s="58"/>
    </row>
    <row r="369">
      <c r="B369" s="58"/>
    </row>
    <row r="370">
      <c r="B370" s="58"/>
    </row>
    <row r="371">
      <c r="B371" s="58"/>
    </row>
    <row r="372">
      <c r="B372" s="58"/>
    </row>
    <row r="373">
      <c r="B373" s="58"/>
    </row>
    <row r="374">
      <c r="B374" s="58"/>
    </row>
    <row r="375">
      <c r="B375" s="58"/>
    </row>
    <row r="376">
      <c r="B376" s="58"/>
    </row>
    <row r="377">
      <c r="B377" s="58"/>
    </row>
    <row r="378">
      <c r="B378" s="58"/>
    </row>
    <row r="379">
      <c r="B379" s="58"/>
    </row>
    <row r="380">
      <c r="B380" s="58"/>
    </row>
    <row r="381">
      <c r="B381" s="58"/>
    </row>
    <row r="382">
      <c r="B382" s="58"/>
    </row>
    <row r="383">
      <c r="B383" s="58"/>
    </row>
    <row r="384">
      <c r="B384" s="58"/>
    </row>
    <row r="385">
      <c r="B385" s="58"/>
    </row>
    <row r="386">
      <c r="B386" s="58"/>
    </row>
    <row r="387">
      <c r="B387" s="58"/>
    </row>
    <row r="388">
      <c r="B388" s="58"/>
    </row>
    <row r="389">
      <c r="B389" s="58"/>
    </row>
    <row r="390">
      <c r="B390" s="58"/>
    </row>
    <row r="391">
      <c r="B391" s="58"/>
    </row>
    <row r="392">
      <c r="B392" s="58"/>
    </row>
    <row r="393">
      <c r="B393" s="58"/>
    </row>
    <row r="394">
      <c r="B394" s="58"/>
    </row>
    <row r="395">
      <c r="B395" s="58"/>
    </row>
    <row r="396">
      <c r="B396" s="58"/>
    </row>
    <row r="397">
      <c r="B397" s="58"/>
    </row>
    <row r="398">
      <c r="B398" s="58"/>
    </row>
    <row r="399">
      <c r="B399" s="58"/>
    </row>
    <row r="400">
      <c r="B400" s="58"/>
    </row>
    <row r="401">
      <c r="B401" s="58"/>
    </row>
    <row r="402">
      <c r="B402" s="58"/>
    </row>
    <row r="403">
      <c r="B403" s="58"/>
    </row>
    <row r="404">
      <c r="B404" s="58"/>
    </row>
    <row r="405">
      <c r="B405" s="58"/>
    </row>
    <row r="406">
      <c r="B406" s="58"/>
    </row>
    <row r="407">
      <c r="B407" s="58"/>
    </row>
    <row r="408">
      <c r="B408" s="58"/>
    </row>
    <row r="409">
      <c r="B409" s="58"/>
    </row>
    <row r="410">
      <c r="B410" s="58"/>
    </row>
    <row r="411">
      <c r="B411" s="58"/>
    </row>
    <row r="412">
      <c r="B412" s="58"/>
    </row>
    <row r="413">
      <c r="B413" s="58"/>
    </row>
    <row r="414">
      <c r="B414" s="58"/>
    </row>
    <row r="415">
      <c r="B415" s="58"/>
    </row>
    <row r="416">
      <c r="B416" s="58"/>
    </row>
    <row r="417">
      <c r="B417" s="58"/>
    </row>
    <row r="418">
      <c r="B418" s="58"/>
    </row>
    <row r="419">
      <c r="B419" s="58"/>
    </row>
    <row r="420">
      <c r="B420" s="58"/>
    </row>
    <row r="421">
      <c r="B421" s="58"/>
    </row>
    <row r="422">
      <c r="B422" s="58"/>
    </row>
    <row r="423">
      <c r="B423" s="58"/>
    </row>
    <row r="424">
      <c r="B424" s="58"/>
    </row>
    <row r="425">
      <c r="B425" s="58"/>
    </row>
    <row r="426">
      <c r="B426" s="58"/>
    </row>
    <row r="427">
      <c r="B427" s="58"/>
    </row>
    <row r="428">
      <c r="B428" s="58"/>
    </row>
    <row r="429">
      <c r="B429" s="58"/>
    </row>
    <row r="430">
      <c r="B430" s="58"/>
    </row>
    <row r="431">
      <c r="B431" s="58"/>
    </row>
    <row r="432">
      <c r="B432" s="58"/>
    </row>
    <row r="433">
      <c r="B433" s="58"/>
    </row>
    <row r="434">
      <c r="B434" s="58"/>
    </row>
    <row r="435">
      <c r="B435" s="58"/>
    </row>
    <row r="436">
      <c r="B436" s="58"/>
    </row>
    <row r="437">
      <c r="B437" s="58"/>
    </row>
    <row r="438">
      <c r="B438" s="58"/>
    </row>
    <row r="439">
      <c r="B439" s="58"/>
    </row>
    <row r="440">
      <c r="B440" s="58"/>
    </row>
    <row r="441">
      <c r="B441" s="58"/>
    </row>
    <row r="442">
      <c r="B442" s="58"/>
    </row>
    <row r="443">
      <c r="B443" s="58"/>
    </row>
    <row r="444">
      <c r="B444" s="58"/>
    </row>
    <row r="445">
      <c r="B445" s="58"/>
    </row>
    <row r="446">
      <c r="B446" s="58"/>
    </row>
    <row r="447">
      <c r="B447" s="58"/>
    </row>
    <row r="448">
      <c r="B448" s="58"/>
    </row>
    <row r="449">
      <c r="B449" s="58"/>
    </row>
    <row r="450">
      <c r="B450" s="58"/>
    </row>
    <row r="451">
      <c r="B451" s="58"/>
    </row>
    <row r="452">
      <c r="B452" s="58"/>
    </row>
    <row r="453">
      <c r="B453" s="58"/>
    </row>
    <row r="454">
      <c r="B454" s="58"/>
    </row>
    <row r="455">
      <c r="B455" s="58"/>
    </row>
    <row r="456">
      <c r="B456" s="58"/>
    </row>
    <row r="457">
      <c r="B457" s="58"/>
    </row>
    <row r="458">
      <c r="B458" s="58"/>
    </row>
    <row r="459">
      <c r="B459" s="58"/>
    </row>
    <row r="460">
      <c r="B460" s="58"/>
    </row>
    <row r="461">
      <c r="B461" s="58"/>
    </row>
    <row r="462">
      <c r="B462" s="58"/>
    </row>
    <row r="463">
      <c r="B463" s="58"/>
    </row>
    <row r="464">
      <c r="B464" s="58"/>
    </row>
    <row r="465">
      <c r="B465" s="58"/>
    </row>
    <row r="466">
      <c r="B466" s="58"/>
    </row>
    <row r="467">
      <c r="B467" s="58"/>
    </row>
    <row r="468">
      <c r="B468" s="58"/>
    </row>
    <row r="469">
      <c r="B469" s="58"/>
    </row>
    <row r="470">
      <c r="B470" s="58"/>
    </row>
    <row r="471">
      <c r="B471" s="58"/>
    </row>
    <row r="472">
      <c r="B472" s="58"/>
    </row>
    <row r="473">
      <c r="B473" s="58"/>
    </row>
    <row r="474">
      <c r="B474" s="58"/>
    </row>
    <row r="475">
      <c r="B475" s="58"/>
    </row>
    <row r="476">
      <c r="B476" s="58"/>
    </row>
    <row r="477">
      <c r="B477" s="58"/>
    </row>
    <row r="478">
      <c r="B478" s="58"/>
    </row>
    <row r="479">
      <c r="B479" s="58"/>
    </row>
    <row r="480">
      <c r="B480" s="58"/>
    </row>
    <row r="481">
      <c r="B481" s="58"/>
    </row>
    <row r="482">
      <c r="B482" s="58"/>
    </row>
    <row r="483">
      <c r="B483" s="58"/>
    </row>
    <row r="484">
      <c r="B484" s="58"/>
    </row>
    <row r="485">
      <c r="B485" s="58"/>
    </row>
    <row r="486">
      <c r="B486" s="58"/>
    </row>
    <row r="487">
      <c r="B487" s="58"/>
    </row>
    <row r="488">
      <c r="B488" s="58"/>
    </row>
    <row r="489">
      <c r="B489" s="58"/>
    </row>
    <row r="490">
      <c r="B490" s="58"/>
    </row>
    <row r="491">
      <c r="B491" s="58"/>
    </row>
    <row r="492">
      <c r="B492" s="58"/>
    </row>
    <row r="493">
      <c r="B493" s="58"/>
    </row>
    <row r="494">
      <c r="B494" s="58"/>
    </row>
    <row r="495">
      <c r="B495" s="58"/>
    </row>
    <row r="496">
      <c r="B496" s="58"/>
    </row>
    <row r="497">
      <c r="B497" s="58"/>
    </row>
    <row r="498">
      <c r="B498" s="58"/>
    </row>
    <row r="499">
      <c r="B499" s="58"/>
    </row>
    <row r="500">
      <c r="B500" s="58"/>
    </row>
    <row r="501">
      <c r="B501" s="58"/>
    </row>
    <row r="502">
      <c r="B502" s="58"/>
    </row>
    <row r="503">
      <c r="B503" s="58"/>
    </row>
    <row r="504">
      <c r="B504" s="58"/>
    </row>
    <row r="505">
      <c r="B505" s="58"/>
    </row>
    <row r="506">
      <c r="B506" s="58"/>
    </row>
    <row r="507">
      <c r="B507" s="58"/>
    </row>
    <row r="508">
      <c r="B508" s="58"/>
    </row>
    <row r="509">
      <c r="B509" s="58"/>
    </row>
    <row r="510">
      <c r="B510" s="58"/>
    </row>
    <row r="511">
      <c r="B511" s="58"/>
    </row>
    <row r="512">
      <c r="B512" s="58"/>
    </row>
    <row r="513">
      <c r="B513" s="58"/>
    </row>
    <row r="514">
      <c r="B514" s="58"/>
    </row>
    <row r="515">
      <c r="B515" s="58"/>
    </row>
    <row r="516">
      <c r="B516" s="58"/>
    </row>
    <row r="517">
      <c r="B517" s="58"/>
    </row>
    <row r="518">
      <c r="B518" s="58"/>
    </row>
    <row r="519">
      <c r="B519" s="58"/>
    </row>
    <row r="520">
      <c r="B520" s="58"/>
    </row>
    <row r="521">
      <c r="B521" s="58"/>
    </row>
    <row r="522">
      <c r="B522" s="58"/>
    </row>
    <row r="523">
      <c r="B523" s="58"/>
    </row>
    <row r="524">
      <c r="B524" s="58"/>
    </row>
    <row r="525">
      <c r="B525" s="58"/>
    </row>
    <row r="526">
      <c r="B526" s="58"/>
    </row>
    <row r="527">
      <c r="B527" s="58"/>
    </row>
    <row r="528">
      <c r="B528" s="58"/>
    </row>
    <row r="529">
      <c r="B529" s="58"/>
    </row>
    <row r="530">
      <c r="B530" s="58"/>
    </row>
    <row r="531">
      <c r="B531" s="58"/>
    </row>
    <row r="532">
      <c r="B532" s="58"/>
    </row>
    <row r="533">
      <c r="B533" s="58"/>
    </row>
    <row r="534">
      <c r="B534" s="58"/>
    </row>
    <row r="535">
      <c r="B535" s="58"/>
    </row>
    <row r="536">
      <c r="B536" s="58"/>
    </row>
    <row r="537">
      <c r="B537" s="58"/>
    </row>
    <row r="538">
      <c r="B538" s="58"/>
    </row>
    <row r="539">
      <c r="B539" s="58"/>
    </row>
    <row r="540">
      <c r="B540" s="58"/>
    </row>
    <row r="541">
      <c r="B541" s="58"/>
    </row>
    <row r="542">
      <c r="B542" s="58"/>
    </row>
    <row r="543">
      <c r="B543" s="58"/>
    </row>
    <row r="544">
      <c r="B544" s="58"/>
    </row>
    <row r="545">
      <c r="B545" s="58"/>
    </row>
    <row r="546">
      <c r="B546" s="58"/>
    </row>
    <row r="547">
      <c r="B547" s="58"/>
    </row>
    <row r="548">
      <c r="B548" s="58"/>
    </row>
    <row r="549">
      <c r="B549" s="58"/>
    </row>
    <row r="550">
      <c r="B550" s="58"/>
    </row>
    <row r="551">
      <c r="B551" s="58"/>
    </row>
    <row r="552">
      <c r="B552" s="58"/>
    </row>
    <row r="553">
      <c r="B553" s="58"/>
    </row>
    <row r="554">
      <c r="B554" s="58"/>
    </row>
    <row r="555">
      <c r="B555" s="58"/>
    </row>
    <row r="556">
      <c r="B556" s="58"/>
    </row>
    <row r="557">
      <c r="B557" s="58"/>
    </row>
    <row r="558">
      <c r="B558" s="58"/>
    </row>
    <row r="559">
      <c r="B559" s="58"/>
    </row>
    <row r="560">
      <c r="B560" s="58"/>
    </row>
    <row r="561">
      <c r="B561" s="58"/>
    </row>
    <row r="562">
      <c r="B562" s="58"/>
    </row>
    <row r="563">
      <c r="B563" s="58"/>
    </row>
    <row r="564">
      <c r="B564" s="58"/>
    </row>
    <row r="565">
      <c r="B565" s="58"/>
    </row>
    <row r="566">
      <c r="B566" s="58"/>
    </row>
    <row r="567">
      <c r="B567" s="58"/>
    </row>
    <row r="568">
      <c r="B568" s="58"/>
    </row>
    <row r="569">
      <c r="B569" s="58"/>
    </row>
    <row r="570">
      <c r="B570" s="58"/>
    </row>
    <row r="571">
      <c r="B571" s="58"/>
    </row>
    <row r="572">
      <c r="B572" s="58"/>
    </row>
    <row r="573">
      <c r="B573" s="58"/>
    </row>
    <row r="574">
      <c r="B574" s="58"/>
    </row>
    <row r="575">
      <c r="B575" s="58"/>
    </row>
    <row r="576">
      <c r="B576" s="58"/>
    </row>
    <row r="577">
      <c r="B577" s="58"/>
    </row>
    <row r="578">
      <c r="B578" s="58"/>
    </row>
    <row r="579">
      <c r="B579" s="58"/>
    </row>
    <row r="580">
      <c r="B580" s="58"/>
    </row>
    <row r="581">
      <c r="B581" s="58"/>
    </row>
    <row r="582">
      <c r="B582" s="58"/>
    </row>
    <row r="583">
      <c r="B583" s="58"/>
    </row>
    <row r="584">
      <c r="B584" s="58"/>
    </row>
    <row r="585">
      <c r="B585" s="58"/>
    </row>
    <row r="586">
      <c r="B586" s="58"/>
    </row>
    <row r="587">
      <c r="B587" s="58"/>
    </row>
    <row r="588">
      <c r="B588" s="58"/>
    </row>
    <row r="589">
      <c r="B589" s="58"/>
    </row>
    <row r="590">
      <c r="B590" s="58"/>
    </row>
    <row r="591">
      <c r="B591" s="58"/>
    </row>
    <row r="592">
      <c r="B592" s="58"/>
    </row>
    <row r="593">
      <c r="B593" s="58"/>
    </row>
    <row r="594">
      <c r="B594" s="58"/>
    </row>
    <row r="595">
      <c r="B595" s="58"/>
    </row>
    <row r="596">
      <c r="B596" s="58"/>
    </row>
    <row r="597">
      <c r="B597" s="58"/>
    </row>
    <row r="598">
      <c r="B598" s="58"/>
    </row>
    <row r="599">
      <c r="B599" s="58"/>
    </row>
    <row r="600">
      <c r="B600" s="58"/>
    </row>
    <row r="601">
      <c r="B601" s="58"/>
    </row>
    <row r="602">
      <c r="B602" s="58"/>
    </row>
    <row r="603">
      <c r="B603" s="58"/>
    </row>
    <row r="604">
      <c r="B604" s="58"/>
    </row>
    <row r="605">
      <c r="B605" s="58"/>
    </row>
    <row r="606">
      <c r="B606" s="58"/>
    </row>
    <row r="607">
      <c r="B607" s="58"/>
    </row>
    <row r="608">
      <c r="B608" s="58"/>
    </row>
    <row r="609">
      <c r="B609" s="58"/>
    </row>
    <row r="610">
      <c r="B610" s="58"/>
    </row>
    <row r="611">
      <c r="B611" s="58"/>
    </row>
    <row r="612">
      <c r="B612" s="58"/>
    </row>
    <row r="613">
      <c r="B613" s="58"/>
    </row>
    <row r="614">
      <c r="B614" s="58"/>
    </row>
    <row r="615">
      <c r="B615" s="58"/>
    </row>
    <row r="616">
      <c r="B616" s="58"/>
    </row>
    <row r="617">
      <c r="B617" s="58"/>
    </row>
    <row r="618">
      <c r="B618" s="58"/>
    </row>
    <row r="619">
      <c r="B619" s="58"/>
    </row>
    <row r="620">
      <c r="B620" s="58"/>
    </row>
    <row r="621">
      <c r="B621" s="58"/>
    </row>
    <row r="622">
      <c r="B622" s="58"/>
    </row>
    <row r="623">
      <c r="B623" s="58"/>
    </row>
    <row r="624">
      <c r="B624" s="58"/>
    </row>
    <row r="625">
      <c r="B625" s="58"/>
    </row>
    <row r="626">
      <c r="B626" s="58"/>
    </row>
    <row r="627">
      <c r="B627" s="58"/>
    </row>
    <row r="628">
      <c r="B628" s="58"/>
    </row>
    <row r="629">
      <c r="B629" s="58"/>
    </row>
    <row r="630">
      <c r="B630" s="58"/>
    </row>
    <row r="631">
      <c r="B631" s="58"/>
    </row>
    <row r="632">
      <c r="B632" s="58"/>
    </row>
    <row r="633">
      <c r="B633" s="58"/>
    </row>
    <row r="634">
      <c r="B634" s="58"/>
    </row>
    <row r="635">
      <c r="B635" s="58"/>
    </row>
    <row r="636">
      <c r="B636" s="58"/>
    </row>
    <row r="637">
      <c r="B637" s="58"/>
    </row>
    <row r="638">
      <c r="B638" s="58"/>
    </row>
    <row r="639">
      <c r="B639" s="58"/>
    </row>
    <row r="640">
      <c r="B640" s="58"/>
    </row>
    <row r="641">
      <c r="B641" s="58"/>
    </row>
    <row r="642">
      <c r="B642" s="58"/>
    </row>
    <row r="643">
      <c r="B643" s="58"/>
    </row>
    <row r="644">
      <c r="B644" s="58"/>
    </row>
    <row r="645">
      <c r="B645" s="58"/>
    </row>
    <row r="646">
      <c r="B646" s="58"/>
    </row>
    <row r="647">
      <c r="B647" s="58"/>
    </row>
    <row r="648">
      <c r="B648" s="58"/>
    </row>
    <row r="649">
      <c r="B649" s="58"/>
    </row>
    <row r="650">
      <c r="B650" s="58"/>
    </row>
    <row r="651">
      <c r="B651" s="58"/>
    </row>
    <row r="652">
      <c r="B652" s="58"/>
    </row>
    <row r="653">
      <c r="B653" s="58"/>
    </row>
    <row r="654">
      <c r="B654" s="58"/>
    </row>
    <row r="655">
      <c r="B655" s="58"/>
    </row>
    <row r="656">
      <c r="B656" s="58"/>
    </row>
    <row r="657">
      <c r="B657" s="58"/>
    </row>
    <row r="658">
      <c r="B658" s="58"/>
    </row>
    <row r="659">
      <c r="B659" s="58"/>
    </row>
    <row r="660">
      <c r="B660" s="58"/>
    </row>
    <row r="661">
      <c r="B661" s="58"/>
    </row>
    <row r="662">
      <c r="B662" s="58"/>
    </row>
    <row r="663">
      <c r="B663" s="58"/>
    </row>
    <row r="664">
      <c r="B664" s="58"/>
    </row>
    <row r="665">
      <c r="B665" s="58"/>
    </row>
    <row r="666">
      <c r="B666" s="58"/>
    </row>
    <row r="667">
      <c r="B667" s="58"/>
    </row>
    <row r="668">
      <c r="B668" s="58"/>
    </row>
    <row r="669">
      <c r="B669" s="58"/>
    </row>
    <row r="670">
      <c r="B670" s="58"/>
    </row>
    <row r="671">
      <c r="B671" s="58"/>
    </row>
    <row r="672">
      <c r="B672" s="58"/>
    </row>
    <row r="673">
      <c r="B673" s="58"/>
    </row>
    <row r="674">
      <c r="B674" s="58"/>
    </row>
    <row r="675">
      <c r="B675" s="58"/>
    </row>
    <row r="676">
      <c r="B676" s="58"/>
    </row>
    <row r="677">
      <c r="B677" s="58"/>
    </row>
    <row r="678">
      <c r="B678" s="58"/>
    </row>
    <row r="679">
      <c r="B679" s="58"/>
    </row>
    <row r="680">
      <c r="B680" s="58"/>
    </row>
    <row r="681">
      <c r="B681" s="58"/>
    </row>
    <row r="682">
      <c r="B682" s="58"/>
    </row>
    <row r="683">
      <c r="B683" s="58"/>
    </row>
    <row r="684">
      <c r="B684" s="58"/>
    </row>
    <row r="685">
      <c r="B685" s="58"/>
    </row>
    <row r="686">
      <c r="B686" s="58"/>
    </row>
    <row r="687">
      <c r="B687" s="58"/>
    </row>
    <row r="688">
      <c r="B688" s="58"/>
    </row>
    <row r="689">
      <c r="B689" s="58"/>
    </row>
    <row r="690">
      <c r="B690" s="58"/>
    </row>
    <row r="691">
      <c r="B691" s="58"/>
    </row>
    <row r="692">
      <c r="B692" s="58"/>
    </row>
    <row r="693">
      <c r="B693" s="58"/>
    </row>
    <row r="694">
      <c r="B694" s="58"/>
    </row>
    <row r="695">
      <c r="B695" s="58"/>
    </row>
    <row r="696">
      <c r="B696" s="58"/>
    </row>
    <row r="697">
      <c r="B697" s="58"/>
    </row>
    <row r="698">
      <c r="B698" s="58"/>
    </row>
    <row r="699">
      <c r="B699" s="58"/>
    </row>
    <row r="700">
      <c r="B700" s="58"/>
    </row>
    <row r="701">
      <c r="B701" s="58"/>
    </row>
    <row r="702">
      <c r="B702" s="58"/>
    </row>
    <row r="703">
      <c r="B703" s="58"/>
    </row>
    <row r="704">
      <c r="B704" s="58"/>
    </row>
    <row r="705">
      <c r="B705" s="58"/>
    </row>
    <row r="706">
      <c r="B706" s="58"/>
    </row>
    <row r="707">
      <c r="B707" s="58"/>
    </row>
    <row r="708">
      <c r="B708" s="58"/>
    </row>
    <row r="709">
      <c r="B709" s="58"/>
    </row>
    <row r="710">
      <c r="B710" s="58"/>
    </row>
    <row r="711">
      <c r="B711" s="58"/>
    </row>
    <row r="712">
      <c r="B712" s="58"/>
    </row>
    <row r="713">
      <c r="B713" s="58"/>
    </row>
    <row r="714">
      <c r="B714" s="58"/>
    </row>
    <row r="715">
      <c r="B715" s="58"/>
    </row>
    <row r="716">
      <c r="B716" s="58"/>
    </row>
    <row r="717">
      <c r="B717" s="58"/>
    </row>
    <row r="718">
      <c r="B718" s="58"/>
    </row>
    <row r="719">
      <c r="B719" s="58"/>
    </row>
    <row r="720">
      <c r="B720" s="58"/>
    </row>
    <row r="721">
      <c r="B721" s="58"/>
    </row>
    <row r="722">
      <c r="B722" s="58"/>
    </row>
    <row r="723">
      <c r="B723" s="58"/>
    </row>
    <row r="724">
      <c r="B724" s="58"/>
    </row>
    <row r="725">
      <c r="B725" s="58"/>
    </row>
    <row r="726">
      <c r="B726" s="58"/>
    </row>
    <row r="727">
      <c r="B727" s="58"/>
    </row>
    <row r="728">
      <c r="B728" s="58"/>
    </row>
    <row r="729">
      <c r="B729" s="58"/>
    </row>
    <row r="730">
      <c r="B730" s="58"/>
    </row>
    <row r="731">
      <c r="B731" s="58"/>
    </row>
    <row r="732">
      <c r="B732" s="58"/>
    </row>
    <row r="733">
      <c r="B733" s="58"/>
    </row>
    <row r="734">
      <c r="B734" s="58"/>
    </row>
    <row r="735">
      <c r="B735" s="58"/>
    </row>
    <row r="736">
      <c r="B736" s="58"/>
    </row>
    <row r="737">
      <c r="B737" s="58"/>
    </row>
    <row r="738">
      <c r="B738" s="58"/>
    </row>
    <row r="739">
      <c r="B739" s="58"/>
    </row>
    <row r="740">
      <c r="B740" s="58"/>
    </row>
    <row r="741">
      <c r="B741" s="58"/>
    </row>
    <row r="742">
      <c r="B742" s="58"/>
    </row>
    <row r="743">
      <c r="B743" s="58"/>
    </row>
    <row r="744">
      <c r="B744" s="58"/>
    </row>
    <row r="745">
      <c r="B745" s="58"/>
    </row>
    <row r="746">
      <c r="B746" s="58"/>
    </row>
    <row r="747">
      <c r="B747" s="58"/>
    </row>
    <row r="748">
      <c r="B748" s="58"/>
    </row>
    <row r="749">
      <c r="B749" s="58"/>
    </row>
    <row r="750">
      <c r="B750" s="58"/>
    </row>
    <row r="751">
      <c r="B751" s="58"/>
    </row>
    <row r="752">
      <c r="B752" s="58"/>
    </row>
    <row r="753">
      <c r="B753" s="58"/>
    </row>
    <row r="754">
      <c r="B754" s="58"/>
    </row>
    <row r="755">
      <c r="B755" s="58"/>
    </row>
    <row r="756">
      <c r="B756" s="58"/>
    </row>
    <row r="757">
      <c r="B757" s="58"/>
    </row>
    <row r="758">
      <c r="B758" s="58"/>
    </row>
    <row r="759">
      <c r="B759" s="58"/>
    </row>
    <row r="760">
      <c r="B760" s="58"/>
    </row>
    <row r="761">
      <c r="B761" s="58"/>
    </row>
    <row r="762">
      <c r="B762" s="58"/>
    </row>
    <row r="763">
      <c r="B763" s="58"/>
    </row>
    <row r="764">
      <c r="B764" s="58"/>
    </row>
    <row r="765">
      <c r="B765" s="58"/>
    </row>
    <row r="766">
      <c r="B766" s="58"/>
    </row>
    <row r="767">
      <c r="B767" s="58"/>
    </row>
    <row r="768">
      <c r="B768" s="58"/>
    </row>
    <row r="769">
      <c r="B769" s="58"/>
    </row>
    <row r="770">
      <c r="B770" s="58"/>
    </row>
    <row r="771">
      <c r="B771" s="58"/>
    </row>
    <row r="772">
      <c r="B772" s="58"/>
    </row>
    <row r="773">
      <c r="B773" s="58"/>
    </row>
    <row r="774">
      <c r="B774" s="58"/>
    </row>
    <row r="775">
      <c r="B775" s="58"/>
    </row>
    <row r="776">
      <c r="B776" s="58"/>
    </row>
    <row r="777">
      <c r="B777" s="58"/>
    </row>
    <row r="778">
      <c r="B778" s="58"/>
    </row>
    <row r="779">
      <c r="B779" s="58"/>
    </row>
    <row r="780">
      <c r="B780" s="58"/>
    </row>
    <row r="781">
      <c r="B781" s="58"/>
    </row>
    <row r="782">
      <c r="B782" s="58"/>
    </row>
    <row r="783">
      <c r="B783" s="58"/>
    </row>
    <row r="784">
      <c r="B784" s="58"/>
    </row>
    <row r="785">
      <c r="B785" s="58"/>
    </row>
    <row r="786">
      <c r="B786" s="58"/>
    </row>
    <row r="787">
      <c r="B787" s="58"/>
    </row>
    <row r="788">
      <c r="B788" s="58"/>
    </row>
    <row r="789">
      <c r="B789" s="58"/>
    </row>
    <row r="790">
      <c r="B790" s="58"/>
    </row>
    <row r="791">
      <c r="B791" s="58"/>
    </row>
    <row r="792">
      <c r="B792" s="58"/>
    </row>
    <row r="793">
      <c r="B793" s="58"/>
    </row>
    <row r="794">
      <c r="B794" s="58"/>
    </row>
    <row r="795">
      <c r="B795" s="58"/>
    </row>
    <row r="796">
      <c r="B796" s="58"/>
    </row>
    <row r="797">
      <c r="B797" s="58"/>
    </row>
    <row r="798">
      <c r="B798" s="58"/>
    </row>
    <row r="799">
      <c r="B799" s="58"/>
    </row>
    <row r="800">
      <c r="B800" s="58"/>
    </row>
    <row r="801">
      <c r="B801" s="58"/>
    </row>
    <row r="802">
      <c r="B802" s="58"/>
    </row>
    <row r="803">
      <c r="B803" s="58"/>
    </row>
    <row r="804">
      <c r="B804" s="58"/>
    </row>
    <row r="805">
      <c r="B805" s="58"/>
    </row>
    <row r="806">
      <c r="B806" s="58"/>
    </row>
    <row r="807">
      <c r="B807" s="58"/>
    </row>
    <row r="808">
      <c r="B808" s="58"/>
    </row>
    <row r="809">
      <c r="B809" s="58"/>
    </row>
    <row r="810">
      <c r="B810" s="58"/>
    </row>
    <row r="811">
      <c r="B811" s="58"/>
    </row>
    <row r="812">
      <c r="B812" s="58"/>
    </row>
    <row r="813">
      <c r="B813" s="58"/>
    </row>
    <row r="814">
      <c r="B814" s="58"/>
    </row>
    <row r="815">
      <c r="B815" s="58"/>
    </row>
    <row r="816">
      <c r="B816" s="58"/>
    </row>
    <row r="817">
      <c r="B817" s="58"/>
    </row>
    <row r="818">
      <c r="B818" s="58"/>
    </row>
    <row r="819">
      <c r="B819" s="58"/>
    </row>
    <row r="820">
      <c r="B820" s="58"/>
    </row>
    <row r="821">
      <c r="B821" s="58"/>
    </row>
    <row r="822">
      <c r="B822" s="58"/>
    </row>
    <row r="823">
      <c r="B823" s="58"/>
    </row>
    <row r="824">
      <c r="B824" s="58"/>
    </row>
    <row r="825">
      <c r="B825" s="58"/>
    </row>
    <row r="826">
      <c r="B826" s="58"/>
    </row>
    <row r="827">
      <c r="B827" s="58"/>
    </row>
    <row r="828">
      <c r="B828" s="58"/>
    </row>
    <row r="829">
      <c r="B829" s="58"/>
    </row>
    <row r="830">
      <c r="B830" s="58"/>
    </row>
    <row r="831">
      <c r="B831" s="58"/>
    </row>
    <row r="832">
      <c r="B832" s="58"/>
    </row>
    <row r="833">
      <c r="B833" s="58"/>
    </row>
    <row r="834">
      <c r="B834" s="58"/>
    </row>
    <row r="835">
      <c r="B835" s="58"/>
    </row>
    <row r="836">
      <c r="B836" s="58"/>
    </row>
    <row r="837">
      <c r="B837" s="58"/>
    </row>
    <row r="838">
      <c r="B838" s="58"/>
    </row>
    <row r="839">
      <c r="B839" s="58"/>
    </row>
    <row r="840">
      <c r="B840" s="58"/>
    </row>
    <row r="841">
      <c r="B841" s="58"/>
    </row>
    <row r="842">
      <c r="B842" s="58"/>
    </row>
    <row r="843">
      <c r="B843" s="58"/>
    </row>
    <row r="844">
      <c r="B844" s="58"/>
    </row>
    <row r="845">
      <c r="B845" s="58"/>
    </row>
    <row r="846">
      <c r="B846" s="58"/>
    </row>
    <row r="847">
      <c r="B847" s="58"/>
    </row>
    <row r="848">
      <c r="B848" s="58"/>
    </row>
    <row r="849">
      <c r="B849" s="58"/>
    </row>
    <row r="850">
      <c r="B850" s="58"/>
    </row>
    <row r="851">
      <c r="B851" s="58"/>
    </row>
    <row r="852">
      <c r="B852" s="58"/>
    </row>
    <row r="853">
      <c r="B853" s="58"/>
    </row>
    <row r="854">
      <c r="B854" s="58"/>
    </row>
    <row r="855">
      <c r="B855" s="58"/>
    </row>
    <row r="856">
      <c r="B856" s="58"/>
    </row>
    <row r="857">
      <c r="B857" s="58"/>
    </row>
    <row r="858">
      <c r="B858" s="58"/>
    </row>
    <row r="859">
      <c r="B859" s="58"/>
    </row>
    <row r="860">
      <c r="B860" s="58"/>
    </row>
    <row r="861">
      <c r="B861" s="58"/>
    </row>
    <row r="862">
      <c r="B862" s="58"/>
    </row>
    <row r="863">
      <c r="B863" s="58"/>
    </row>
    <row r="864">
      <c r="B864" s="58"/>
    </row>
    <row r="865">
      <c r="B865" s="58"/>
    </row>
    <row r="866">
      <c r="B866" s="58"/>
    </row>
    <row r="867">
      <c r="B867" s="58"/>
    </row>
    <row r="868">
      <c r="B868" s="58"/>
    </row>
    <row r="869">
      <c r="B869" s="58"/>
    </row>
    <row r="870">
      <c r="B870" s="58"/>
    </row>
    <row r="871">
      <c r="B871" s="58"/>
    </row>
    <row r="872">
      <c r="B872" s="58"/>
    </row>
    <row r="873">
      <c r="B873" s="58"/>
    </row>
    <row r="874">
      <c r="B874" s="58"/>
    </row>
    <row r="875">
      <c r="B875" s="58"/>
    </row>
    <row r="876">
      <c r="B876" s="58"/>
    </row>
    <row r="877">
      <c r="B877" s="58"/>
    </row>
    <row r="878">
      <c r="B878" s="58"/>
    </row>
    <row r="879">
      <c r="B879" s="58"/>
    </row>
    <row r="880">
      <c r="B880" s="58"/>
    </row>
    <row r="881">
      <c r="B881" s="58"/>
    </row>
    <row r="882">
      <c r="B882" s="58"/>
    </row>
    <row r="883">
      <c r="B883" s="58"/>
    </row>
    <row r="884">
      <c r="B884" s="58"/>
    </row>
    <row r="885">
      <c r="B885" s="58"/>
    </row>
    <row r="886">
      <c r="B886" s="58"/>
    </row>
    <row r="887">
      <c r="B887" s="58"/>
    </row>
    <row r="888">
      <c r="B888" s="58"/>
    </row>
    <row r="889">
      <c r="B889" s="58"/>
    </row>
    <row r="890">
      <c r="B890" s="58"/>
    </row>
    <row r="891">
      <c r="B891" s="58"/>
    </row>
    <row r="892">
      <c r="B892" s="58"/>
    </row>
    <row r="893">
      <c r="B893" s="58"/>
    </row>
    <row r="894">
      <c r="B894" s="58"/>
    </row>
    <row r="895">
      <c r="B895" s="58"/>
    </row>
    <row r="896">
      <c r="B896" s="58"/>
    </row>
    <row r="897">
      <c r="B897" s="58"/>
    </row>
    <row r="898">
      <c r="B898" s="58"/>
    </row>
    <row r="899">
      <c r="B899" s="58"/>
    </row>
    <row r="900">
      <c r="B900" s="58"/>
    </row>
    <row r="901">
      <c r="B901" s="58"/>
    </row>
    <row r="902">
      <c r="B902" s="58"/>
    </row>
    <row r="903">
      <c r="B903" s="58"/>
    </row>
    <row r="904">
      <c r="B904" s="58"/>
    </row>
    <row r="905">
      <c r="B905" s="58"/>
    </row>
    <row r="906">
      <c r="B906" s="58"/>
    </row>
    <row r="907">
      <c r="B907" s="58"/>
    </row>
    <row r="908">
      <c r="B908" s="58"/>
    </row>
    <row r="909">
      <c r="B909" s="58"/>
    </row>
    <row r="910">
      <c r="B910" s="58"/>
    </row>
    <row r="911">
      <c r="B911" s="58"/>
    </row>
    <row r="912">
      <c r="B912" s="58"/>
    </row>
    <row r="913">
      <c r="B913" s="58"/>
    </row>
    <row r="914">
      <c r="B914" s="58"/>
    </row>
    <row r="915">
      <c r="B915" s="58"/>
    </row>
    <row r="916">
      <c r="B916" s="58"/>
    </row>
    <row r="917">
      <c r="B917" s="58"/>
    </row>
    <row r="918">
      <c r="B918" s="58"/>
    </row>
    <row r="919">
      <c r="B919" s="58"/>
    </row>
    <row r="920">
      <c r="B920" s="58"/>
    </row>
    <row r="921">
      <c r="B921" s="58"/>
    </row>
    <row r="922">
      <c r="B922" s="58"/>
    </row>
    <row r="923">
      <c r="B923" s="58"/>
    </row>
    <row r="924">
      <c r="B924" s="58"/>
    </row>
    <row r="925">
      <c r="B925" s="58"/>
    </row>
    <row r="926">
      <c r="B926" s="58"/>
    </row>
    <row r="927">
      <c r="B927" s="58"/>
    </row>
    <row r="928">
      <c r="B928" s="58"/>
    </row>
    <row r="929">
      <c r="B929" s="58"/>
    </row>
    <row r="930">
      <c r="B930" s="58"/>
    </row>
    <row r="931">
      <c r="B931" s="58"/>
    </row>
    <row r="932">
      <c r="B932" s="58"/>
    </row>
    <row r="933">
      <c r="B933" s="58"/>
    </row>
    <row r="934">
      <c r="B934" s="58"/>
    </row>
    <row r="935">
      <c r="B935" s="58"/>
    </row>
    <row r="936">
      <c r="B936" s="58"/>
    </row>
    <row r="937">
      <c r="B937" s="58"/>
    </row>
    <row r="938">
      <c r="B938" s="58"/>
    </row>
    <row r="939">
      <c r="B939" s="58"/>
    </row>
    <row r="940">
      <c r="B940" s="58"/>
    </row>
    <row r="941">
      <c r="B941" s="58"/>
    </row>
    <row r="942">
      <c r="B942" s="58"/>
    </row>
    <row r="943">
      <c r="B943" s="58"/>
    </row>
    <row r="944">
      <c r="B944" s="58"/>
    </row>
    <row r="945">
      <c r="B945" s="58"/>
    </row>
    <row r="946">
      <c r="B946" s="58"/>
    </row>
    <row r="947">
      <c r="B947" s="58"/>
    </row>
    <row r="948">
      <c r="B948" s="58"/>
    </row>
    <row r="949">
      <c r="B949" s="58"/>
    </row>
    <row r="950">
      <c r="B950" s="58"/>
    </row>
    <row r="951">
      <c r="B951" s="58"/>
    </row>
    <row r="952">
      <c r="B952" s="58"/>
    </row>
    <row r="953">
      <c r="B953" s="58"/>
    </row>
    <row r="954">
      <c r="B954" s="58"/>
    </row>
    <row r="955">
      <c r="B955" s="58"/>
    </row>
    <row r="956">
      <c r="B956" s="58"/>
    </row>
    <row r="957">
      <c r="B957" s="58"/>
    </row>
    <row r="958">
      <c r="B958" s="58"/>
    </row>
    <row r="959">
      <c r="B959" s="58"/>
    </row>
    <row r="960">
      <c r="B960" s="58"/>
    </row>
    <row r="961">
      <c r="B961" s="58"/>
    </row>
    <row r="962">
      <c r="B962" s="58"/>
    </row>
    <row r="963">
      <c r="B963" s="58"/>
    </row>
    <row r="964">
      <c r="B964" s="58"/>
    </row>
    <row r="965">
      <c r="B965" s="58"/>
    </row>
    <row r="966">
      <c r="B966" s="58"/>
    </row>
    <row r="967">
      <c r="B967" s="58"/>
    </row>
    <row r="968">
      <c r="B968" s="58"/>
    </row>
    <row r="969">
      <c r="B969" s="58"/>
    </row>
    <row r="970">
      <c r="B970" s="58"/>
    </row>
    <row r="971">
      <c r="B971" s="58"/>
    </row>
    <row r="972">
      <c r="B972" s="58"/>
    </row>
    <row r="973">
      <c r="B973" s="58"/>
    </row>
    <row r="974">
      <c r="B974" s="58"/>
    </row>
    <row r="975">
      <c r="B975" s="58"/>
    </row>
    <row r="976">
      <c r="B976" s="58"/>
    </row>
    <row r="977">
      <c r="B977" s="58"/>
    </row>
    <row r="978">
      <c r="B978" s="58"/>
    </row>
    <row r="979">
      <c r="B979" s="58"/>
    </row>
    <row r="980">
      <c r="B980" s="58"/>
    </row>
    <row r="981">
      <c r="B981" s="58"/>
    </row>
    <row r="982">
      <c r="B982" s="58"/>
    </row>
    <row r="983">
      <c r="B983" s="58"/>
    </row>
    <row r="984">
      <c r="B984" s="58"/>
    </row>
    <row r="985">
      <c r="B985" s="58"/>
    </row>
    <row r="986">
      <c r="B986" s="58"/>
    </row>
    <row r="987">
      <c r="B987" s="58"/>
    </row>
    <row r="988">
      <c r="B988" s="58"/>
    </row>
    <row r="989">
      <c r="B989" s="58"/>
    </row>
    <row r="990">
      <c r="B990" s="58"/>
    </row>
    <row r="991">
      <c r="B991" s="58"/>
    </row>
    <row r="992">
      <c r="B992" s="58"/>
    </row>
    <row r="993">
      <c r="B993" s="58"/>
    </row>
    <row r="994">
      <c r="B994" s="58"/>
    </row>
    <row r="995">
      <c r="B995" s="58"/>
    </row>
    <row r="996">
      <c r="B996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57"/>
    <col customWidth="1" min="3" max="26" width="8.71"/>
  </cols>
  <sheetData>
    <row r="2">
      <c r="B2" s="59" t="s">
        <v>159</v>
      </c>
      <c r="C2" s="59">
        <v>29950.47</v>
      </c>
    </row>
    <row r="3">
      <c r="B3" s="59" t="s">
        <v>160</v>
      </c>
    </row>
    <row r="4">
      <c r="B4" s="59" t="s">
        <v>161</v>
      </c>
    </row>
    <row r="5">
      <c r="B5" s="59" t="s">
        <v>162</v>
      </c>
    </row>
    <row r="6">
      <c r="B6" s="59" t="s">
        <v>163</v>
      </c>
      <c r="C6" s="59">
        <v>300000.0</v>
      </c>
    </row>
    <row r="9">
      <c r="B9" s="59" t="s">
        <v>164</v>
      </c>
    </row>
    <row r="10">
      <c r="B10" s="59" t="s">
        <v>165</v>
      </c>
      <c r="C10" s="59">
        <v>0.0</v>
      </c>
    </row>
    <row r="11">
      <c r="B11" s="59" t="s">
        <v>166</v>
      </c>
    </row>
    <row r="12">
      <c r="B12" s="59" t="s">
        <v>167</v>
      </c>
    </row>
    <row r="13">
      <c r="B13" s="59" t="s">
        <v>168</v>
      </c>
    </row>
    <row r="14">
      <c r="B14" s="59" t="s">
        <v>169</v>
      </c>
    </row>
    <row r="15">
      <c r="B15" s="59" t="s">
        <v>170</v>
      </c>
    </row>
    <row r="16">
      <c r="B16" s="59" t="s">
        <v>171</v>
      </c>
    </row>
    <row r="17">
      <c r="B17" s="59" t="s">
        <v>172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8.14"/>
    <col customWidth="1" min="3" max="3" width="9.43"/>
    <col customWidth="1" min="4" max="4" width="13.0"/>
    <col customWidth="1" min="5" max="5" width="6.0"/>
    <col customWidth="1" min="6" max="6" width="9.43"/>
    <col customWidth="1" min="7" max="7" width="5.71"/>
    <col customWidth="1" min="8" max="8" width="10.14"/>
    <col customWidth="1" min="9" max="9" width="5.71"/>
  </cols>
  <sheetData>
    <row r="2">
      <c r="A2" s="60" t="s">
        <v>173</v>
      </c>
      <c r="B2" s="60" t="s">
        <v>174</v>
      </c>
      <c r="C2" s="60" t="s">
        <v>175</v>
      </c>
      <c r="D2" s="60" t="s">
        <v>176</v>
      </c>
      <c r="E2" s="60" t="s">
        <v>177</v>
      </c>
      <c r="F2" s="60" t="s">
        <v>178</v>
      </c>
      <c r="G2" s="60" t="s">
        <v>118</v>
      </c>
      <c r="H2" s="60" t="s">
        <v>179</v>
      </c>
      <c r="I2" s="60" t="s">
        <v>118</v>
      </c>
    </row>
    <row r="3">
      <c r="A3" s="61">
        <v>44716.0</v>
      </c>
      <c r="B3" s="62" t="s">
        <v>180</v>
      </c>
      <c r="C3" s="62" t="s">
        <v>180</v>
      </c>
      <c r="D3" s="63"/>
      <c r="E3" s="63"/>
      <c r="F3" s="62" t="s">
        <v>181</v>
      </c>
      <c r="G3" s="64">
        <v>75.0</v>
      </c>
      <c r="H3" s="62" t="s">
        <v>182</v>
      </c>
      <c r="I3" s="64">
        <v>0.0</v>
      </c>
    </row>
    <row r="4">
      <c r="A4" s="61">
        <v>44717.0</v>
      </c>
      <c r="B4" s="62"/>
      <c r="C4" s="62" t="s">
        <v>180</v>
      </c>
      <c r="D4" s="63"/>
      <c r="E4" s="63"/>
      <c r="F4" s="62" t="s">
        <v>181</v>
      </c>
      <c r="G4" s="64"/>
      <c r="H4" s="62" t="s">
        <v>182</v>
      </c>
      <c r="I4" s="64">
        <v>0.0</v>
      </c>
    </row>
    <row r="5">
      <c r="A5" s="61">
        <v>44719.0</v>
      </c>
      <c r="B5" s="62" t="s">
        <v>183</v>
      </c>
      <c r="C5" s="62" t="s">
        <v>184</v>
      </c>
      <c r="D5" s="63"/>
      <c r="E5" s="63"/>
      <c r="F5" s="62" t="s">
        <v>181</v>
      </c>
      <c r="G5" s="65"/>
      <c r="H5" s="62" t="s">
        <v>185</v>
      </c>
      <c r="I5" s="66"/>
    </row>
    <row r="6">
      <c r="A6" s="61">
        <v>44720.0</v>
      </c>
      <c r="B6" s="62"/>
      <c r="C6" s="62" t="s">
        <v>186</v>
      </c>
      <c r="D6" s="63"/>
      <c r="E6" s="62" t="s">
        <v>187</v>
      </c>
      <c r="F6" s="63"/>
      <c r="G6" s="64">
        <v>26.0</v>
      </c>
      <c r="H6" s="62" t="s">
        <v>185</v>
      </c>
      <c r="I6" s="64">
        <v>58.0</v>
      </c>
    </row>
    <row r="7">
      <c r="A7" s="61">
        <v>44721.0</v>
      </c>
      <c r="B7" s="62"/>
      <c r="C7" s="62" t="s">
        <v>186</v>
      </c>
      <c r="D7" s="63"/>
      <c r="E7" s="62" t="s">
        <v>187</v>
      </c>
      <c r="F7" s="63"/>
      <c r="G7" s="65"/>
      <c r="H7" s="62" t="s">
        <v>185</v>
      </c>
      <c r="I7" s="64">
        <v>58.0</v>
      </c>
    </row>
    <row r="8">
      <c r="A8" s="61">
        <v>44722.0</v>
      </c>
      <c r="B8" s="62"/>
      <c r="C8" s="62" t="s">
        <v>186</v>
      </c>
      <c r="D8" s="63"/>
      <c r="E8" s="62" t="s">
        <v>187</v>
      </c>
      <c r="F8" s="63"/>
      <c r="G8" s="65"/>
      <c r="H8" s="62" t="s">
        <v>185</v>
      </c>
      <c r="I8" s="64">
        <v>58.0</v>
      </c>
    </row>
    <row r="9">
      <c r="A9" s="61">
        <v>44723.0</v>
      </c>
      <c r="B9" s="62"/>
      <c r="C9" s="62" t="s">
        <v>186</v>
      </c>
      <c r="D9" s="63"/>
      <c r="E9" s="62" t="s">
        <v>187</v>
      </c>
      <c r="F9" s="63"/>
      <c r="G9" s="65"/>
      <c r="H9" s="62" t="s">
        <v>185</v>
      </c>
      <c r="I9" s="64">
        <v>58.0</v>
      </c>
    </row>
    <row r="10">
      <c r="A10" s="61">
        <v>44724.0</v>
      </c>
      <c r="B10" s="62"/>
      <c r="C10" s="62" t="s">
        <v>186</v>
      </c>
      <c r="D10" s="63"/>
      <c r="E10" s="62" t="s">
        <v>187</v>
      </c>
      <c r="F10" s="63"/>
      <c r="G10" s="65"/>
      <c r="H10" s="62" t="s">
        <v>185</v>
      </c>
      <c r="I10" s="64">
        <v>40.0</v>
      </c>
    </row>
    <row r="11">
      <c r="A11" s="61">
        <v>44725.0</v>
      </c>
      <c r="B11" s="62" t="s">
        <v>188</v>
      </c>
      <c r="C11" s="62" t="s">
        <v>189</v>
      </c>
      <c r="D11" s="63"/>
      <c r="E11" s="63"/>
      <c r="F11" s="62" t="s">
        <v>181</v>
      </c>
      <c r="G11" s="64">
        <v>85.0</v>
      </c>
      <c r="H11" s="62" t="s">
        <v>185</v>
      </c>
      <c r="I11" s="64">
        <v>60.0</v>
      </c>
    </row>
    <row r="12">
      <c r="A12" s="61">
        <v>44726.0</v>
      </c>
      <c r="B12" s="62"/>
      <c r="C12" s="62" t="s">
        <v>190</v>
      </c>
      <c r="D12" s="63"/>
      <c r="E12" s="62" t="s">
        <v>191</v>
      </c>
      <c r="F12" s="63"/>
      <c r="G12" s="64">
        <v>40.0</v>
      </c>
      <c r="H12" s="62" t="s">
        <v>185</v>
      </c>
      <c r="I12" s="66"/>
    </row>
    <row r="13">
      <c r="A13" s="61">
        <v>44727.0</v>
      </c>
      <c r="B13" s="62"/>
      <c r="C13" s="62" t="s">
        <v>192</v>
      </c>
      <c r="D13" s="63"/>
      <c r="E13" s="62" t="s">
        <v>191</v>
      </c>
      <c r="F13" s="63"/>
      <c r="G13" s="64">
        <v>60.0</v>
      </c>
      <c r="H13" s="62" t="s">
        <v>185</v>
      </c>
      <c r="I13" s="64">
        <v>65.0</v>
      </c>
    </row>
    <row r="14">
      <c r="A14" s="61">
        <v>44728.0</v>
      </c>
      <c r="B14" s="62" t="s">
        <v>193</v>
      </c>
      <c r="C14" s="62" t="s">
        <v>194</v>
      </c>
      <c r="D14" s="63"/>
      <c r="E14" s="63"/>
      <c r="F14" s="62" t="s">
        <v>195</v>
      </c>
      <c r="G14" s="64">
        <v>61.0</v>
      </c>
      <c r="H14" s="62" t="s">
        <v>185</v>
      </c>
      <c r="I14" s="64">
        <v>65.0</v>
      </c>
    </row>
    <row r="15">
      <c r="A15" s="61">
        <v>44729.0</v>
      </c>
      <c r="B15" s="62"/>
      <c r="C15" s="62" t="s">
        <v>184</v>
      </c>
      <c r="D15" s="63"/>
      <c r="E15" s="63"/>
      <c r="F15" s="62" t="s">
        <v>195</v>
      </c>
      <c r="G15" s="64">
        <v>111.0</v>
      </c>
      <c r="H15" s="62"/>
      <c r="I15" s="67"/>
    </row>
    <row r="16">
      <c r="A16" s="61">
        <v>44730.0</v>
      </c>
      <c r="B16" s="62"/>
      <c r="C16" s="62" t="s">
        <v>184</v>
      </c>
      <c r="D16" s="63"/>
      <c r="E16" s="63"/>
      <c r="F16" s="63"/>
      <c r="G16" s="65"/>
      <c r="H16" s="63"/>
      <c r="I16" s="66"/>
    </row>
    <row r="17">
      <c r="A17" s="61">
        <v>44731.0</v>
      </c>
      <c r="B17" s="62"/>
      <c r="C17" s="62" t="s">
        <v>184</v>
      </c>
      <c r="D17" s="63"/>
      <c r="E17" s="63"/>
      <c r="F17" s="63"/>
      <c r="G17" s="65"/>
      <c r="H17" s="63"/>
      <c r="I17" s="66"/>
    </row>
    <row r="18">
      <c r="A18" s="63"/>
      <c r="B18" s="63"/>
      <c r="C18" s="63"/>
      <c r="D18" s="63"/>
      <c r="E18" s="63"/>
      <c r="F18" s="63"/>
      <c r="G18" s="68">
        <f>SUM(G3:G17)</f>
        <v>458</v>
      </c>
      <c r="H18" s="69"/>
      <c r="I18" s="68">
        <f>SUM(I3:I17)</f>
        <v>462</v>
      </c>
    </row>
    <row r="19">
      <c r="G19" s="70"/>
      <c r="H19" s="71">
        <f>G18+I18</f>
        <v>920</v>
      </c>
      <c r="I19" s="70"/>
    </row>
    <row r="21">
      <c r="D21" s="56" t="s">
        <v>196</v>
      </c>
      <c r="F21" s="72">
        <v>1500000.0</v>
      </c>
    </row>
    <row r="22">
      <c r="D22" s="56" t="s">
        <v>197</v>
      </c>
      <c r="F22" s="72">
        <v>2000000.0</v>
      </c>
    </row>
    <row r="23">
      <c r="D23" s="56" t="s">
        <v>77</v>
      </c>
      <c r="F23" s="72">
        <v>500000.0</v>
      </c>
    </row>
    <row r="24">
      <c r="F24" s="73">
        <f>F22+F21+F23</f>
        <v>4000000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2017-09-28T01:59:20Z</dcterms:created>
  <dc:creator>Juan Luis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0x01010083972B16DF227F409A323B413A3C5838</vt:lpwstr>
  </property>
</Properties>
</file>