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ПРОЄКТИ\"/>
    </mc:Choice>
  </mc:AlternateContent>
  <bookViews>
    <workbookView xWindow="0" yWindow="0" windowWidth="23040" windowHeight="8820" tabRatio="780" activeTab="4"/>
  </bookViews>
  <sheets>
    <sheet name="Дані" sheetId="1" r:id="rId1"/>
    <sheet name="Зведена_Депозит_Всього_Квартали" sheetId="5" r:id="rId2"/>
    <sheet name="Зведена_Ставки_Квартали" sheetId="6" r:id="rId3"/>
    <sheet name="Індекс_Сезонності_Квартали" sheetId="8" r:id="rId4"/>
    <sheet name="Індекс_Сезонності_Місяці" sheetId="9" r:id="rId5"/>
  </sheets>
  <definedNames>
    <definedName name="__t04" hidden="1">{#N/A,#N/A,FALSE,"т04"}</definedName>
    <definedName name="__t06" hidden="1">{#N/A,#N/A,FALSE,"т04"}</definedName>
    <definedName name="_t04" hidden="1">{#N/A,#N/A,FALSE,"т04"}</definedName>
    <definedName name="_t06" hidden="1">{#N/A,#N/A,FALSE,"т04"}</definedName>
    <definedName name="drfgdfgf" hidden="1">{#N/A,#N/A,FALSE,"Лист4"}</definedName>
    <definedName name="g7.2" hidden="1">{#N/A,#N/A,FALSE,"т04"}</definedName>
    <definedName name="ll" hidden="1">{#N/A,#N/A,FALSE,"Лист4"}</definedName>
    <definedName name="n" hidden="1">{#N/A,#N/A,FALSE,"Лист4"}</definedName>
    <definedName name="q" hidden="1">{#N/A,#N/A,FALSE,"т02бд"}</definedName>
    <definedName name="t01англ" hidden="1">{#N/A,#N/A,FALSE,"т02бд"}</definedName>
    <definedName name="t05n" hidden="1">{#N/A,#N/A,FALSE,"т04"}</definedName>
    <definedName name="t05nn" hidden="1">{#N/A,#N/A,FALSE,"т04"}</definedName>
    <definedName name="wrn.04." hidden="1">{#N/A,#N/A,FALSE,"т02бд"}</definedName>
    <definedName name="wrn.д02." hidden="1">{#N/A,#N/A,FALSE,"т02бд"}</definedName>
    <definedName name="wrn.Інструкція." hidden="1">{#N/A,#N/A,FALSE,"Лист4"}</definedName>
    <definedName name="wrn.т171банки." hidden="1">{#N/A,#N/A,FALSE,"т17-1банки (2)"}</definedName>
    <definedName name="аа" hidden="1">{#N/A,#N/A,FALSE,"Лист4"}</definedName>
    <definedName name="аааа" hidden="1">{#N/A,#N/A,FALSE,"Лист4"}</definedName>
    <definedName name="ааааа" hidden="1">{#N/A,#N/A,FALSE,"Лист4"}</definedName>
    <definedName name="аааг" hidden="1">{#N/A,#N/A,FALSE,"Лист4"}</definedName>
    <definedName name="ааао" hidden="1">{#N/A,#N/A,FALSE,"Лист4"}</definedName>
    <definedName name="аааоркк" hidden="1">{#N/A,#N/A,FALSE,"Лист4"}</definedName>
    <definedName name="аарр" hidden="1">{#N/A,#N/A,FALSE,"Лист4"}</definedName>
    <definedName name="амп" hidden="1">{#N/A,#N/A,FALSE,"Лист4"}</definedName>
    <definedName name="ап" hidden="1">{#N/A,#N/A,FALSE,"Лист4"}</definedName>
    <definedName name="апро" hidden="1">{#N/A,#N/A,FALSE,"Лист4"}</definedName>
    <definedName name="аунуну" hidden="1">{#N/A,#N/A,FALSE,"Лист4"}</definedName>
    <definedName name="бб" hidden="1">{#N/A,#N/A,FALSE,"Лист4"}</definedName>
    <definedName name="вап" hidden="1">{#N/A,#N/A,FALSE,"Лист4"}</definedName>
    <definedName name="вапа" hidden="1">{#N/A,#N/A,FALSE,"Лист4"}</definedName>
    <definedName name="вапро" hidden="1">{#N/A,#N/A,FALSE,"Лист4"}</definedName>
    <definedName name="вау" hidden="1">{#N/A,#N/A,FALSE,"Лист4"}</definedName>
    <definedName name="вв" hidden="1">{#N/A,#N/A,FALSE,"Лист4"}</definedName>
    <definedName name="вмр" hidden="1">{#N/A,#N/A,FALSE,"Лист4"}</definedName>
    <definedName name="вруу" hidden="1">{#N/A,#N/A,FALSE,"Лист4"}</definedName>
    <definedName name="врууунуууу" hidden="1">{#N/A,#N/A,FALSE,"Лист4"}</definedName>
    <definedName name="гг" hidden="1">{#N/A,#N/A,FALSE,"Лист4"}</definedName>
    <definedName name="ггг" hidden="1">{#N/A,#N/A,FALSE,"Лист4"}</definedName>
    <definedName name="ггггг" hidden="1">{#N/A,#N/A,FALSE,"Лист4"}</definedName>
    <definedName name="гго" hidden="1">{#N/A,#N/A,FALSE,"Лист4"}</definedName>
    <definedName name="ггшшз" hidden="1">{#N/A,#N/A,FALSE,"Лист4"}</definedName>
    <definedName name="гр" hidden="1">{#N/A,#N/A,FALSE,"Лист4"}</definedName>
    <definedName name="ддд" hidden="1">{#N/A,#N/A,FALSE,"Лист4"}</definedName>
    <definedName name="е" hidden="1">{#N/A,#N/A,FALSE,"Лист4"}</definedName>
    <definedName name="ее" hidden="1">{#N/A,#N/A,FALSE,"Лист4"}</definedName>
    <definedName name="ееге" hidden="1">{#N/A,#N/A,FALSE,"Лист4"}</definedName>
    <definedName name="еегше" hidden="1">{#N/A,#N/A,FALSE,"Лист4"}</definedName>
    <definedName name="еее" hidden="1">{#N/A,#N/A,FALSE,"Лист4"}</definedName>
    <definedName name="ееее" hidden="1">{#N/A,#N/A,FALSE,"Лист4"}</definedName>
    <definedName name="ееекк" hidden="1">{#N/A,#N/A,FALSE,"Лист4"}</definedName>
    <definedName name="еепке" hidden="1">{#N/A,#N/A,FALSE,"Лист4"}</definedName>
    <definedName name="еешгег" hidden="1">{#N/A,#N/A,FALSE,"Лист4"}</definedName>
    <definedName name="екуц" hidden="1">{#N/A,#N/A,FALSE,"Лист4"}</definedName>
    <definedName name="енг" hidden="1">{#N/A,#N/A,FALSE,"Лист4"}</definedName>
    <definedName name="епи" hidden="1">{#N/A,#N/A,FALSE,"Лист4"}</definedName>
    <definedName name="ешгееуу" hidden="1">{#N/A,#N/A,FALSE,"Лист4"}</definedName>
    <definedName name="є" hidden="1">{#N/A,#N/A,FALSE,"Лист4"}</definedName>
    <definedName name="єєє" hidden="1">{#N/A,#N/A,FALSE,"Лист4"}</definedName>
    <definedName name="єєєєєє" hidden="1">{#N/A,#N/A,FALSE,"Лист4"}</definedName>
    <definedName name="єєєєєєє" hidden="1">{#N/A,#N/A,FALSE,"Лист4"}</definedName>
    <definedName name="єєєєєєє." hidden="1">{#N/A,#N/A,FALSE,"Лист4"}</definedName>
    <definedName name="єєєєєєєєєєєє" hidden="1">{#N/A,#N/A,FALSE,"Лист4"}</definedName>
    <definedName name="єж" hidden="1">{#N/A,#N/A,FALSE,"Лист4"}</definedName>
    <definedName name="жж" hidden="1">{#N/A,#N/A,FALSE,"Лист4"}</definedName>
    <definedName name="житлове" hidden="1">{#N/A,#N/A,FALSE,"Лист4"}</definedName>
    <definedName name="здоровя" hidden="1">{#N/A,#N/A,FALSE,"Лист4"}</definedName>
    <definedName name="зз" hidden="1">{#N/A,#N/A,FALSE,"Лист4"}</definedName>
    <definedName name="ззз" hidden="1">{#N/A,#N/A,FALSE,"Лист4"}</definedName>
    <definedName name="зззз" hidden="1">{#N/A,#N/A,FALSE,"Лист4"}</definedName>
    <definedName name="ип" hidden="1">{#N/A,#N/A,FALSE,"Лист4"}</definedName>
    <definedName name="ить" hidden="1">{#N/A,#N/A,FALSE,"Лист4"}</definedName>
    <definedName name="іваа" hidden="1">{#N/A,#N/A,FALSE,"Лист4"}</definedName>
    <definedName name="івап" hidden="1">{#N/A,#N/A,FALSE,"Лист4"}</definedName>
    <definedName name="івпа" hidden="1">{#N/A,#N/A,FALSE,"Лист4"}</definedName>
    <definedName name="іі" hidden="1">{#N/A,#N/A,FALSE,"Лист4"}</definedName>
    <definedName name="ііі" hidden="1">{#N/A,#N/A,FALSE,"Лист4"}</definedName>
    <definedName name="іііі" hidden="1">{#N/A,#N/A,FALSE,"Лист4"}</definedName>
    <definedName name="ін" hidden="1">{#N/A,#N/A,FALSE,"Лист4"}</definedName>
    <definedName name="інші" hidden="1">{#N/A,#N/A,FALSE,"Лист4"}</definedName>
    <definedName name="іук" hidden="1">{#N/A,#N/A,FALSE,"Лист4"}</definedName>
    <definedName name="їжд" hidden="1">{#N/A,#N/A,FALSE,"Лист4"}</definedName>
    <definedName name="ййй" hidden="1">{#N/A,#N/A,FALSE,"Лист4"}</definedName>
    <definedName name="йййй" hidden="1">{#N/A,#N/A,FALSE,"Лист4"}</definedName>
    <definedName name="кгккг" hidden="1">{#N/A,#N/A,FALSE,"Лист4"}</definedName>
    <definedName name="кгкккк" hidden="1">{#N/A,#N/A,FALSE,"Лист4"}</definedName>
    <definedName name="кеуц" hidden="1">{#N/A,#N/A,FALSE,"Лист4"}</definedName>
    <definedName name="кк" hidden="1">{#N/A,#N/A,FALSE,"Лист4"}</definedName>
    <definedName name="ккгкг" hidden="1">{#N/A,#N/A,FALSE,"Лист4"}</definedName>
    <definedName name="ккк" hidden="1">{#N/A,#N/A,FALSE,"Лист4"}</definedName>
    <definedName name="кккну" hidden="1">{#N/A,#N/A,FALSE,"Лист4"}</definedName>
    <definedName name="кккокк" hidden="1">{#N/A,#N/A,FALSE,"Лист4"}</definedName>
    <definedName name="комунальне" hidden="1">{#N/A,#N/A,FALSE,"Лист4"}</definedName>
    <definedName name="кот" hidden="1">{#N/A,#N/A,FALSE,"Лист4"}</definedName>
    <definedName name="кр" hidden="1">{#N/A,#N/A,FALSE,"Лист4"}</definedName>
    <definedName name="культура" hidden="1">{#N/A,#N/A,FALSE,"Лист4"}</definedName>
    <definedName name="л" hidden="1">{#N/A,#N/A,FALSE,"Лист4"}</definedName>
    <definedName name="лд" hidden="1">{#N/A,#N/A,FALSE,"Лист4"}</definedName>
    <definedName name="лл" hidden="1">{#N/A,#N/A,FALSE,"Лист4"}</definedName>
    <definedName name="ллл" hidden="1">{#N/A,#N/A,FALSE,"Лист4"}</definedName>
    <definedName name="лнпллпл" hidden="1">{#N/A,#N/A,FALSE,"Лист4"}</definedName>
    <definedName name="мак" hidden="1">{#N/A,#N/A,FALSE,"Лист4"}</definedName>
    <definedName name="мм" hidden="1">{#N/A,#N/A,FALSE,"Лист4"}</definedName>
    <definedName name="мпе" hidden="1">{#N/A,#N/A,FALSE,"Лист4"}</definedName>
    <definedName name="нгнгш" hidden="1">{#N/A,#N/A,FALSE,"Лист4"}</definedName>
    <definedName name="ннггг" hidden="1">{#N/A,#N/A,FALSE,"Лист4"}</definedName>
    <definedName name="ннн" hidden="1">{#N/A,#N/A,FALSE,"Лист4"}</definedName>
    <definedName name="ннннг" hidden="1">{#N/A,#N/A,FALSE,"Лист4"}</definedName>
    <definedName name="нннннннн" hidden="1">{#N/A,#N/A,FALSE,"Лист4"}</definedName>
    <definedName name="ннншенгке" hidden="1">{#N/A,#N/A,FALSE,"Лист4"}</definedName>
    <definedName name="нншекк" hidden="1">{#N/A,#N/A,FALSE,"Лист4"}</definedName>
    <definedName name="оггне" hidden="1">{#N/A,#N/A,FALSE,"Лист4"}</definedName>
    <definedName name="оллд" hidden="1">{#N/A,#N/A,FALSE,"Лист4"}</definedName>
    <definedName name="олол" hidden="1">{#N/A,#N/A,FALSE,"Лист4"}</definedName>
    <definedName name="оо" hidden="1">{#N/A,#N/A,FALSE,"Лист4"}</definedName>
    <definedName name="ооо" hidden="1">{#N/A,#N/A,FALSE,"Лист4"}</definedName>
    <definedName name="оооо" hidden="1">{#N/A,#N/A,FALSE,"Лист4"}</definedName>
    <definedName name="орнг" hidden="1">{#N/A,#N/A,FALSE,"Лист4"}</definedName>
    <definedName name="освіта" hidden="1">{#N/A,#N/A,FALSE,"Лист4"}</definedName>
    <definedName name="ох" hidden="1">{#N/A,#N/A,FALSE,"Лист4"}</definedName>
    <definedName name="охорона" hidden="1">{#N/A,#N/A,FALSE,"Лист4"}</definedName>
    <definedName name="плеккккг" hidden="1">{#N/A,#N/A,FALSE,"Лист4"}</definedName>
    <definedName name="пллеелш" hidden="1">{#N/A,#N/A,FALSE,"Лист4"}</definedName>
    <definedName name="попле" hidden="1">{#N/A,#N/A,FALSE,"Лист4"}</definedName>
    <definedName name="пот" hidden="1">{#N/A,#N/A,FALSE,"Лист4"}</definedName>
    <definedName name="пп" hidden="1">{#N/A,#N/A,FALSE,"Лист4"}</definedName>
    <definedName name="ппше" hidden="1">{#N/A,#N/A,FALSE,"Лист4"}</definedName>
    <definedName name="про" hidden="1">{#N/A,#N/A,FALSE,"Лист4"}</definedName>
    <definedName name="прое" hidden="1">{#N/A,#N/A,FALSE,"Лист4"}</definedName>
    <definedName name="прои" hidden="1">{#N/A,#N/A,FALSE,"Лист4"}</definedName>
    <definedName name="рор" hidden="1">{#N/A,#N/A,FALSE,"Лист4"}</definedName>
    <definedName name="роро" hidden="1">{#N/A,#N/A,FALSE,"Лист4"}</definedName>
    <definedName name="рррр" hidden="1">{#N/A,#N/A,FALSE,"Лист4"}</definedName>
    <definedName name="сми" hidden="1">{#N/A,#N/A,FALSE,"Лист4"}</definedName>
    <definedName name="сс" hidden="1">{#N/A,#N/A,FALSE,"Лист4"}</definedName>
    <definedName name="сум" hidden="1">{#N/A,#N/A,FALSE,"Лист4"}</definedName>
    <definedName name="Суми" hidden="1">{#N/A,#N/A,FALSE,"Лист4"}</definedName>
    <definedName name="счу" hidden="1">{#N/A,#N/A,FALSE,"Лист4"}</definedName>
    <definedName name="счя" hidden="1">{#N/A,#N/A,FALSE,"Лист4"}</definedName>
    <definedName name="т05" hidden="1">{#N/A,#N/A,FALSE,"т04"}</definedName>
    <definedName name="т841" hidden="1">{#N/A,#N/A,FALSE,"т02бд"}</definedName>
    <definedName name="тогн" hidden="1">{#N/A,#N/A,FALSE,"Лист4"}</definedName>
    <definedName name="трн" hidden="1">{#N/A,#N/A,FALSE,"Лист4"}</definedName>
    <definedName name="ттт" hidden="1">{#N/A,#N/A,FALSE,"Лист4"}</definedName>
    <definedName name="ть" hidden="1">{#N/A,#N/A,FALSE,"Лист4"}</definedName>
    <definedName name="уа" hidden="1">{#N/A,#N/A,FALSE,"Лист4"}</definedName>
    <definedName name="увке" hidden="1">{#N/A,#N/A,FALSE,"Лист4"}</definedName>
    <definedName name="уеунукнун" hidden="1">{#N/A,#N/A,FALSE,"Лист4"}</definedName>
    <definedName name="уке" hidden="1">{#N/A,#N/A,FALSE,"Лист4"}</definedName>
    <definedName name="укй" hidden="1">{#N/A,#N/A,FALSE,"Лист4"}</definedName>
    <definedName name="укунн" hidden="1">{#N/A,#N/A,FALSE,"Лист4"}</definedName>
    <definedName name="унунен" hidden="1">{#N/A,#N/A,FALSE,"Лист4"}</definedName>
    <definedName name="унунун" hidden="1">{#N/A,#N/A,FALSE,"Лист4"}</definedName>
    <definedName name="унуу" hidden="1">{#N/A,#N/A,FALSE,"Лист4"}</definedName>
    <definedName name="унуун" hidden="1">{#N/A,#N/A,FALSE,"Лист4"}</definedName>
    <definedName name="унууу" hidden="1">{#N/A,#N/A,FALSE,"Лист4"}</definedName>
    <definedName name="управ" hidden="1">{#N/A,#N/A,FALSE,"Лист4"}</definedName>
    <definedName name="управління" hidden="1">{#N/A,#N/A,FALSE,"Лист4"}</definedName>
    <definedName name="уукее" hidden="1">{#N/A,#N/A,FALSE,"Лист4"}</definedName>
    <definedName name="ууннну" hidden="1">{#N/A,#N/A,FALSE,"Лист4"}</definedName>
    <definedName name="ууну" hidden="1">{#N/A,#N/A,FALSE,"Лист4"}</definedName>
    <definedName name="уунунг" hidden="1">{#N/A,#N/A,FALSE,"Лист4"}</definedName>
    <definedName name="уунунууу" hidden="1">{#N/A,#N/A,FALSE,"Лист4"}</definedName>
    <definedName name="уунуурр" hidden="1">{#N/A,#N/A,FALSE,"Лист4"}</definedName>
    <definedName name="уунуууу" hidden="1">{#N/A,#N/A,FALSE,"Лист4"}</definedName>
    <definedName name="ууу" hidden="1">{#N/A,#N/A,FALSE,"Лист4"}</definedName>
    <definedName name="ууунну" hidden="1">{#N/A,#N/A,FALSE,"Лист4"}</definedName>
    <definedName name="ууунууууу" hidden="1">{#N/A,#N/A,FALSE,"Лист4"}</definedName>
    <definedName name="уууу" hidden="1">{#N/A,#N/A,FALSE,"Лист4"}</definedName>
    <definedName name="уууу32" hidden="1">{#N/A,#N/A,FALSE,"Лист4"}</definedName>
    <definedName name="уууун" hidden="1">{#N/A,#N/A,FALSE,"Лист4"}</definedName>
    <definedName name="фф" hidden="1">{#N/A,#N/A,FALSE,"Лист4"}</definedName>
    <definedName name="ффф" hidden="1">{#N/A,#N/A,FALSE,"Лист4"}</definedName>
    <definedName name="фффф" hidden="1">{#N/A,#N/A,FALSE,"Лист4"}</definedName>
    <definedName name="ффффф" hidden="1">{#N/A,#N/A,FALSE,"Лист4"}</definedName>
    <definedName name="хз" hidden="1">{#N/A,#N/A,FALSE,"Лист4"}</definedName>
    <definedName name="хїз" hidden="1">{#N/A,#N/A,FALSE,"Лист4"}</definedName>
    <definedName name="ххх" hidden="1">{#N/A,#N/A,FALSE,"Лист4"}</definedName>
    <definedName name="ц" hidden="1">{#N/A,#N/A,FALSE,"Лист4"}</definedName>
    <definedName name="цва" hidden="1">{#N/A,#N/A,FALSE,"Лист4"}</definedName>
    <definedName name="цекццецце" hidden="1">{#N/A,#N/A,FALSE,"Лист4"}</definedName>
    <definedName name="цеце" hidden="1">{#N/A,#N/A,FALSE,"Лист4"}</definedName>
    <definedName name="цецеце" hidden="1">{#N/A,#N/A,FALSE,"Лист4"}</definedName>
    <definedName name="цук" hidden="1">{#N/A,#N/A,FALSE,"Лист4"}</definedName>
    <definedName name="цуку" hidden="1">{#N/A,#N/A,FALSE,"Лист4"}</definedName>
    <definedName name="цууу" hidden="1">{#N/A,#N/A,FALSE,"Лист4"}</definedName>
    <definedName name="цц" hidden="1">{#N/A,#N/A,FALSE,"Лист4"}</definedName>
    <definedName name="ццвва" hidden="1">{#N/A,#N/A,FALSE,"Лист4"}</definedName>
    <definedName name="ццецц" hidden="1">{#N/A,#N/A,FALSE,"Лист4"}</definedName>
    <definedName name="ццеццке" hidden="1">{#N/A,#N/A,FALSE,"Лист4"}</definedName>
    <definedName name="ццеццкевап" hidden="1">{#N/A,#N/A,FALSE,"Лист4"}</definedName>
    <definedName name="ццке" hidden="1">{#N/A,#N/A,FALSE,"Лист4"}</definedName>
    <definedName name="ццук" hidden="1">{#N/A,#N/A,FALSE,"Лист4"}</definedName>
    <definedName name="цццецц" hidden="1">{#N/A,#N/A,FALSE,"Лист4"}</definedName>
    <definedName name="цццкеец" hidden="1">{#N/A,#N/A,FALSE,"Лист4"}</definedName>
    <definedName name="цццц" hidden="1">{#N/A,#N/A,FALSE,"Лист4"}</definedName>
    <definedName name="ццццкц" hidden="1">{#N/A,#N/A,FALSE,"Лист4"}</definedName>
    <definedName name="ццццц" hidden="1">{#N/A,#N/A,FALSE,"Лист4"}</definedName>
    <definedName name="цццццц" hidden="1">{#N/A,#N/A,FALSE,"Лист4"}</definedName>
    <definedName name="чву" hidden="1">{#N/A,#N/A,FALSE,"Лист4"}</definedName>
    <definedName name="чч" hidden="1">{#N/A,#N/A,FALSE,"Лист4"}</definedName>
    <definedName name="ччч" hidden="1">{#N/A,#N/A,FALSE,"Лист4"}</definedName>
    <definedName name="шш" hidden="1">{#N/A,#N/A,FALSE,"Лист4"}</definedName>
    <definedName name="шшшш" hidden="1">{#N/A,#N/A,FALSE,"Лист4"}</definedName>
    <definedName name="щщ" hidden="1">{#N/A,#N/A,FALSE,"Лист4"}</definedName>
    <definedName name="щщщ" hidden="1">{#N/A,#N/A,FALSE,"Лист4"}</definedName>
    <definedName name="щщщшг" hidden="1">{#N/A,#N/A,FALSE,"Лист4"}</definedName>
    <definedName name="юю" hidden="1">{#N/A,#N/A,FALSE,"Лист4"}</definedName>
    <definedName name="ююю" hidden="1">{#N/A,#N/A,FALSE,"Лист4"}</definedName>
    <definedName name="яяя" hidden="1">{#N/A,#N/A,FALSE,"Лист4"}</definedName>
    <definedName name="яяяя" hidden="1">{#N/A,#N/A,FALSE,"Лист4"}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6" i="1" l="1"/>
  <c r="C30" i="9"/>
  <c r="C29" i="9"/>
  <c r="C28" i="9"/>
  <c r="C27" i="9"/>
  <c r="C26" i="9"/>
  <c r="C25" i="9"/>
  <c r="C24" i="9"/>
  <c r="C23" i="9"/>
  <c r="C22" i="9"/>
  <c r="C21" i="9"/>
  <c r="C20" i="9"/>
  <c r="C19" i="9"/>
  <c r="C14" i="8"/>
  <c r="C13" i="8"/>
  <c r="C12" i="8"/>
  <c r="C11" i="8"/>
  <c r="E206" i="1" l="1"/>
  <c r="O206" i="1"/>
  <c r="M206" i="1"/>
  <c r="K206" i="1"/>
  <c r="I206" i="1"/>
  <c r="G206" i="1"/>
  <c r="P206" i="1"/>
  <c r="B14" i="8" l="1"/>
  <c r="B13" i="8"/>
  <c r="B12" i="8"/>
  <c r="B11" i="8"/>
  <c r="B30" i="9"/>
  <c r="B29" i="9"/>
  <c r="B28" i="9"/>
  <c r="B27" i="9"/>
  <c r="B26" i="9"/>
  <c r="B25" i="9"/>
  <c r="B24" i="9"/>
  <c r="B23" i="9"/>
  <c r="B22" i="9"/>
  <c r="F27" i="9"/>
  <c r="F23" i="9"/>
  <c r="F19" i="9"/>
  <c r="E27" i="9"/>
  <c r="E23" i="9"/>
  <c r="E19" i="9"/>
  <c r="D27" i="9"/>
  <c r="D23" i="9"/>
  <c r="D19" i="9"/>
  <c r="F30" i="9"/>
  <c r="F26" i="9"/>
  <c r="F22" i="9"/>
  <c r="E30" i="9"/>
  <c r="E26" i="9"/>
  <c r="E22" i="9"/>
  <c r="D30" i="9"/>
  <c r="D26" i="9"/>
  <c r="D22" i="9"/>
  <c r="F29" i="9"/>
  <c r="F25" i="9"/>
  <c r="F21" i="9"/>
  <c r="E29" i="9"/>
  <c r="E25" i="9"/>
  <c r="E21" i="9"/>
  <c r="D29" i="9"/>
  <c r="D25" i="9"/>
  <c r="D21" i="9"/>
  <c r="D20" i="9"/>
  <c r="F28" i="9"/>
  <c r="F24" i="9"/>
  <c r="F20" i="9"/>
  <c r="E28" i="9"/>
  <c r="E24" i="9"/>
  <c r="E20" i="9"/>
  <c r="D28" i="9"/>
  <c r="D24" i="9"/>
  <c r="F11" i="8"/>
  <c r="E11" i="8"/>
  <c r="F14" i="8"/>
  <c r="E14" i="8"/>
  <c r="D14" i="8"/>
  <c r="F13" i="8"/>
  <c r="E13" i="8"/>
  <c r="D13" i="8"/>
  <c r="F12" i="8"/>
  <c r="E12" i="8"/>
  <c r="D12" i="8"/>
  <c r="D11" i="8"/>
  <c r="B21" i="9" l="1"/>
  <c r="B20" i="9"/>
  <c r="B19" i="9"/>
</calcChain>
</file>

<file path=xl/sharedStrings.xml><?xml version="1.0" encoding="utf-8"?>
<sst xmlns="http://schemas.openxmlformats.org/spreadsheetml/2006/main" count="391" uniqueCount="79">
  <si>
    <t>до 1 року</t>
  </si>
  <si>
    <t>до 1 місяця</t>
  </si>
  <si>
    <t>№</t>
  </si>
  <si>
    <t>Дата</t>
  </si>
  <si>
    <t>Від 1 до 3</t>
  </si>
  <si>
    <t>Від 3 до 6</t>
  </si>
  <si>
    <t>Від 6 до 12</t>
  </si>
  <si>
    <t>від 1 до 2</t>
  </si>
  <si>
    <t>Позначки рядків</t>
  </si>
  <si>
    <t>Загальний підсумок</t>
  </si>
  <si>
    <t>2005</t>
  </si>
  <si>
    <t>Кв.4</t>
  </si>
  <si>
    <t>2006</t>
  </si>
  <si>
    <t>Кв.1</t>
  </si>
  <si>
    <t>Кв.2</t>
  </si>
  <si>
    <t>Кв.3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</si>
  <si>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</si>
  <si>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</si>
  <si>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</si>
  <si>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</si>
  <si>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</si>
  <si>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</si>
  <si>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</si>
  <si>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</si>
  <si>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</si>
  <si>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</si>
  <si>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</si>
  <si>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</si>
  <si>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</si>
  <si>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</si>
  <si>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</si>
  <si>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</si>
  <si>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Гру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</si>
  <si>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</si>
  <si>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</si>
  <si>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</si>
  <si>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</si>
  <si>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</si>
  <si>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</si>
  <si>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</si>
  <si>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</si>
  <si>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</si>
  <si>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</si>
  <si>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</si>
  <si>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Сума з Кредити всього</t>
  </si>
  <si>
    <t>Квартал 1</t>
  </si>
  <si>
    <t>Квартал 2</t>
  </si>
  <si>
    <t>Квартал 3</t>
  </si>
  <si>
    <t>Квартал 4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</si>
  <si>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</si>
  <si>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</si>
  <si>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</si>
  <si>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</si>
  <si>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</si>
  <si>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</si>
  <si>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</si>
  <si>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</si>
  <si>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</si>
  <si>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</si>
  <si>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</si>
  <si>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</si>
  <si>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Всього</t>
  </si>
  <si>
    <t>від 3 до 6</t>
  </si>
  <si>
    <t>Ставка загалом</t>
  </si>
  <si>
    <t>Ставка до 1 року</t>
  </si>
  <si>
    <t>Ставка до 1 місяця</t>
  </si>
  <si>
    <t>Ставка від 1 до 3 місяців</t>
  </si>
  <si>
    <t>Ставка від 3 до 6 місяців</t>
  </si>
  <si>
    <t>Ставка від 6 до 12 місяців</t>
  </si>
  <si>
    <t>Ставка від 1 до 2 років</t>
  </si>
  <si>
    <t>Середнє з Ставка загалом</t>
  </si>
  <si>
    <t>Середнє з Ставка від 1 до 3 місяців</t>
  </si>
  <si>
    <t>Середнє з Ставка від 3 до 6 місяців</t>
  </si>
  <si>
    <t>Середнє з Ставка від 6 до 12 місяців</t>
  </si>
  <si>
    <t>від 1 до 3</t>
  </si>
  <si>
    <t>від 6 до 12</t>
  </si>
  <si>
    <t>Підсумок</t>
  </si>
  <si>
    <t>Депозити всього</t>
  </si>
  <si>
    <t>Середнє з Ставка до 1 місяця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</si>
</sst>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\–#,##0;&quot;–&quot;"/>
    <numFmt numFmtId="165" formatCode="#,##0.0;\–#,##0.0;&quot;–&quot;"/>
    <numFmt numFmtId="166" formatCode="0.0"/>
  </numFmts>
  <fonts count="4" x14ac:knownFonts="1"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 applyFill="1"/>
    <xf numFmtId="1" fontId="0" fillId="0" borderId="0" xfId="0" applyNumberFormat="1" applyFill="1"/>
    <xf numFmtId="164" fontId="1" fillId="0" borderId="0" xfId="0" applyNumberFormat="1" applyFont="1" applyFill="1" applyAlignment="1">
      <alignment vertical="center"/>
    </xf>
    <xf numFmtId="164" fontId="1" fillId="0" borderId="0" xfId="0" applyNumberFormat="1" applyFont="1" applyFill="1" applyAlignment="1">
      <alignment vertical="top"/>
    </xf>
    <xf numFmtId="164" fontId="1" fillId="0" borderId="0" xfId="0" applyNumberFormat="1" applyFont="1" applyFill="1"/>
    <xf numFmtId="14" fontId="2" fillId="0" borderId="1" xfId="0" applyNumberFormat="1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/>
    <xf numFmtId="166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2" fillId="0" borderId="2" xfId="0" applyNumberFormat="1" applyFont="1" applyFill="1" applyBorder="1" applyAlignment="1">
      <alignment vertical="top"/>
    </xf>
    <xf numFmtId="165" fontId="2" fillId="0" borderId="3" xfId="0" applyNumberFormat="1" applyFont="1" applyBorder="1" applyAlignment="1">
      <alignment horizontal="right"/>
    </xf>
    <xf numFmtId="166" fontId="2" fillId="0" borderId="3" xfId="0" applyNumberFormat="1" applyFont="1" applyBorder="1"/>
    <xf numFmtId="164" fontId="2" fillId="0" borderId="4" xfId="0" applyNumberFormat="1" applyFont="1" applyFill="1" applyBorder="1" applyAlignment="1">
      <alignment vertical="center"/>
    </xf>
    <xf numFmtId="1" fontId="2" fillId="0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vertical="top"/>
    </xf>
    <xf numFmtId="14" fontId="2" fillId="0" borderId="8" xfId="0" applyNumberFormat="1" applyFont="1" applyFill="1" applyBorder="1" applyAlignment="1">
      <alignment horizontal="left" vertical="top"/>
    </xf>
    <xf numFmtId="3" fontId="2" fillId="0" borderId="8" xfId="0" applyNumberFormat="1" applyFont="1" applyBorder="1"/>
    <xf numFmtId="166" fontId="2" fillId="0" borderId="8" xfId="0" applyNumberFormat="1" applyFont="1" applyBorder="1"/>
    <xf numFmtId="166" fontId="2" fillId="0" borderId="9" xfId="0" applyNumberFormat="1" applyFont="1" applyBorder="1"/>
    <xf numFmtId="14" fontId="0" fillId="0" borderId="0" xfId="0" applyNumberFormat="1" applyAlignment="1">
      <alignment horizontal="left" indent="2"/>
    </xf>
    <xf numFmtId="4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14" fontId="0" fillId="0" borderId="11" xfId="0" applyNumberFormat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10" fontId="0" fillId="0" borderId="1" xfId="0" applyNumberFormat="1" applyBorder="1"/>
    <xf numFmtId="0" fontId="0" fillId="0" borderId="10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" xfId="0" applyBorder="1"/>
    <xf numFmtId="16" fontId="0" fillId="0" borderId="1" xfId="0" applyNumberFormat="1" applyBorder="1"/>
    <xf numFmtId="9" fontId="0" fillId="0" borderId="1" xfId="1" applyFont="1" applyBorder="1"/>
    <xf numFmtId="2" fontId="0" fillId="0" borderId="0" xfId="0" applyNumberFormat="1"/>
    <xf numFmtId="0" fontId="0" fillId="0" borderId="15" xfId="0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0" fontId="0" fillId="0" borderId="1" xfId="1" applyNumberFormat="1" applyFont="1" applyBorder="1"/>
    <xf numFmtId="14" fontId="0" fillId="0" borderId="0" xfId="0" applyNumberFormat="1" applyBorder="1" applyAlignment="1">
      <alignment horizontal="left"/>
    </xf>
    <xf numFmtId="2" fontId="0" fillId="0" borderId="11" xfId="0" applyNumberFormat="1" applyBorder="1"/>
    <xf numFmtId="2" fontId="0" fillId="0" borderId="18" xfId="0" applyNumberFormat="1" applyBorder="1"/>
    <xf numFmtId="2" fontId="0" fillId="0" borderId="17" xfId="0" applyNumberFormat="1" applyBorder="1"/>
    <xf numFmtId="0" fontId="2" fillId="0" borderId="7" xfId="0" applyFont="1" applyFill="1" applyBorder="1" applyAlignment="1">
      <alignment vertical="top"/>
    </xf>
    <xf numFmtId="0" fontId="2" fillId="0" borderId="8" xfId="0" applyFont="1" applyFill="1" applyBorder="1" applyAlignment="1">
      <alignment horizontal="left" vertical="top"/>
    </xf>
    <xf numFmtId="0" fontId="2" fillId="0" borderId="8" xfId="0" applyFont="1" applyBorder="1"/>
  </cellXfs>
  <cellStyles count="2">
    <cellStyle name="Відсотковий" xfId="1" builtinId="5"/>
    <cellStyle name="Звичайний" xfId="0" builtinId="0"/>
  </cellStyles>
  <dxfs count="43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0.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#,##0;\–#,##0;&quot;–&quot;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64" formatCode="#,##0;\–#,##0;&quot;–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[депозитні_ставки_сезонність.xlsx]Зведена_Депозит_Всього_Квартали!Зведена таблиця1</c:name>
    <c:fmtId val="0"/>
  </c:pivotSource>
  <c:chart>
    <c:autoTitleDeleted val="1"/>
    <c:pivotFmts>
      <c:pivotFmt>
        <c:idx val="0"/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Зведена_Депозит_Всього_Квартали!$B$3</c:f>
              <c:strCache>
                <c:ptCount val="1"/>
                <c:pt idx="0">
                  <c:v>Підсумок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Зведена_Депозит_Всього_Квартали!$A$4:$A$295</c:f>
              <c:multiLvlStrCache>
                <c:ptCount val="204"/>
                <c:lvl>
                  <c:pt idx="0">
                    <c:v>Гру</c:v>
                  </c:pt>
                  <c:pt idx="1">
                    <c:v>Січ</c:v>
                  </c:pt>
                  <c:pt idx="2">
                    <c:v>Лют</c:v>
                  </c:pt>
                  <c:pt idx="3">
                    <c:v>Бер</c:v>
                  </c:pt>
                  <c:pt idx="4">
                    <c:v>Кві</c:v>
                  </c:pt>
                  <c:pt idx="5">
                    <c:v>Тра</c:v>
                  </c:pt>
                  <c:pt idx="6">
                    <c:v>Чер</c:v>
                  </c:pt>
                  <c:pt idx="7">
                    <c:v>Лип</c:v>
                  </c:pt>
                  <c:pt idx="8">
                    <c:v>Сер</c:v>
                  </c:pt>
                  <c:pt idx="9">
                    <c:v>Вер</c:v>
                  </c:pt>
                  <c:pt idx="10">
                    <c:v>Жов</c:v>
                  </c:pt>
                  <c:pt idx="11">
                    <c:v>Лис</c:v>
                  </c:pt>
                  <c:pt idx="12">
                    <c:v>Гру</c:v>
                  </c:pt>
                  <c:pt idx="13">
                    <c:v>Січ</c:v>
                  </c:pt>
                  <c:pt idx="14">
                    <c:v>Лют</c:v>
                  </c:pt>
                  <c:pt idx="15">
                    <c:v>Бер</c:v>
                  </c:pt>
                  <c:pt idx="16">
                    <c:v>Кві</c:v>
                  </c:pt>
                  <c:pt idx="17">
                    <c:v>Тра</c:v>
                  </c:pt>
                  <c:pt idx="18">
                    <c:v>Чер</c:v>
                  </c:pt>
                  <c:pt idx="19">
                    <c:v>Лип</c:v>
                  </c:pt>
                  <c:pt idx="20">
                    <c:v>Сер</c:v>
                  </c:pt>
                  <c:pt idx="21">
                    <c:v>Вер</c:v>
                  </c:pt>
                  <c:pt idx="22">
                    <c:v>Жов</c:v>
                  </c:pt>
                  <c:pt idx="23">
                    <c:v>Лис</c:v>
                  </c:pt>
                  <c:pt idx="24">
                    <c:v>Гру</c:v>
                  </c:pt>
                  <c:pt idx="25">
                    <c:v>Січ</c:v>
                  </c:pt>
                  <c:pt idx="26">
                    <c:v>Лют</c:v>
                  </c:pt>
                  <c:pt idx="27">
                    <c:v>Бер</c:v>
                  </c:pt>
                  <c:pt idx="28">
                    <c:v>Кві</c:v>
                  </c:pt>
                  <c:pt idx="29">
                    <c:v>Тра</c:v>
                  </c:pt>
                  <c:pt idx="30">
                    <c:v>Чер</c:v>
                  </c:pt>
                  <c:pt idx="31">
                    <c:v>Лип</c:v>
                  </c:pt>
                  <c:pt idx="32">
                    <c:v>Сер</c:v>
                  </c:pt>
                  <c:pt idx="33">
                    <c:v>Вер</c:v>
                  </c:pt>
                  <c:pt idx="34">
                    <c:v>Жов</c:v>
                  </c:pt>
                  <c:pt idx="35">
                    <c:v>Лис</c:v>
                  </c:pt>
                  <c:pt idx="36">
                    <c:v>Гру</c:v>
                  </c:pt>
                  <c:pt idx="37">
                    <c:v>Січ</c:v>
                  </c:pt>
                  <c:pt idx="38">
                    <c:v>Лют</c:v>
                  </c:pt>
                  <c:pt idx="39">
                    <c:v>Бер</c:v>
                  </c:pt>
                  <c:pt idx="40">
                    <c:v>Кві</c:v>
                  </c:pt>
                  <c:pt idx="41">
                    <c:v>Тра</c:v>
                  </c:pt>
                  <c:pt idx="42">
                    <c:v>Чер</c:v>
                  </c:pt>
                  <c:pt idx="43">
                    <c:v>Лип</c:v>
                  </c:pt>
                  <c:pt idx="44">
                    <c:v>Сер</c:v>
                  </c:pt>
                  <c:pt idx="45">
                    <c:v>Вер</c:v>
                  </c:pt>
                  <c:pt idx="46">
                    <c:v>Жов</c:v>
                  </c:pt>
                  <c:pt idx="47">
                    <c:v>Лис</c:v>
                  </c:pt>
                  <c:pt idx="48">
                    <c:v>Гру</c:v>
                  </c:pt>
                  <c:pt idx="49">
                    <c:v>Січ</c:v>
                  </c:pt>
                  <c:pt idx="50">
                    <c:v>Лют</c:v>
                  </c:pt>
                  <c:pt idx="51">
                    <c:v>Бер</c:v>
                  </c:pt>
                  <c:pt idx="52">
                    <c:v>Кві</c:v>
                  </c:pt>
                  <c:pt idx="53">
                    <c:v>Тра</c:v>
                  </c:pt>
                  <c:pt idx="54">
                    <c:v>Чер</c:v>
                  </c:pt>
                  <c:pt idx="55">
                    <c:v>Лип</c:v>
                  </c:pt>
                  <c:pt idx="56">
                    <c:v>Сер</c:v>
                  </c:pt>
                  <c:pt idx="57">
                    <c:v>Вер</c:v>
                  </c:pt>
                  <c:pt idx="58">
                    <c:v>Жов</c:v>
                  </c:pt>
                  <c:pt idx="59">
                    <c:v>Лис</c:v>
                  </c:pt>
                  <c:pt idx="60">
                    <c:v>Гру</c:v>
                  </c:pt>
                  <c:pt idx="61">
                    <c:v>Січ</c:v>
                  </c:pt>
                  <c:pt idx="62">
                    <c:v>Лют</c:v>
                  </c:pt>
                  <c:pt idx="63">
                    <c:v>Бер</c:v>
                  </c:pt>
                  <c:pt idx="64">
                    <c:v>Кві</c:v>
                  </c:pt>
                  <c:pt idx="65">
                    <c:v>Тра</c:v>
                  </c:pt>
                  <c:pt idx="66">
                    <c:v>Чер</c:v>
                  </c:pt>
                  <c:pt idx="67">
                    <c:v>Лип</c:v>
                  </c:pt>
                  <c:pt idx="68">
                    <c:v>Сер</c:v>
                  </c:pt>
                  <c:pt idx="69">
                    <c:v>Вер</c:v>
                  </c:pt>
                  <c:pt idx="70">
                    <c:v>Жов</c:v>
                  </c:pt>
                  <c:pt idx="71">
                    <c:v>Лис</c:v>
                  </c:pt>
                  <c:pt idx="72">
                    <c:v>Гру</c:v>
                  </c:pt>
                  <c:pt idx="73">
                    <c:v>Січ</c:v>
                  </c:pt>
                  <c:pt idx="74">
                    <c:v>Лют</c:v>
                  </c:pt>
                  <c:pt idx="75">
                    <c:v>Бер</c:v>
                  </c:pt>
                  <c:pt idx="76">
                    <c:v>Кві</c:v>
                  </c:pt>
                  <c:pt idx="77">
                    <c:v>Тра</c:v>
                  </c:pt>
                  <c:pt idx="78">
                    <c:v>Чер</c:v>
                  </c:pt>
                  <c:pt idx="79">
                    <c:v>Лип</c:v>
                  </c:pt>
                  <c:pt idx="80">
                    <c:v>Сер</c:v>
                  </c:pt>
                  <c:pt idx="81">
                    <c:v>Вер</c:v>
                  </c:pt>
                  <c:pt idx="82">
                    <c:v>Жов</c:v>
                  </c:pt>
                  <c:pt idx="83">
                    <c:v>Лис</c:v>
                  </c:pt>
                  <c:pt idx="84">
                    <c:v>Гру</c:v>
                  </c:pt>
                  <c:pt idx="85">
                    <c:v>Січ</c:v>
                  </c:pt>
                  <c:pt idx="86">
                    <c:v>Лют</c:v>
                  </c:pt>
                  <c:pt idx="87">
                    <c:v>Бер</c:v>
                  </c:pt>
                  <c:pt idx="88">
                    <c:v>Кві</c:v>
                  </c:pt>
                  <c:pt idx="89">
                    <c:v>Тра</c:v>
                  </c:pt>
                  <c:pt idx="90">
                    <c:v>Чер</c:v>
                  </c:pt>
                  <c:pt idx="91">
                    <c:v>Лип</c:v>
                  </c:pt>
                  <c:pt idx="92">
                    <c:v>Сер</c:v>
                  </c:pt>
                  <c:pt idx="93">
                    <c:v>Вер</c:v>
                  </c:pt>
                  <c:pt idx="94">
                    <c:v>Жов</c:v>
                  </c:pt>
                  <c:pt idx="95">
                    <c:v>Лис</c:v>
                  </c:pt>
                  <c:pt idx="96">
                    <c:v>Гру</c:v>
                  </c:pt>
                  <c:pt idx="97">
                    <c:v>Січ</c:v>
                  </c:pt>
                  <c:pt idx="98">
                    <c:v>Лют</c:v>
                  </c:pt>
                  <c:pt idx="99">
                    <c:v>Бер</c:v>
                  </c:pt>
                  <c:pt idx="100">
                    <c:v>Кві</c:v>
                  </c:pt>
                  <c:pt idx="101">
                    <c:v>Тра</c:v>
                  </c:pt>
                  <c:pt idx="102">
                    <c:v>Чер</c:v>
                  </c:pt>
                  <c:pt idx="103">
                    <c:v>Лип</c:v>
                  </c:pt>
                  <c:pt idx="104">
                    <c:v>Сер</c:v>
                  </c:pt>
                  <c:pt idx="105">
                    <c:v>Вер</c:v>
                  </c:pt>
                  <c:pt idx="106">
                    <c:v>Жов</c:v>
                  </c:pt>
                  <c:pt idx="107">
                    <c:v>Лис</c:v>
                  </c:pt>
                  <c:pt idx="108">
                    <c:v>Гру</c:v>
                  </c:pt>
                  <c:pt idx="109">
                    <c:v>Січ</c:v>
                  </c:pt>
                  <c:pt idx="110">
                    <c:v>Лют</c:v>
                  </c:pt>
                  <c:pt idx="111">
                    <c:v>Бер</c:v>
                  </c:pt>
                  <c:pt idx="112">
                    <c:v>Кві</c:v>
                  </c:pt>
                  <c:pt idx="113">
                    <c:v>Тра</c:v>
                  </c:pt>
                  <c:pt idx="114">
                    <c:v>Чер</c:v>
                  </c:pt>
                  <c:pt idx="115">
                    <c:v>Лип</c:v>
                  </c:pt>
                  <c:pt idx="116">
                    <c:v>Сер</c:v>
                  </c:pt>
                  <c:pt idx="117">
                    <c:v>Вер</c:v>
                  </c:pt>
                  <c:pt idx="118">
                    <c:v>Жов</c:v>
                  </c:pt>
                  <c:pt idx="119">
                    <c:v>Лис</c:v>
                  </c:pt>
                  <c:pt idx="120">
                    <c:v>Гру</c:v>
                  </c:pt>
                  <c:pt idx="121">
                    <c:v>Січ</c:v>
                  </c:pt>
                  <c:pt idx="122">
                    <c:v>Лют</c:v>
                  </c:pt>
                  <c:pt idx="123">
                    <c:v>Бер</c:v>
                  </c:pt>
                  <c:pt idx="124">
                    <c:v>Кві</c:v>
                  </c:pt>
                  <c:pt idx="125">
                    <c:v>Тра</c:v>
                  </c:pt>
                  <c:pt idx="126">
                    <c:v>Чер</c:v>
                  </c:pt>
                  <c:pt idx="127">
                    <c:v>Лип</c:v>
                  </c:pt>
                  <c:pt idx="128">
                    <c:v>Сер</c:v>
                  </c:pt>
                  <c:pt idx="129">
                    <c:v>Вер</c:v>
                  </c:pt>
                  <c:pt idx="130">
                    <c:v>Жов</c:v>
                  </c:pt>
                  <c:pt idx="131">
                    <c:v>Лис</c:v>
                  </c:pt>
                  <c:pt idx="132">
                    <c:v>Гру</c:v>
                  </c:pt>
                  <c:pt idx="133">
                    <c:v>Січ</c:v>
                  </c:pt>
                  <c:pt idx="134">
                    <c:v>Лют</c:v>
                  </c:pt>
                  <c:pt idx="135">
                    <c:v>Бер</c:v>
                  </c:pt>
                  <c:pt idx="136">
                    <c:v>Кві</c:v>
                  </c:pt>
                  <c:pt idx="137">
                    <c:v>Тра</c:v>
                  </c:pt>
                  <c:pt idx="138">
                    <c:v>Чер</c:v>
                  </c:pt>
                  <c:pt idx="139">
                    <c:v>Лип</c:v>
                  </c:pt>
                  <c:pt idx="140">
                    <c:v>Сер</c:v>
                  </c:pt>
                  <c:pt idx="141">
                    <c:v>Вер</c:v>
                  </c:pt>
                  <c:pt idx="142">
                    <c:v>Жов</c:v>
                  </c:pt>
                  <c:pt idx="143">
                    <c:v>Лис</c:v>
                  </c:pt>
                  <c:pt idx="144">
                    <c:v>Гру</c:v>
                  </c:pt>
                  <c:pt idx="145">
                    <c:v>Січ</c:v>
                  </c:pt>
                  <c:pt idx="146">
                    <c:v>Лют</c:v>
                  </c:pt>
                  <c:pt idx="147">
                    <c:v>Бер</c:v>
                  </c:pt>
                  <c:pt idx="148">
                    <c:v>Кві</c:v>
                  </c:pt>
                  <c:pt idx="149">
                    <c:v>Тра</c:v>
                  </c:pt>
                  <c:pt idx="150">
                    <c:v>Чер</c:v>
                  </c:pt>
                  <c:pt idx="151">
                    <c:v>Лип</c:v>
                  </c:pt>
                  <c:pt idx="152">
                    <c:v>Сер</c:v>
                  </c:pt>
                  <c:pt idx="153">
                    <c:v>Вер</c:v>
                  </c:pt>
                  <c:pt idx="154">
                    <c:v>Жов</c:v>
                  </c:pt>
                  <c:pt idx="155">
                    <c:v>Лис</c:v>
                  </c:pt>
                  <c:pt idx="156">
                    <c:v>Гру</c:v>
                  </c:pt>
                  <c:pt idx="157">
                    <c:v>Січ</c:v>
                  </c:pt>
                  <c:pt idx="158">
                    <c:v>Лют</c:v>
                  </c:pt>
                  <c:pt idx="159">
                    <c:v>Бер</c:v>
                  </c:pt>
                  <c:pt idx="160">
                    <c:v>Кві</c:v>
                  </c:pt>
                  <c:pt idx="161">
                    <c:v>Тра</c:v>
                  </c:pt>
                  <c:pt idx="162">
                    <c:v>Чер</c:v>
                  </c:pt>
                  <c:pt idx="163">
                    <c:v>Лип</c:v>
                  </c:pt>
                  <c:pt idx="164">
                    <c:v>Сер</c:v>
                  </c:pt>
                  <c:pt idx="165">
                    <c:v>Вер</c:v>
                  </c:pt>
                  <c:pt idx="166">
                    <c:v>Жов</c:v>
                  </c:pt>
                  <c:pt idx="167">
                    <c:v>Лис</c:v>
                  </c:pt>
                  <c:pt idx="168">
                    <c:v>Гру</c:v>
                  </c:pt>
                  <c:pt idx="169">
                    <c:v>Січ</c:v>
                  </c:pt>
                  <c:pt idx="170">
                    <c:v>Лют</c:v>
                  </c:pt>
                  <c:pt idx="171">
                    <c:v>Бер</c:v>
                  </c:pt>
                  <c:pt idx="172">
                    <c:v>Кві</c:v>
                  </c:pt>
                  <c:pt idx="173">
                    <c:v>Тра</c:v>
                  </c:pt>
                  <c:pt idx="174">
                    <c:v>Чер</c:v>
                  </c:pt>
                  <c:pt idx="175">
                    <c:v>Лип</c:v>
                  </c:pt>
                  <c:pt idx="176">
                    <c:v>Сер</c:v>
                  </c:pt>
                  <c:pt idx="177">
                    <c:v>Вер</c:v>
                  </c:pt>
                  <c:pt idx="178">
                    <c:v>Жов</c:v>
                  </c:pt>
                  <c:pt idx="179">
                    <c:v>Лис</c:v>
                  </c:pt>
                  <c:pt idx="180">
                    <c:v>Гру</c:v>
                  </c:pt>
                  <c:pt idx="181">
                    <c:v>Січ</c:v>
                  </c:pt>
                  <c:pt idx="182">
                    <c:v>Лют</c:v>
                  </c:pt>
                  <c:pt idx="183">
                    <c:v>Бер</c:v>
                  </c:pt>
                  <c:pt idx="184">
                    <c:v>Кві</c:v>
                  </c:pt>
                  <c:pt idx="185">
                    <c:v>Тра</c:v>
                  </c:pt>
                  <c:pt idx="186">
                    <c:v>Чер</c:v>
                  </c:pt>
                  <c:pt idx="187">
                    <c:v>Лип</c:v>
                  </c:pt>
                  <c:pt idx="188">
                    <c:v>Сер</c:v>
                  </c:pt>
                  <c:pt idx="189">
                    <c:v>Вер</c:v>
                  </c:pt>
                  <c:pt idx="190">
                    <c:v>Жов</c:v>
                  </c:pt>
                  <c:pt idx="191">
                    <c:v>Лис</c:v>
                  </c:pt>
                  <c:pt idx="192">
                    <c:v>Гру</c:v>
                  </c:pt>
                  <c:pt idx="193">
                    <c:v>Січ</c:v>
                  </c:pt>
                  <c:pt idx="194">
                    <c:v>Лют</c:v>
                  </c:pt>
                  <c:pt idx="195">
                    <c:v>Бер</c:v>
                  </c:pt>
                  <c:pt idx="196">
                    <c:v>Кві</c:v>
                  </c:pt>
                  <c:pt idx="197">
                    <c:v>Тра</c:v>
                  </c:pt>
                  <c:pt idx="198">
                    <c:v>Чер</c:v>
                  </c:pt>
                  <c:pt idx="199">
                    <c:v>Лип</c:v>
                  </c:pt>
                  <c:pt idx="200">
                    <c:v>Сер</c:v>
                  </c:pt>
                  <c:pt idx="201">
                    <c:v>Вер</c:v>
                  </c:pt>
                  <c:pt idx="202">
                    <c:v>Жов</c:v>
                  </c:pt>
                  <c:pt idx="203">
                    <c:v>Лис</c:v>
                  </c:pt>
                </c:lvl>
                <c:lvl>
                  <c:pt idx="0">
                    <c:v>Кв.4</c:v>
                  </c:pt>
                  <c:pt idx="1">
                    <c:v>Кв.1</c:v>
                  </c:pt>
                  <c:pt idx="4">
                    <c:v>Кв.2</c:v>
                  </c:pt>
                  <c:pt idx="7">
                    <c:v>Кв.3</c:v>
                  </c:pt>
                  <c:pt idx="10">
                    <c:v>Кв.4</c:v>
                  </c:pt>
                  <c:pt idx="13">
                    <c:v>Кв.1</c:v>
                  </c:pt>
                  <c:pt idx="16">
                    <c:v>Кв.2</c:v>
                  </c:pt>
                  <c:pt idx="19">
                    <c:v>Кв.3</c:v>
                  </c:pt>
                  <c:pt idx="22">
                    <c:v>Кв.4</c:v>
                  </c:pt>
                  <c:pt idx="25">
                    <c:v>Кв.1</c:v>
                  </c:pt>
                  <c:pt idx="28">
                    <c:v>Кв.2</c:v>
                  </c:pt>
                  <c:pt idx="31">
                    <c:v>Кв.3</c:v>
                  </c:pt>
                  <c:pt idx="34">
                    <c:v>Кв.4</c:v>
                  </c:pt>
                  <c:pt idx="37">
                    <c:v>Кв.1</c:v>
                  </c:pt>
                  <c:pt idx="40">
                    <c:v>Кв.2</c:v>
                  </c:pt>
                  <c:pt idx="43">
                    <c:v>Кв.3</c:v>
                  </c:pt>
                  <c:pt idx="46">
                    <c:v>Кв.4</c:v>
                  </c:pt>
                  <c:pt idx="49">
                    <c:v>Кв.1</c:v>
                  </c:pt>
                  <c:pt idx="52">
                    <c:v>Кв.2</c:v>
                  </c:pt>
                  <c:pt idx="55">
                    <c:v>Кв.3</c:v>
                  </c:pt>
                  <c:pt idx="58">
                    <c:v>Кв.4</c:v>
                  </c:pt>
                  <c:pt idx="61">
                    <c:v>Кв.1</c:v>
                  </c:pt>
                  <c:pt idx="64">
                    <c:v>Кв.2</c:v>
                  </c:pt>
                  <c:pt idx="67">
                    <c:v>Кв.3</c:v>
                  </c:pt>
                  <c:pt idx="70">
                    <c:v>Кв.4</c:v>
                  </c:pt>
                  <c:pt idx="73">
                    <c:v>Кв.1</c:v>
                  </c:pt>
                  <c:pt idx="76">
                    <c:v>Кв.2</c:v>
                  </c:pt>
                  <c:pt idx="79">
                    <c:v>Кв.3</c:v>
                  </c:pt>
                  <c:pt idx="82">
                    <c:v>Кв.4</c:v>
                  </c:pt>
                  <c:pt idx="85">
                    <c:v>Кв.1</c:v>
                  </c:pt>
                  <c:pt idx="88">
                    <c:v>Кв.2</c:v>
                  </c:pt>
                  <c:pt idx="91">
                    <c:v>Кв.3</c:v>
                  </c:pt>
                  <c:pt idx="94">
                    <c:v>Кв.4</c:v>
                  </c:pt>
                  <c:pt idx="97">
                    <c:v>Кв.1</c:v>
                  </c:pt>
                  <c:pt idx="100">
                    <c:v>Кв.2</c:v>
                  </c:pt>
                  <c:pt idx="103">
                    <c:v>Кв.3</c:v>
                  </c:pt>
                  <c:pt idx="106">
                    <c:v>Кв.4</c:v>
                  </c:pt>
                  <c:pt idx="109">
                    <c:v>Кв.1</c:v>
                  </c:pt>
                  <c:pt idx="112">
                    <c:v>Кв.2</c:v>
                  </c:pt>
                  <c:pt idx="115">
                    <c:v>Кв.3</c:v>
                  </c:pt>
                  <c:pt idx="118">
                    <c:v>Кв.4</c:v>
                  </c:pt>
                  <c:pt idx="121">
                    <c:v>Кв.1</c:v>
                  </c:pt>
                  <c:pt idx="124">
                    <c:v>Кв.2</c:v>
                  </c:pt>
                  <c:pt idx="127">
                    <c:v>Кв.3</c:v>
                  </c:pt>
                  <c:pt idx="130">
                    <c:v>Кв.4</c:v>
                  </c:pt>
                  <c:pt idx="133">
                    <c:v>Кв.1</c:v>
                  </c:pt>
                  <c:pt idx="136">
                    <c:v>Кв.2</c:v>
                  </c:pt>
                  <c:pt idx="139">
                    <c:v>Кв.3</c:v>
                  </c:pt>
                  <c:pt idx="142">
                    <c:v>Кв.4</c:v>
                  </c:pt>
                  <c:pt idx="145">
                    <c:v>Кв.1</c:v>
                  </c:pt>
                  <c:pt idx="148">
                    <c:v>Кв.2</c:v>
                  </c:pt>
                  <c:pt idx="151">
                    <c:v>Кв.3</c:v>
                  </c:pt>
                  <c:pt idx="154">
                    <c:v>Кв.4</c:v>
                  </c:pt>
                  <c:pt idx="157">
                    <c:v>Кв.1</c:v>
                  </c:pt>
                  <c:pt idx="160">
                    <c:v>Кв.2</c:v>
                  </c:pt>
                  <c:pt idx="163">
                    <c:v>Кв.3</c:v>
                  </c:pt>
                  <c:pt idx="166">
                    <c:v>Кв.4</c:v>
                  </c:pt>
                  <c:pt idx="169">
                    <c:v>Кв.1</c:v>
                  </c:pt>
                  <c:pt idx="172">
                    <c:v>Кв.2</c:v>
                  </c:pt>
                  <c:pt idx="175">
                    <c:v>Кв.3</c:v>
                  </c:pt>
                  <c:pt idx="178">
                    <c:v>Кв.4</c:v>
                  </c:pt>
                  <c:pt idx="181">
                    <c:v>Кв.1</c:v>
                  </c:pt>
                  <c:pt idx="184">
                    <c:v>Кв.2</c:v>
                  </c:pt>
                  <c:pt idx="187">
                    <c:v>Кв.3</c:v>
                  </c:pt>
                  <c:pt idx="190">
                    <c:v>Кв.4</c:v>
                  </c:pt>
                  <c:pt idx="193">
                    <c:v>Кв.1</c:v>
                  </c:pt>
                  <c:pt idx="196">
                    <c:v>Кв.2</c:v>
                  </c:pt>
                  <c:pt idx="199">
                    <c:v>Кв.3</c:v>
                  </c:pt>
                  <c:pt idx="202">
                    <c:v>Кв.4</c:v>
                  </c:pt>
                </c:lvl>
                <c:lvl>
                  <c:pt idx="0">
                    <c:v>2005</c:v>
                  </c:pt>
                  <c:pt idx="1">
                    <c:v>2006</c:v>
                  </c:pt>
                  <c:pt idx="13">
                    <c:v>2007</c:v>
                  </c:pt>
                  <c:pt idx="25">
                    <c:v>2008</c:v>
                  </c:pt>
                  <c:pt idx="37">
                    <c:v>2009</c:v>
                  </c:pt>
                  <c:pt idx="49">
                    <c:v>2010</c:v>
                  </c:pt>
                  <c:pt idx="61">
                    <c:v>2011</c:v>
                  </c:pt>
                  <c:pt idx="73">
                    <c:v>2012</c:v>
                  </c:pt>
                  <c:pt idx="85">
                    <c:v>2013</c:v>
                  </c:pt>
                  <c:pt idx="97">
                    <c:v>2014</c:v>
                  </c:pt>
                  <c:pt idx="109">
                    <c:v>2015</c:v>
                  </c:pt>
                  <c:pt idx="121">
                    <c:v>2016</c:v>
                  </c:pt>
                  <c:pt idx="133">
                    <c:v>2017</c:v>
                  </c:pt>
                  <c:pt idx="145">
                    <c:v>2018</c:v>
                  </c:pt>
                  <c:pt idx="157">
                    <c:v>2019</c:v>
                  </c:pt>
                  <c:pt idx="169">
                    <c:v>2020</c:v>
                  </c:pt>
                  <c:pt idx="181">
                    <c:v>2021</c:v>
                  </c:pt>
                  <c:pt idx="193">
                    <c:v>2022</c:v>
                  </c:pt>
                </c:lvl>
              </c:multiLvlStrCache>
            </c:multiLvlStrRef>
          </c:cat>
          <c:val>
            <c:numRef>
              <c:f>Зведена_Депозит_Всього_Квартали!$B$4:$B$295</c:f>
              <c:numCache>
                <c:formatCode>#,##0.00</c:formatCode>
                <c:ptCount val="204"/>
                <c:pt idx="0">
                  <c:v>86900.728099999993</c:v>
                </c:pt>
                <c:pt idx="1">
                  <c:v>7170.1913000000004</c:v>
                </c:pt>
                <c:pt idx="2">
                  <c:v>7469.9462000000003</c:v>
                </c:pt>
                <c:pt idx="3">
                  <c:v>11315.035</c:v>
                </c:pt>
                <c:pt idx="4">
                  <c:v>14131.731400000001</c:v>
                </c:pt>
                <c:pt idx="5">
                  <c:v>16384.438300000002</c:v>
                </c:pt>
                <c:pt idx="6">
                  <c:v>20336.772000000001</c:v>
                </c:pt>
                <c:pt idx="7">
                  <c:v>17616.053800000002</c:v>
                </c:pt>
                <c:pt idx="8">
                  <c:v>17030.598399999999</c:v>
                </c:pt>
                <c:pt idx="9">
                  <c:v>21320.447700000001</c:v>
                </c:pt>
                <c:pt idx="10">
                  <c:v>21039.232400000001</c:v>
                </c:pt>
                <c:pt idx="11">
                  <c:v>20333.938200000001</c:v>
                </c:pt>
                <c:pt idx="12">
                  <c:v>24876.487700000001</c:v>
                </c:pt>
                <c:pt idx="13">
                  <c:v>13071.6198</c:v>
                </c:pt>
                <c:pt idx="14">
                  <c:v>19811.523799999999</c:v>
                </c:pt>
                <c:pt idx="15">
                  <c:v>24705.835500000001</c:v>
                </c:pt>
                <c:pt idx="16">
                  <c:v>19703.7683</c:v>
                </c:pt>
                <c:pt idx="17">
                  <c:v>21902.17</c:v>
                </c:pt>
                <c:pt idx="18">
                  <c:v>25921.063399999999</c:v>
                </c:pt>
                <c:pt idx="19">
                  <c:v>29268.8272</c:v>
                </c:pt>
                <c:pt idx="20">
                  <c:v>35835.455600000001</c:v>
                </c:pt>
                <c:pt idx="21">
                  <c:v>31771.0334</c:v>
                </c:pt>
                <c:pt idx="22">
                  <c:v>30106.001</c:v>
                </c:pt>
                <c:pt idx="23">
                  <c:v>30418.54</c:v>
                </c:pt>
                <c:pt idx="24">
                  <c:v>33834.6198</c:v>
                </c:pt>
                <c:pt idx="25">
                  <c:v>26915.86418</c:v>
                </c:pt>
                <c:pt idx="26">
                  <c:v>28854.2215</c:v>
                </c:pt>
                <c:pt idx="27">
                  <c:v>36939.022700000001</c:v>
                </c:pt>
                <c:pt idx="28">
                  <c:v>54358.523999999998</c:v>
                </c:pt>
                <c:pt idx="29">
                  <c:v>71940.327300000004</c:v>
                </c:pt>
                <c:pt idx="30">
                  <c:v>83331.094400000002</c:v>
                </c:pt>
                <c:pt idx="31">
                  <c:v>82337.716400000005</c:v>
                </c:pt>
                <c:pt idx="32">
                  <c:v>69130.669500000004</c:v>
                </c:pt>
                <c:pt idx="33">
                  <c:v>60560.214399999997</c:v>
                </c:pt>
                <c:pt idx="34">
                  <c:v>32597.545399999999</c:v>
                </c:pt>
                <c:pt idx="35">
                  <c:v>25880.599699999999</c:v>
                </c:pt>
                <c:pt idx="36">
                  <c:v>44683.379399999998</c:v>
                </c:pt>
                <c:pt idx="37">
                  <c:v>28721.1486</c:v>
                </c:pt>
                <c:pt idx="38">
                  <c:v>27911.893700000001</c:v>
                </c:pt>
                <c:pt idx="39">
                  <c:v>32163.769199999999</c:v>
                </c:pt>
                <c:pt idx="40">
                  <c:v>34862.643799999998</c:v>
                </c:pt>
                <c:pt idx="41">
                  <c:v>24554.855899999999</c:v>
                </c:pt>
                <c:pt idx="42">
                  <c:v>24797.893899999999</c:v>
                </c:pt>
                <c:pt idx="43">
                  <c:v>22459.168300000001</c:v>
                </c:pt>
                <c:pt idx="44">
                  <c:v>25530.157899999998</c:v>
                </c:pt>
                <c:pt idx="45">
                  <c:v>25708.356299999999</c:v>
                </c:pt>
                <c:pt idx="46">
                  <c:v>22362.194599999999</c:v>
                </c:pt>
                <c:pt idx="47">
                  <c:v>20826.5972</c:v>
                </c:pt>
                <c:pt idx="48">
                  <c:v>26922.515299999999</c:v>
                </c:pt>
                <c:pt idx="49">
                  <c:v>28743.1358</c:v>
                </c:pt>
                <c:pt idx="50">
                  <c:v>31417.3449</c:v>
                </c:pt>
                <c:pt idx="51">
                  <c:v>38612.048499999997</c:v>
                </c:pt>
                <c:pt idx="52">
                  <c:v>37648.959300000002</c:v>
                </c:pt>
                <c:pt idx="53">
                  <c:v>33864.397100000002</c:v>
                </c:pt>
                <c:pt idx="54">
                  <c:v>43048.777400000006</c:v>
                </c:pt>
                <c:pt idx="55">
                  <c:v>45589.8076</c:v>
                </c:pt>
                <c:pt idx="56">
                  <c:v>48166.945699999997</c:v>
                </c:pt>
                <c:pt idx="57">
                  <c:v>48619.835899999998</c:v>
                </c:pt>
                <c:pt idx="58">
                  <c:v>46311.155100000004</c:v>
                </c:pt>
                <c:pt idx="59">
                  <c:v>44117.936099999999</c:v>
                </c:pt>
                <c:pt idx="60">
                  <c:v>54750.964099999997</c:v>
                </c:pt>
                <c:pt idx="61">
                  <c:v>45412.063800000004</c:v>
                </c:pt>
                <c:pt idx="62">
                  <c:v>42571.917500000003</c:v>
                </c:pt>
                <c:pt idx="63">
                  <c:v>45398.078800000003</c:v>
                </c:pt>
                <c:pt idx="64">
                  <c:v>41896.961600000002</c:v>
                </c:pt>
                <c:pt idx="65">
                  <c:v>40599.737399999998</c:v>
                </c:pt>
                <c:pt idx="66">
                  <c:v>44828.140899999999</c:v>
                </c:pt>
                <c:pt idx="67">
                  <c:v>44612.0674</c:v>
                </c:pt>
                <c:pt idx="68">
                  <c:v>58386.580300000001</c:v>
                </c:pt>
                <c:pt idx="69">
                  <c:v>66871.971399999995</c:v>
                </c:pt>
                <c:pt idx="70">
                  <c:v>59403.875700000004</c:v>
                </c:pt>
                <c:pt idx="71">
                  <c:v>66741.405800000008</c:v>
                </c:pt>
                <c:pt idx="72">
                  <c:v>74699.701300000001</c:v>
                </c:pt>
                <c:pt idx="73">
                  <c:v>53913.221899999997</c:v>
                </c:pt>
                <c:pt idx="74">
                  <c:v>53562.039199999999</c:v>
                </c:pt>
                <c:pt idx="75">
                  <c:v>59974.139600000002</c:v>
                </c:pt>
                <c:pt idx="76">
                  <c:v>52912.872199999998</c:v>
                </c:pt>
                <c:pt idx="77">
                  <c:v>55862.606800000001</c:v>
                </c:pt>
                <c:pt idx="78">
                  <c:v>69560.316699999996</c:v>
                </c:pt>
                <c:pt idx="79">
                  <c:v>77019.443200000009</c:v>
                </c:pt>
                <c:pt idx="80">
                  <c:v>80655.185199999993</c:v>
                </c:pt>
                <c:pt idx="81">
                  <c:v>71753.905500000008</c:v>
                </c:pt>
                <c:pt idx="82">
                  <c:v>93450.108300000007</c:v>
                </c:pt>
                <c:pt idx="83">
                  <c:v>86480.962400000004</c:v>
                </c:pt>
                <c:pt idx="84">
                  <c:v>95234.954900000012</c:v>
                </c:pt>
                <c:pt idx="85">
                  <c:v>66470.561600000001</c:v>
                </c:pt>
                <c:pt idx="86">
                  <c:v>56955.357400000001</c:v>
                </c:pt>
                <c:pt idx="87">
                  <c:v>60293.135399999999</c:v>
                </c:pt>
                <c:pt idx="88">
                  <c:v>66957.958100000003</c:v>
                </c:pt>
                <c:pt idx="89">
                  <c:v>55846.192000000003</c:v>
                </c:pt>
                <c:pt idx="90">
                  <c:v>53488.2762</c:v>
                </c:pt>
                <c:pt idx="91">
                  <c:v>62611.394800000002</c:v>
                </c:pt>
                <c:pt idx="92">
                  <c:v>58373.090600000003</c:v>
                </c:pt>
                <c:pt idx="93">
                  <c:v>57353.870600000002</c:v>
                </c:pt>
                <c:pt idx="94">
                  <c:v>63569.457900000001</c:v>
                </c:pt>
                <c:pt idx="95">
                  <c:v>57769.679199999999</c:v>
                </c:pt>
                <c:pt idx="96">
                  <c:v>82711.608099999998</c:v>
                </c:pt>
                <c:pt idx="97">
                  <c:v>69331.350600000005</c:v>
                </c:pt>
                <c:pt idx="98">
                  <c:v>42315.659200000002</c:v>
                </c:pt>
                <c:pt idx="99">
                  <c:v>65641.835399999996</c:v>
                </c:pt>
                <c:pt idx="100">
                  <c:v>82154.265400000004</c:v>
                </c:pt>
                <c:pt idx="101">
                  <c:v>73198.335099999997</c:v>
                </c:pt>
                <c:pt idx="102">
                  <c:v>74997.291899999997</c:v>
                </c:pt>
                <c:pt idx="103">
                  <c:v>89085.330300000001</c:v>
                </c:pt>
                <c:pt idx="104">
                  <c:v>89263.193799999994</c:v>
                </c:pt>
                <c:pt idx="105">
                  <c:v>97760.041800000006</c:v>
                </c:pt>
                <c:pt idx="106">
                  <c:v>94438.305099999998</c:v>
                </c:pt>
                <c:pt idx="107">
                  <c:v>83539.854399999997</c:v>
                </c:pt>
                <c:pt idx="108">
                  <c:v>129598.50260000001</c:v>
                </c:pt>
                <c:pt idx="109">
                  <c:v>114685.41959999999</c:v>
                </c:pt>
                <c:pt idx="110">
                  <c:v>119997.3654</c:v>
                </c:pt>
                <c:pt idx="111">
                  <c:v>147640.6305</c:v>
                </c:pt>
                <c:pt idx="112">
                  <c:v>125925.73420000001</c:v>
                </c:pt>
                <c:pt idx="113">
                  <c:v>110070.86</c:v>
                </c:pt>
                <c:pt idx="114">
                  <c:v>118145.3573</c:v>
                </c:pt>
                <c:pt idx="115">
                  <c:v>148170.2138</c:v>
                </c:pt>
                <c:pt idx="116">
                  <c:v>135708.63889999999</c:v>
                </c:pt>
                <c:pt idx="117">
                  <c:v>150615.52679999999</c:v>
                </c:pt>
                <c:pt idx="118">
                  <c:v>165111.92389999999</c:v>
                </c:pt>
                <c:pt idx="119">
                  <c:v>162349.52609999999</c:v>
                </c:pt>
                <c:pt idx="120">
                  <c:v>200166.1826</c:v>
                </c:pt>
                <c:pt idx="121">
                  <c:v>158074.30910000001</c:v>
                </c:pt>
                <c:pt idx="122">
                  <c:v>183840.02989999999</c:v>
                </c:pt>
                <c:pt idx="123">
                  <c:v>182787.47289999999</c:v>
                </c:pt>
                <c:pt idx="124">
                  <c:v>170024.64670000001</c:v>
                </c:pt>
                <c:pt idx="125">
                  <c:v>170736.27009999999</c:v>
                </c:pt>
                <c:pt idx="126">
                  <c:v>191081.2303</c:v>
                </c:pt>
                <c:pt idx="127">
                  <c:v>198103.2451</c:v>
                </c:pt>
                <c:pt idx="128">
                  <c:v>186042.0331</c:v>
                </c:pt>
                <c:pt idx="129">
                  <c:v>190883.24220000001</c:v>
                </c:pt>
                <c:pt idx="130">
                  <c:v>188330.6146</c:v>
                </c:pt>
                <c:pt idx="131">
                  <c:v>202091.49340000001</c:v>
                </c:pt>
                <c:pt idx="132">
                  <c:v>219566.79449999999</c:v>
                </c:pt>
                <c:pt idx="133">
                  <c:v>178804.27280000001</c:v>
                </c:pt>
                <c:pt idx="134">
                  <c:v>177217.44260000001</c:v>
                </c:pt>
                <c:pt idx="135">
                  <c:v>203363.41519999999</c:v>
                </c:pt>
                <c:pt idx="136">
                  <c:v>170902.2838</c:v>
                </c:pt>
                <c:pt idx="137">
                  <c:v>173234.24479999999</c:v>
                </c:pt>
                <c:pt idx="138">
                  <c:v>168212.6673</c:v>
                </c:pt>
                <c:pt idx="139">
                  <c:v>172161.61799999999</c:v>
                </c:pt>
                <c:pt idx="140">
                  <c:v>187229.55600000001</c:v>
                </c:pt>
                <c:pt idx="141">
                  <c:v>175182.61660000001</c:v>
                </c:pt>
                <c:pt idx="142">
                  <c:v>182670.47279999999</c:v>
                </c:pt>
                <c:pt idx="143">
                  <c:v>189242.67720000001</c:v>
                </c:pt>
                <c:pt idx="144">
                  <c:v>191261.43460000001</c:v>
                </c:pt>
                <c:pt idx="145">
                  <c:v>191335.82130000001</c:v>
                </c:pt>
                <c:pt idx="146">
                  <c:v>168730.8701</c:v>
                </c:pt>
                <c:pt idx="147">
                  <c:v>209251.649</c:v>
                </c:pt>
                <c:pt idx="148">
                  <c:v>180149.7432</c:v>
                </c:pt>
                <c:pt idx="149">
                  <c:v>185638.9926</c:v>
                </c:pt>
                <c:pt idx="150">
                  <c:v>172356.6416</c:v>
                </c:pt>
                <c:pt idx="151">
                  <c:v>230583.86780000001</c:v>
                </c:pt>
                <c:pt idx="152">
                  <c:v>241747.32079999999</c:v>
                </c:pt>
                <c:pt idx="153">
                  <c:v>221479.17540000001</c:v>
                </c:pt>
                <c:pt idx="154">
                  <c:v>240336.67670000001</c:v>
                </c:pt>
                <c:pt idx="155">
                  <c:v>230144.5325</c:v>
                </c:pt>
                <c:pt idx="156">
                  <c:v>247744.69870000001</c:v>
                </c:pt>
                <c:pt idx="157">
                  <c:v>243316.94349999999</c:v>
                </c:pt>
                <c:pt idx="158">
                  <c:v>221983.8333</c:v>
                </c:pt>
                <c:pt idx="159">
                  <c:v>218340.1747</c:v>
                </c:pt>
                <c:pt idx="160">
                  <c:v>218891.5338</c:v>
                </c:pt>
                <c:pt idx="161">
                  <c:v>229711.9247</c:v>
                </c:pt>
                <c:pt idx="162">
                  <c:v>200249.81969999999</c:v>
                </c:pt>
                <c:pt idx="163">
                  <c:v>252461.66769999999</c:v>
                </c:pt>
                <c:pt idx="164">
                  <c:v>205871.61199999999</c:v>
                </c:pt>
                <c:pt idx="165">
                  <c:v>210281.8371</c:v>
                </c:pt>
                <c:pt idx="166">
                  <c:v>217962.0238</c:v>
                </c:pt>
                <c:pt idx="167">
                  <c:v>193181.19820000001</c:v>
                </c:pt>
                <c:pt idx="168">
                  <c:v>236965.7219</c:v>
                </c:pt>
                <c:pt idx="169">
                  <c:v>243069.4431</c:v>
                </c:pt>
                <c:pt idx="170">
                  <c:v>221967.8315</c:v>
                </c:pt>
                <c:pt idx="171">
                  <c:v>227753.5644</c:v>
                </c:pt>
                <c:pt idx="172">
                  <c:v>206340.948</c:v>
                </c:pt>
                <c:pt idx="173">
                  <c:v>190096.72409999999</c:v>
                </c:pt>
                <c:pt idx="174">
                  <c:v>214569.99780000001</c:v>
                </c:pt>
                <c:pt idx="175">
                  <c:v>256312.64540000001</c:v>
                </c:pt>
                <c:pt idx="176">
                  <c:v>209195.0766</c:v>
                </c:pt>
                <c:pt idx="177">
                  <c:v>230066.71040000001</c:v>
                </c:pt>
                <c:pt idx="178">
                  <c:v>216364.29199999999</c:v>
                </c:pt>
                <c:pt idx="179">
                  <c:v>203130.62330000001</c:v>
                </c:pt>
                <c:pt idx="180">
                  <c:v>250650.52119999999</c:v>
                </c:pt>
                <c:pt idx="181">
                  <c:v>217424.38329999999</c:v>
                </c:pt>
                <c:pt idx="182">
                  <c:v>212879.87710000001</c:v>
                </c:pt>
                <c:pt idx="183">
                  <c:v>216197.14129999999</c:v>
                </c:pt>
                <c:pt idx="184">
                  <c:v>233027.62349999999</c:v>
                </c:pt>
                <c:pt idx="185">
                  <c:v>208752.9369</c:v>
                </c:pt>
                <c:pt idx="186">
                  <c:v>216470.9374</c:v>
                </c:pt>
                <c:pt idx="187">
                  <c:v>238780.9884</c:v>
                </c:pt>
                <c:pt idx="188">
                  <c:v>232626.76939999999</c:v>
                </c:pt>
                <c:pt idx="189">
                  <c:v>236070.416</c:v>
                </c:pt>
                <c:pt idx="190">
                  <c:v>222306.89749999999</c:v>
                </c:pt>
                <c:pt idx="191">
                  <c:v>259078.74960000001</c:v>
                </c:pt>
                <c:pt idx="192">
                  <c:v>310525.79259999999</c:v>
                </c:pt>
                <c:pt idx="193">
                  <c:v>280958.1704</c:v>
                </c:pt>
                <c:pt idx="194">
                  <c:v>272819.68060000002</c:v>
                </c:pt>
                <c:pt idx="195">
                  <c:v>262495.87390000001</c:v>
                </c:pt>
                <c:pt idx="196">
                  <c:v>260505.07550000001</c:v>
                </c:pt>
                <c:pt idx="197">
                  <c:v>236756.89350000001</c:v>
                </c:pt>
                <c:pt idx="198">
                  <c:v>282154.71870000003</c:v>
                </c:pt>
                <c:pt idx="199">
                  <c:v>258876.42370000001</c:v>
                </c:pt>
                <c:pt idx="200">
                  <c:v>285597.77389999997</c:v>
                </c:pt>
                <c:pt idx="201">
                  <c:v>328782.755</c:v>
                </c:pt>
                <c:pt idx="202">
                  <c:v>302835.25799999997</c:v>
                </c:pt>
                <c:pt idx="203">
                  <c:v>356198.5883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3-46AA-B318-668D7A427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79375"/>
        <c:axId val="2113981039"/>
      </c:lineChart>
      <c:catAx>
        <c:axId val="2113979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3981039"/>
        <c:crosses val="autoZero"/>
        <c:auto val="1"/>
        <c:lblAlgn val="ctr"/>
        <c:lblOffset val="100"/>
        <c:noMultiLvlLbl val="0"/>
      </c:catAx>
      <c:valAx>
        <c:axId val="2113981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397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[депозитні_ставки_сезонність.xlsx]Зведена_Ставки_Квартали!Зведена таблиця2</c:name>
    <c:fmtId val="0"/>
  </c:pivotSource>
  <c:chart>
    <c:autoTitleDeleted val="1"/>
    <c:pivotFmts>
      <c:pivotFmt>
        <c:idx val="0"/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Зведена_Ставки_Квартали!$B$3</c:f>
              <c:strCache>
                <c:ptCount val="1"/>
                <c:pt idx="0">
                  <c:v>Середнє з Ставка загалом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Зведена_Ставки_Квартали!$A$4:$A$22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Зведена_Ставки_Квартали!$B$4:$B$22</c:f>
              <c:numCache>
                <c:formatCode>0.00</c:formatCode>
                <c:ptCount val="18"/>
                <c:pt idx="0">
                  <c:v>8.2233999999999998</c:v>
                </c:pt>
                <c:pt idx="1">
                  <c:v>6.5105416666666676</c:v>
                </c:pt>
                <c:pt idx="2">
                  <c:v>6.6231583333333335</c:v>
                </c:pt>
                <c:pt idx="3">
                  <c:v>8.0467333333333322</c:v>
                </c:pt>
                <c:pt idx="4">
                  <c:v>11.345716666666668</c:v>
                </c:pt>
                <c:pt idx="5">
                  <c:v>7.2535999999999987</c:v>
                </c:pt>
                <c:pt idx="6">
                  <c:v>5.4333999999999998</c:v>
                </c:pt>
                <c:pt idx="7">
                  <c:v>9.9449916666666649</c:v>
                </c:pt>
                <c:pt idx="8">
                  <c:v>6.5512583333333323</c:v>
                </c:pt>
                <c:pt idx="9">
                  <c:v>8.5019749999999998</c:v>
                </c:pt>
                <c:pt idx="10">
                  <c:v>11.197475000000003</c:v>
                </c:pt>
                <c:pt idx="11">
                  <c:v>10.414950000000001</c:v>
                </c:pt>
                <c:pt idx="12">
                  <c:v>8.3332750000000004</c:v>
                </c:pt>
                <c:pt idx="13">
                  <c:v>11.688316666666667</c:v>
                </c:pt>
                <c:pt idx="14">
                  <c:v>12.236191666666665</c:v>
                </c:pt>
                <c:pt idx="15">
                  <c:v>5.1587249999999996</c:v>
                </c:pt>
                <c:pt idx="16">
                  <c:v>4.0987499999999999</c:v>
                </c:pt>
                <c:pt idx="17">
                  <c:v>6.7736545454545452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9-48A8-8144-7F4FBC05FC27}"/>
            </c:ext>
          </c:extLst>
        </c:ser>
        <c:ser>
          <c:idx val="1"/>
          <c:order val="1"/>
          <c:tx>
            <c:strRef>
              <c:f>Зведена_Ставки_Квартали!$C$3</c:f>
              <c:strCache>
                <c:ptCount val="1"/>
                <c:pt idx="0">
                  <c:v>Середнє з Ставка від 3 до 6 місяців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Зведена_Ставки_Квартали!$A$4:$A$22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Зведена_Ставки_Квартали!$C$4:$C$22</c:f>
              <c:numCache>
                <c:formatCode>0.00</c:formatCode>
                <c:ptCount val="18"/>
                <c:pt idx="0">
                  <c:v>10.771599999999999</c:v>
                </c:pt>
                <c:pt idx="1">
                  <c:v>9.6727333333333316</c:v>
                </c:pt>
                <c:pt idx="2">
                  <c:v>9.5202083333333345</c:v>
                </c:pt>
                <c:pt idx="3">
                  <c:v>11.809116666666666</c:v>
                </c:pt>
                <c:pt idx="4">
                  <c:v>14.312033333333334</c:v>
                </c:pt>
                <c:pt idx="5">
                  <c:v>11.739500000000001</c:v>
                </c:pt>
                <c:pt idx="6">
                  <c:v>9.0235000000000003</c:v>
                </c:pt>
                <c:pt idx="7">
                  <c:v>12.136366666666667</c:v>
                </c:pt>
                <c:pt idx="8">
                  <c:v>12.739941666666665</c:v>
                </c:pt>
                <c:pt idx="9">
                  <c:v>13.538916666666667</c:v>
                </c:pt>
                <c:pt idx="10">
                  <c:v>14.047066666666668</c:v>
                </c:pt>
                <c:pt idx="11">
                  <c:v>12.374483333333332</c:v>
                </c:pt>
                <c:pt idx="12">
                  <c:v>10.284250000000002</c:v>
                </c:pt>
                <c:pt idx="13">
                  <c:v>9.2766083333333338</c:v>
                </c:pt>
                <c:pt idx="14">
                  <c:v>11.124116666666666</c:v>
                </c:pt>
                <c:pt idx="15">
                  <c:v>7.4188916666666671</c:v>
                </c:pt>
                <c:pt idx="16">
                  <c:v>5.2105333333333332</c:v>
                </c:pt>
                <c:pt idx="17">
                  <c:v>6.7755181818181818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9-48A8-8144-7F4FBC05FC27}"/>
            </c:ext>
          </c:extLst>
        </c:ser>
        <c:ser>
          <c:idx val="2"/>
          <c:order val="2"/>
          <c:tx>
            <c:strRef>
              <c:f>Зведена_Ставки_Квартали!$D$3</c:f>
              <c:strCache>
                <c:ptCount val="1"/>
                <c:pt idx="0">
                  <c:v>Середнє з Ставка від 1 до 3 місяців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Зведена_Ставки_Квартали!$A$4:$A$22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Зведена_Ставки_Квартали!$D$4:$D$22</c:f>
              <c:numCache>
                <c:formatCode>0.00</c:formatCode>
                <c:ptCount val="18"/>
                <c:pt idx="0">
                  <c:v>8.4792000000000005</c:v>
                </c:pt>
                <c:pt idx="1">
                  <c:v>8.0946833333333341</c:v>
                </c:pt>
                <c:pt idx="2">
                  <c:v>6.8888166666666661</c:v>
                </c:pt>
                <c:pt idx="3">
                  <c:v>13.282683333333337</c:v>
                </c:pt>
                <c:pt idx="4">
                  <c:v>14.87795</c:v>
                </c:pt>
                <c:pt idx="5">
                  <c:v>9.4392833333333339</c:v>
                </c:pt>
                <c:pt idx="6">
                  <c:v>8.9681916666666659</c:v>
                </c:pt>
                <c:pt idx="7">
                  <c:v>13.727249999999998</c:v>
                </c:pt>
                <c:pt idx="8">
                  <c:v>12.315166666666665</c:v>
                </c:pt>
                <c:pt idx="9">
                  <c:v>14.469424999999999</c:v>
                </c:pt>
                <c:pt idx="10">
                  <c:v>15.002383333333333</c:v>
                </c:pt>
                <c:pt idx="11">
                  <c:v>13.257600000000002</c:v>
                </c:pt>
                <c:pt idx="12">
                  <c:v>11.005841666666667</c:v>
                </c:pt>
                <c:pt idx="13">
                  <c:v>12.243941666666665</c:v>
                </c:pt>
                <c:pt idx="14">
                  <c:v>11.607766666666665</c:v>
                </c:pt>
                <c:pt idx="15">
                  <c:v>7.4502166666666669</c:v>
                </c:pt>
                <c:pt idx="16">
                  <c:v>5.5575750000000008</c:v>
                </c:pt>
                <c:pt idx="17">
                  <c:v>8.5041999999999991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9-48A8-8144-7F4FBC05FC27}"/>
            </c:ext>
          </c:extLst>
        </c:ser>
        <c:ser>
          <c:idx val="3"/>
          <c:order val="3"/>
          <c:tx>
            <c:strRef>
              <c:f>Зведена_Ставки_Квартали!$E$3</c:f>
              <c:strCache>
                <c:ptCount val="1"/>
                <c:pt idx="0">
                  <c:v>Середнє з Ставка від 6 до 12 місяців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Зведена_Ставки_Квартали!$A$4:$A$22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Зведена_Ставки_Квартали!$E$4:$E$22</c:f>
              <c:numCache>
                <c:formatCode>0.00</c:formatCode>
                <c:ptCount val="18"/>
                <c:pt idx="0">
                  <c:v>9.8265999999999991</c:v>
                </c:pt>
                <c:pt idx="1">
                  <c:v>9.0178166666666684</c:v>
                </c:pt>
                <c:pt idx="2">
                  <c:v>9.0977499999999996</c:v>
                </c:pt>
                <c:pt idx="3">
                  <c:v>10.047991666666666</c:v>
                </c:pt>
                <c:pt idx="4">
                  <c:v>13.380416666666667</c:v>
                </c:pt>
                <c:pt idx="5">
                  <c:v>12.222458333333334</c:v>
                </c:pt>
                <c:pt idx="6">
                  <c:v>9.4586666666666659</c:v>
                </c:pt>
                <c:pt idx="7">
                  <c:v>11.576633333333334</c:v>
                </c:pt>
                <c:pt idx="8">
                  <c:v>12.416758333333332</c:v>
                </c:pt>
                <c:pt idx="9">
                  <c:v>11.229791666666666</c:v>
                </c:pt>
                <c:pt idx="10">
                  <c:v>10.5167</c:v>
                </c:pt>
                <c:pt idx="11">
                  <c:v>9.7545166666666674</c:v>
                </c:pt>
                <c:pt idx="12">
                  <c:v>8.395483333333333</c:v>
                </c:pt>
                <c:pt idx="13">
                  <c:v>8.0127666666666659</c:v>
                </c:pt>
                <c:pt idx="14">
                  <c:v>9.9484833333333338</c:v>
                </c:pt>
                <c:pt idx="15">
                  <c:v>7.1192833333333327</c:v>
                </c:pt>
                <c:pt idx="16">
                  <c:v>5.1463833333333335</c:v>
                </c:pt>
                <c:pt idx="17">
                  <c:v>7.4143090909090912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9-48A8-8144-7F4FBC05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38079"/>
        <c:axId val="2112341407"/>
      </c:lineChart>
      <c:catAx>
        <c:axId val="2112338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2341407"/>
        <c:crosses val="autoZero"/>
        <c:auto val="1"/>
        <c:lblAlgn val="ctr"/>
        <c:lblOffset val="100"/>
        <c:noMultiLvlLbl val="0"/>
      </c:catAx>
      <c:valAx>
        <c:axId val="2112341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233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Індекс_Сезонності_Квартали!$B$10</c:f>
              <c:strCache>
                <c:ptCount val="1"/>
                <c:pt idx="0">
                  <c:v>Всього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Індекс_Сезонності_Квартали!$A$11:$A$14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Індекс_Сезонності_Квартали!$B$11:$B$14</c:f>
              <c:numCache>
                <c:formatCode>0%</c:formatCode>
                <c:ptCount val="4"/>
                <c:pt idx="0">
                  <c:v>1.0012121212121212</c:v>
                </c:pt>
                <c:pt idx="1">
                  <c:v>0.97212121212121205</c:v>
                </c:pt>
                <c:pt idx="2">
                  <c:v>0.96242424242424252</c:v>
                </c:pt>
                <c:pt idx="3">
                  <c:v>1.0642424242424242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A-4DA3-B844-F1CF7FC19FB9}"/>
            </c:ext>
          </c:extLst>
        </c:ser>
        <c:ser>
          <c:idx val="2"/>
          <c:order val="2"/>
          <c:tx>
            <c:strRef>
              <c:f>Індекс_Сезонності_Квартали!$D$10</c:f>
              <c:strCache>
                <c:ptCount val="1"/>
                <c:pt idx="0">
                  <c:v>від 1 до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Індекс_Сезонності_Квартали!$A$11:$A$14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Індекс_Сезонності_Квартали!$D$11:$D$14</c:f>
              <c:numCache>
                <c:formatCode>0%</c:formatCode>
                <c:ptCount val="4"/>
                <c:pt idx="0">
                  <c:v>1.0109023797670544</c:v>
                </c:pt>
                <c:pt idx="1">
                  <c:v>0.97688429452481351</c:v>
                </c:pt>
                <c:pt idx="2">
                  <c:v>0.95847257679550257</c:v>
                </c:pt>
                <c:pt idx="3">
                  <c:v>1.0537407489126303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A-4DA3-B844-F1CF7FC19FB9}"/>
            </c:ext>
          </c:extLst>
        </c:ser>
        <c:ser>
          <c:idx val="3"/>
          <c:order val="3"/>
          <c:tx>
            <c:strRef>
              <c:f>Індекс_Сезонності_Квартали!$E$10</c:f>
              <c:strCache>
                <c:ptCount val="1"/>
                <c:pt idx="0">
                  <c:v>від 3 до 6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Індекс_Сезонності_Квартали!$A$11:$A$14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Індекс_Сезонності_Квартали!$E$11:$E$14</c:f>
              <c:numCache>
                <c:formatCode>0.00%</c:formatCode>
                <c:ptCount val="4"/>
                <c:pt idx="0">
                  <c:v>1.0373313192786076</c:v>
                </c:pt>
                <c:pt idx="1">
                  <c:v>0.98026108417509528</c:v>
                </c:pt>
                <c:pt idx="2">
                  <c:v>0.97916147279360288</c:v>
                </c:pt>
                <c:pt idx="3">
                  <c:v>1.0032461237526951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A-4DA3-B844-F1CF7FC19FB9}"/>
            </c:ext>
          </c:extLst>
        </c:ser>
        <c:ser>
          <c:idx val="4"/>
          <c:order val="4"/>
          <c:tx>
            <c:strRef>
              <c:f>Індекс_Сезонності_Квартали!$F$10</c:f>
              <c:strCache>
                <c:ptCount val="1"/>
                <c:pt idx="0">
                  <c:v>від 6 до 12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Індекс_Сезонності_Квартали!$A$11:$A$14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Індекс_Сезонності_Квартали!$F$11:$F$14</c:f>
              <c:numCache>
                <c:formatCode>0.00%</c:formatCode>
                <c:ptCount val="4"/>
                <c:pt idx="0">
                  <c:v>1.0247425746915815</c:v>
                </c:pt>
                <c:pt idx="1">
                  <c:v>1.0216609678831905</c:v>
                </c:pt>
                <c:pt idx="2">
                  <c:v>0.98037713613447675</c:v>
                </c:pt>
                <c:pt idx="3">
                  <c:v>0.97321932129075095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A-4DA3-B844-F1CF7FC1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593936"/>
        <c:axId val="1446598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Індекс_Сезонності_Квартали!$C$10</c15:sqref>
                        </c15:formulaRef>
                      </c:ext>
                    </c:extLst>
                    <c:strCache>
                      <c:ptCount val="1"/>
                      <c:pt idx="0">
                        <c:v>до 1 місяця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Індекс_Сезонності_Квартали!$A$11:$A$14</c15:sqref>
                        </c15:formulaRef>
                      </c:ext>
                    </c:extLst>
                    <c:strCache>
                      <c:ptCount val="4"/>
                      <c:pt idx="0">
                        <c:v>Квартал 1</c:v>
                      </c:pt>
                      <c:pt idx="1">
                        <c:v>Квартал 2</c:v>
                      </c:pt>
                      <c:pt idx="2">
                        <c:v>Квартал 3</c:v>
                      </c:pt>
                      <c:pt idx="3">
                        <c:v>Квартал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Індекс_Сезонності_Квартали!$C$11:$C$14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0.97534758317794723</c:v>
                      </c:pt>
                      <c:pt idx="1">
                        <c:v>0.94356521826706075</c:v>
                      </c:pt>
                      <c:pt idx="2">
                        <c:v>0.94800590971980014</c:v>
                      </c:pt>
                      <c:pt idx="3">
                        <c:v>1.1330812888351913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1A-4DA3-B844-F1CF7FC19FB9}"/>
                  </c:ext>
                </c:extLst>
              </c15:ser>
            </c15:filteredLineSeries>
          </c:ext>
        </c:extLst>
      </c:lineChart>
      <c:catAx>
        <c:axId val="1446593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46598096"/>
        <c:crosses val="autoZero"/>
        <c:auto val="1"/>
        <c:lblAlgn val="ctr"/>
        <c:lblOffset val="100"/>
        <c:noMultiLvlLbl val="0"/>
      </c:catAx>
      <c:valAx>
        <c:axId val="144659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465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Індекс_Сезонності_Місяці!$B$18</c:f>
              <c:strCache>
                <c:ptCount val="1"/>
                <c:pt idx="0">
                  <c:v>Всього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Індекс_Сезонності_Місяці!$A$19:$A$30</c:f>
              <c:strCache>
                <c:ptCount val="12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Квітень</c:v>
                </c:pt>
                <c:pt idx="4">
                  <c:v>Травень</c:v>
                </c:pt>
                <c:pt idx="5">
                  <c:v>Червень</c:v>
                </c:pt>
                <c:pt idx="6">
                  <c:v>Липень</c:v>
                </c:pt>
                <c:pt idx="7">
                  <c:v>Серпень</c:v>
                </c:pt>
                <c:pt idx="8">
                  <c:v>Вересень</c:v>
                </c:pt>
                <c:pt idx="9">
                  <c:v>Жовтень</c:v>
                </c:pt>
                <c:pt idx="10">
                  <c:v>Листопад</c:v>
                </c:pt>
                <c:pt idx="11">
                  <c:v>Грудень</c:v>
                </c:pt>
              </c:strCache>
            </c:strRef>
          </c:cat>
          <c:val>
            <c:numRef>
              <c:f>Індекс_Сезонності_Місяці!$B$19:$B$30</c:f>
              <c:numCache>
                <c:formatCode>0.00%</c:formatCode>
                <c:ptCount val="12"/>
                <c:pt idx="0">
                  <c:v>0.96969696969696972</c:v>
                </c:pt>
                <c:pt idx="1">
                  <c:v>1.0169696969696971</c:v>
                </c:pt>
                <c:pt idx="2">
                  <c:v>1.0157575757575759</c:v>
                </c:pt>
                <c:pt idx="3">
                  <c:v>0.98303030303030292</c:v>
                </c:pt>
                <c:pt idx="4">
                  <c:v>0.9563636363636363</c:v>
                </c:pt>
                <c:pt idx="5">
                  <c:v>0.97575757575757582</c:v>
                </c:pt>
                <c:pt idx="6">
                  <c:v>0.95757575757575764</c:v>
                </c:pt>
                <c:pt idx="7">
                  <c:v>0.95151515151515142</c:v>
                </c:pt>
                <c:pt idx="8">
                  <c:v>0.97939393939393937</c:v>
                </c:pt>
                <c:pt idx="9">
                  <c:v>1.0509090909090908</c:v>
                </c:pt>
                <c:pt idx="10">
                  <c:v>1.0896969696969698</c:v>
                </c:pt>
                <c:pt idx="11">
                  <c:v>1.0509090909090908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3-4F8F-8F49-0D72D9F6068C}"/>
            </c:ext>
          </c:extLst>
        </c:ser>
        <c:ser>
          <c:idx val="1"/>
          <c:order val="1"/>
          <c:tx>
            <c:strRef>
              <c:f>Індекс_Сезонності_Місяці!$D$18</c:f>
              <c:strCache>
                <c:ptCount val="1"/>
                <c:pt idx="0">
                  <c:v>від 1 до 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Індекс_Сезонності_Місяці!$A$19:$A$30</c:f>
              <c:strCache>
                <c:ptCount val="12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Квітень</c:v>
                </c:pt>
                <c:pt idx="4">
                  <c:v>Травень</c:v>
                </c:pt>
                <c:pt idx="5">
                  <c:v>Червень</c:v>
                </c:pt>
                <c:pt idx="6">
                  <c:v>Липень</c:v>
                </c:pt>
                <c:pt idx="7">
                  <c:v>Серпень</c:v>
                </c:pt>
                <c:pt idx="8">
                  <c:v>Вересень</c:v>
                </c:pt>
                <c:pt idx="9">
                  <c:v>Жовтень</c:v>
                </c:pt>
                <c:pt idx="10">
                  <c:v>Листопад</c:v>
                </c:pt>
                <c:pt idx="11">
                  <c:v>Грудень</c:v>
                </c:pt>
              </c:strCache>
            </c:strRef>
          </c:cat>
          <c:val>
            <c:numRef>
              <c:f>Індекс_Сезонності_Місяці!$D$19:$D$30</c:f>
              <c:numCache>
                <c:formatCode>0.00%</c:formatCode>
                <c:ptCount val="12"/>
                <c:pt idx="0">
                  <c:v>1.0276055692236721</c:v>
                </c:pt>
                <c:pt idx="1">
                  <c:v>1.0114232050331677</c:v>
                </c:pt>
                <c:pt idx="2">
                  <c:v>0.99367836504432161</c:v>
                </c:pt>
                <c:pt idx="3">
                  <c:v>0.95501606108528636</c:v>
                </c:pt>
                <c:pt idx="4">
                  <c:v>0.97786184623272299</c:v>
                </c:pt>
                <c:pt idx="5">
                  <c:v>0.9977749762564293</c:v>
                </c:pt>
                <c:pt idx="6">
                  <c:v>0.95607128128505781</c:v>
                </c:pt>
                <c:pt idx="7">
                  <c:v>0.96828398207429012</c:v>
                </c:pt>
                <c:pt idx="8">
                  <c:v>0.95106246702715835</c:v>
                </c:pt>
                <c:pt idx="9">
                  <c:v>1.0131645861851764</c:v>
                </c:pt>
                <c:pt idx="10">
                  <c:v>1.0521145313864844</c:v>
                </c:pt>
                <c:pt idx="11">
                  <c:v>1.0959431291662278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3-4F8F-8F49-0D72D9F6068C}"/>
            </c:ext>
          </c:extLst>
        </c:ser>
        <c:ser>
          <c:idx val="2"/>
          <c:order val="2"/>
          <c:tx>
            <c:strRef>
              <c:f>Індекс_Сезонності_Місяці!$E$18</c:f>
              <c:strCache>
                <c:ptCount val="1"/>
                <c:pt idx="0">
                  <c:v>від 3 до 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Індекс_Сезонності_Місяці!$A$19:$A$30</c:f>
              <c:strCache>
                <c:ptCount val="12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Квітень</c:v>
                </c:pt>
                <c:pt idx="4">
                  <c:v>Травень</c:v>
                </c:pt>
                <c:pt idx="5">
                  <c:v>Червень</c:v>
                </c:pt>
                <c:pt idx="6">
                  <c:v>Липень</c:v>
                </c:pt>
                <c:pt idx="7">
                  <c:v>Серпень</c:v>
                </c:pt>
                <c:pt idx="8">
                  <c:v>Вересень</c:v>
                </c:pt>
                <c:pt idx="9">
                  <c:v>Жовтень</c:v>
                </c:pt>
                <c:pt idx="10">
                  <c:v>Листопад</c:v>
                </c:pt>
                <c:pt idx="11">
                  <c:v>Грудень</c:v>
                </c:pt>
              </c:strCache>
            </c:strRef>
          </c:cat>
          <c:val>
            <c:numRef>
              <c:f>Індекс_Сезонності_Місяці!$E$19:$E$30</c:f>
              <c:numCache>
                <c:formatCode>0.00%</c:formatCode>
                <c:ptCount val="12"/>
                <c:pt idx="0">
                  <c:v>1.0503599310950642</c:v>
                </c:pt>
                <c:pt idx="1">
                  <c:v>1.0322858272693789</c:v>
                </c:pt>
                <c:pt idx="2">
                  <c:v>1.0293481994713796</c:v>
                </c:pt>
                <c:pt idx="3">
                  <c:v>0.96952967119423028</c:v>
                </c:pt>
                <c:pt idx="4">
                  <c:v>0.99027890782413852</c:v>
                </c:pt>
                <c:pt idx="5">
                  <c:v>0.98097467350691581</c:v>
                </c:pt>
                <c:pt idx="6">
                  <c:v>0.98579222868681526</c:v>
                </c:pt>
                <c:pt idx="7">
                  <c:v>0.99362020439407983</c:v>
                </c:pt>
                <c:pt idx="8">
                  <c:v>0.95807198529991289</c:v>
                </c:pt>
                <c:pt idx="9">
                  <c:v>1.0268886875549019</c:v>
                </c:pt>
                <c:pt idx="10">
                  <c:v>0.97768576564371601</c:v>
                </c:pt>
                <c:pt idx="11">
                  <c:v>1.0051639180594671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3-4F8F-8F49-0D72D9F6068C}"/>
            </c:ext>
          </c:extLst>
        </c:ser>
        <c:ser>
          <c:idx val="3"/>
          <c:order val="3"/>
          <c:tx>
            <c:strRef>
              <c:f>Індекс_Сезонності_Місяці!$F$18</c:f>
              <c:strCache>
                <c:ptCount val="1"/>
                <c:pt idx="0">
                  <c:v>від 6 до 12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Індекс_Сезонності_Місяці!$A$19:$A$30</c:f>
              <c:strCache>
                <c:ptCount val="12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Квітень</c:v>
                </c:pt>
                <c:pt idx="4">
                  <c:v>Травень</c:v>
                </c:pt>
                <c:pt idx="5">
                  <c:v>Червень</c:v>
                </c:pt>
                <c:pt idx="6">
                  <c:v>Липень</c:v>
                </c:pt>
                <c:pt idx="7">
                  <c:v>Серпень</c:v>
                </c:pt>
                <c:pt idx="8">
                  <c:v>Вересень</c:v>
                </c:pt>
                <c:pt idx="9">
                  <c:v>Жовтень</c:v>
                </c:pt>
                <c:pt idx="10">
                  <c:v>Листопад</c:v>
                </c:pt>
                <c:pt idx="11">
                  <c:v>Грудень</c:v>
                </c:pt>
              </c:strCache>
            </c:strRef>
          </c:cat>
          <c:val>
            <c:numRef>
              <c:f>Індекс_Сезонності_Місяці!$F$19:$F$30</c:f>
              <c:numCache>
                <c:formatCode>0.00%</c:formatCode>
                <c:ptCount val="12"/>
                <c:pt idx="0">
                  <c:v>1.0533342278412767</c:v>
                </c:pt>
                <c:pt idx="1">
                  <c:v>1.0021555081852531</c:v>
                </c:pt>
                <c:pt idx="2">
                  <c:v>1.0187379880482155</c:v>
                </c:pt>
                <c:pt idx="3">
                  <c:v>1.0418069976521187</c:v>
                </c:pt>
                <c:pt idx="4">
                  <c:v>0.97503090194892938</c:v>
                </c:pt>
                <c:pt idx="5">
                  <c:v>1.0481450040485241</c:v>
                </c:pt>
                <c:pt idx="6">
                  <c:v>0.99626307182245433</c:v>
                </c:pt>
                <c:pt idx="7">
                  <c:v>0.96208087874089399</c:v>
                </c:pt>
                <c:pt idx="8">
                  <c:v>0.98278745784008281</c:v>
                </c:pt>
                <c:pt idx="9">
                  <c:v>0.99679775586278252</c:v>
                </c:pt>
                <c:pt idx="10">
                  <c:v>0.98041411541617796</c:v>
                </c:pt>
                <c:pt idx="11">
                  <c:v>0.94244609259329259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3-4F8F-8F49-0D72D9F6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627872"/>
        <c:axId val="1701629120"/>
      </c:lineChart>
      <c:catAx>
        <c:axId val="1701627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01629120"/>
        <c:crosses val="autoZero"/>
        <c:auto val="1"/>
        <c:lblAlgn val="ctr"/>
        <c:lblOffset val="100"/>
        <c:noMultiLvlLbl val="0"/>
      </c:catAx>
      <c:valAx>
        <c:axId val="1701629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016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0</xdr:row>
      <xdr:rowOff>137160</xdr:rowOff>
    </xdr:from>
    <xdr:to>
      <xdr:col>13</xdr:col>
      <xdr:colOff>198120</xdr:colOff>
      <xdr:row>24</xdr:row>
      <xdr:rowOff>106680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22</xdr:row>
      <xdr:rowOff>121920</xdr:rowOff>
    </xdr:from>
    <xdr:to>
      <xdr:col>4</xdr:col>
      <xdr:colOff>647700</xdr:colOff>
      <xdr:row>46</xdr:row>
      <xdr:rowOff>129540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91440</xdr:rowOff>
    </xdr:from>
    <xdr:to>
      <xdr:col>4</xdr:col>
      <xdr:colOff>2286000</xdr:colOff>
      <xdr:row>40</xdr:row>
      <xdr:rowOff>45720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31</xdr:row>
      <xdr:rowOff>45720</xdr:rowOff>
    </xdr:from>
    <xdr:to>
      <xdr:col>7</xdr:col>
      <xdr:colOff>541020</xdr:colOff>
      <xdr:row>61</xdr:row>
      <xdr:rowOff>160020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ористувач Windows" refreshedDate="44974.862756944443" createdVersion="6" refreshedVersion="6" minRefreshableVersion="3" recordCount="204">
  <cacheSource type="worksheet">
    <worksheetSource name="Таблиця1"/>
  </cacheSource>
  <cacheFields count="18">
    <cacheField name="№" numFmtId="164">
      <sharedItems containsSemiMixedTypes="0" containsString="0" containsNumber="1" containsInteger="1" minValue="1" maxValue="204"/>
    </cacheField>
    <cacheField name="Дата" numFmtId="14">
      <sharedItems containsSemiMixedTypes="0" containsNonDate="0" containsDate="1" containsString="0" minDate="2005-12-31T00:00:00" maxDate="2022-12-01T00:00:00" count="204"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9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9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</sharedItems>
      <fieldGroup par="17" base="1">
        <rangePr groupBy="months" startDate="2005-12-31T00:00:00" endDate="2022-12-01T00:00:00"/>
        <groupItems count="14">
          <s v="&lt;31.12.2005"/>
          <s v="Січ"/>
          <s v="Лют"/>
          <s v="Бер"/>
          <s v="Кві"/>
          <s v="Тра"/>
          <s v="Чер"/>
          <s v="Лип"/>
          <s v="Сер"/>
          <s v="Вер"/>
          <s v="Жов"/>
          <s v="Лис"/>
          <s v="Гру"/>
          <s v="&gt;01.12.2022"/>
        </groupItems>
      </fieldGroup>
    </cacheField>
    <cacheField name="Кредити всього" numFmtId="0">
      <sharedItems containsSemiMixedTypes="0" containsString="0" containsNumber="1" minValue="7170.1913000000004" maxValue="356198.5883"/>
    </cacheField>
    <cacheField name="Ставка загалом" numFmtId="0">
      <sharedItems containsSemiMixedTypes="0" containsString="0" containsNumber="1" minValue="3.5206" maxValue="18.0151"/>
    </cacheField>
    <cacheField name="до 1 року" numFmtId="0">
      <sharedItems containsSemiMixedTypes="0" containsString="0" containsNumber="1" minValue="3815.1266000000001" maxValue="316045.39500000002"/>
    </cacheField>
    <cacheField name="Ставка до 1 року" numFmtId="0">
      <sharedItems containsSemiMixedTypes="0" containsString="0" containsNumber="1" minValue="2.5838999999999999" maxValue="19.339300000000001"/>
    </cacheField>
    <cacheField name="до 1 місяця" numFmtId="0">
      <sharedItems containsSemiMixedTypes="0" containsString="0" containsNumber="1" minValue="1922.1639" maxValue="295487.36700000003"/>
    </cacheField>
    <cacheField name="Ставка до 1 місяця" numFmtId="0">
      <sharedItems containsSemiMixedTypes="0" containsString="0" containsNumber="1" minValue="0.6567857399916136" maxValue="20.335935182604118"/>
    </cacheField>
    <cacheField name="Від 1 до 3" numFmtId="0">
      <sharedItems containsSemiMixedTypes="0" containsString="0" containsNumber="1" minValue="885.98030000000006" maxValue="20885.950700000001"/>
    </cacheField>
    <cacheField name="Ставка від 1 до 3 місяців" numFmtId="0">
      <sharedItems containsSemiMixedTypes="0" containsString="0" containsNumber="1" minValue="4.7434000000000003" maxValue="18.887"/>
    </cacheField>
    <cacheField name="Від 3 до 6" numFmtId="0">
      <sharedItems containsSemiMixedTypes="0" containsString="0" containsNumber="1" minValue="238.16319999999999" maxValue="14311.0237"/>
    </cacheField>
    <cacheField name="Ставка від 3 до 6 місяців" numFmtId="0">
      <sharedItems containsSemiMixedTypes="0" containsString="0" containsNumber="1" minValue="4.0594000000000001" maxValue="16.645399999999999"/>
    </cacheField>
    <cacheField name="Від 6 до 12" numFmtId="0">
      <sharedItems containsSemiMixedTypes="0" containsString="0" containsNumber="1" minValue="285.52789999999999" maxValue="13682.9033"/>
    </cacheField>
    <cacheField name="Ставка від 6 до 12 місяців" numFmtId="0">
      <sharedItems containsSemiMixedTypes="0" containsString="0" containsNumber="1" minValue="2.8062" maxValue="16.882300000000001"/>
    </cacheField>
    <cacheField name="від 1 до 2" numFmtId="0">
      <sharedItems containsSemiMixedTypes="0" containsString="0" containsNumber="1" minValue="225.29040000000001" maxValue="41944.2287"/>
    </cacheField>
    <cacheField name="Ставка від 1 до 2 років" numFmtId="0">
      <sharedItems containsSemiMixedTypes="0" containsString="0" containsNumber="1" minValue="3.0434999999999999" maxValue="16.793199999999999"/>
    </cacheField>
    <cacheField name="Квартали" numFmtId="0" databaseField="0">
      <fieldGroup base="1">
        <rangePr groupBy="quarters" startDate="2005-12-31T00:00:00" endDate="2022-12-01T00:00:00"/>
        <groupItems count="6">
          <s v="&lt;31.12.2005"/>
          <s v="Кв.1"/>
          <s v="Кв.2"/>
          <s v="Кв.3"/>
          <s v="Кв.4"/>
          <s v="&gt;01.12.2022"/>
        </groupItems>
      </fieldGroup>
    </cacheField>
    <cacheField name="Роки" numFmtId="0" databaseField="0">
      <fieldGroup base="1">
        <rangePr groupBy="years" startDate="2005-12-31T00:00:00" endDate="2022-12-01T00:00:00"/>
        <groupItems count="20">
          <s v="&lt;31.12.20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01.12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n v="1"/>
    <x v="0"/>
    <n v="86900.728099999993"/>
    <n v="8.2233999999999998"/>
    <n v="44956.499400000001"/>
    <n v="7.9028"/>
    <n v="16654.332600000002"/>
    <n v="5.1237000000000004"/>
    <n v="9587.0804000000007"/>
    <n v="8.4792000000000005"/>
    <n v="5032.1831000000002"/>
    <n v="10.771599999999999"/>
    <n v="13682.9033"/>
    <n v="9.8265999999999991"/>
    <n v="41944.2287"/>
    <n v="8.5670000000000002"/>
  </r>
  <r>
    <n v="2"/>
    <x v="1"/>
    <n v="7170.1913000000004"/>
    <n v="6.8884999999999996"/>
    <n v="3815.1266000000001"/>
    <n v="5.9797000000000002"/>
    <n v="1922.1639"/>
    <n v="3.0222000000000002"/>
    <n v="885.98030000000006"/>
    <n v="7.7704000000000004"/>
    <n v="299.3"/>
    <n v="9.8488000000000007"/>
    <n v="707.68240000000003"/>
    <n v="10.1342"/>
    <n v="3355.0646999999999"/>
    <n v="7.9218999999999999"/>
  </r>
  <r>
    <n v="3"/>
    <x v="2"/>
    <n v="7469.9462000000003"/>
    <n v="6.7832999999999997"/>
    <n v="4327.9978000000001"/>
    <n v="6.0824999999999996"/>
    <n v="2085.9263999999998"/>
    <n v="4.0206999999999997"/>
    <n v="1058.1865"/>
    <n v="6.8441999999999998"/>
    <n v="244.41650000000001"/>
    <n v="11.319100000000001"/>
    <n v="939.46839999999997"/>
    <n v="8.4398"/>
    <n v="3141.9484000000002"/>
    <n v="7.7488000000000001"/>
  </r>
  <r>
    <n v="4"/>
    <x v="3"/>
    <n v="11315.035"/>
    <n v="7.2234999999999996"/>
    <n v="6530.8208000000004"/>
    <n v="6.6642999999999999"/>
    <n v="3353.1224999999999"/>
    <n v="4.1143999999999998"/>
    <n v="1453.0454999999999"/>
    <n v="9.9434000000000005"/>
    <n v="401.65989999999999"/>
    <n v="9.6052999999999997"/>
    <n v="1322.9929"/>
    <n v="8.6326000000000001"/>
    <n v="4784.2141000000001"/>
    <n v="7.9869000000000003"/>
  </r>
  <r>
    <n v="5"/>
    <x v="4"/>
    <n v="14131.731400000001"/>
    <n v="6.8959999999999999"/>
    <n v="9881.7924999999996"/>
    <n v="6.5814000000000004"/>
    <n v="5475.9328999999998"/>
    <n v="4.5442999999999998"/>
    <n v="2700.7139999999999"/>
    <n v="8.5966000000000005"/>
    <n v="250.0849"/>
    <n v="9.5845000000000002"/>
    <n v="1455.0607"/>
    <n v="9.9913000000000007"/>
    <n v="4249.9390000000003"/>
    <n v="7.6273999999999997"/>
  </r>
  <r>
    <n v="6"/>
    <x v="5"/>
    <n v="16384.438300000002"/>
    <n v="6.2215999999999996"/>
    <n v="12159.5931"/>
    <n v="5.5515999999999996"/>
    <n v="9541.6972999999998"/>
    <n v="4.4785000000000004"/>
    <n v="1062.4474"/>
    <n v="9.4733999999999998"/>
    <n v="547.58150000000001"/>
    <n v="10.5001"/>
    <n v="1007.867"/>
    <n v="8.8880999999999997"/>
    <n v="4224.8451999999997"/>
    <n v="8.1501999999999999"/>
  </r>
  <r>
    <n v="7"/>
    <x v="6"/>
    <n v="20336.772000000001"/>
    <n v="5.98"/>
    <n v="15594.157300000001"/>
    <n v="5.2826000000000004"/>
    <n v="12733.782800000001"/>
    <n v="4.4143999999999997"/>
    <n v="966.65099999999995"/>
    <n v="8.4023000000000003"/>
    <n v="434.75009999999997"/>
    <n v="9.5681999999999992"/>
    <n v="1458.9734000000001"/>
    <n v="9.5162999999999993"/>
    <n v="4742.6147000000001"/>
    <n v="8.2730999999999995"/>
  </r>
  <r>
    <n v="8"/>
    <x v="7"/>
    <n v="17616.053800000002"/>
    <n v="5.7972999999999999"/>
    <n v="13319.6813"/>
    <n v="5.1909000000000001"/>
    <n v="8433.1720999999998"/>
    <n v="3.9401000000000002"/>
    <n v="2353.6498999999999"/>
    <n v="6.6658999999999997"/>
    <n v="718.79459999999995"/>
    <n v="7.7573999999999996"/>
    <n v="1814.0646999999999"/>
    <n v="8.0748999999999995"/>
    <n v="4296.3725000000004"/>
    <n v="7.6773999999999996"/>
  </r>
  <r>
    <n v="9"/>
    <x v="8"/>
    <n v="17030.598399999999"/>
    <n v="6.0237999999999996"/>
    <n v="12464.7963"/>
    <n v="5.3441999999999998"/>
    <n v="7397.1217999999999"/>
    <n v="3.9504000000000001"/>
    <n v="2789.0327000000002"/>
    <n v="6.8597999999999999"/>
    <n v="611.60969999999998"/>
    <n v="8.8496000000000006"/>
    <n v="1667.0322000000001"/>
    <n v="7.7069000000000001"/>
    <n v="4565.8020999999999"/>
    <n v="7.8792"/>
  </r>
  <r>
    <n v="10"/>
    <x v="9"/>
    <n v="21320.447700000001"/>
    <n v="6.0885999999999996"/>
    <n v="15147.128699999999"/>
    <n v="5.3068999999999997"/>
    <n v="11527.5666"/>
    <n v="4.3442999999999996"/>
    <n v="1547.4158"/>
    <n v="7.7925000000000004"/>
    <n v="423.08019999999999"/>
    <n v="10.5794"/>
    <n v="1649.0662"/>
    <n v="8.3506999999999998"/>
    <n v="6173.3190000000004"/>
    <n v="8.0066000000000006"/>
  </r>
  <r>
    <n v="11"/>
    <x v="10"/>
    <n v="21039.232400000001"/>
    <n v="6.9208999999999996"/>
    <n v="13981.7678"/>
    <n v="6.1519000000000004"/>
    <n v="9138.6725000000006"/>
    <n v="4.8003"/>
    <n v="2910.1206000000002"/>
    <n v="7.8479999999999999"/>
    <n v="494.80619999999999"/>
    <n v="11.8371"/>
    <n v="1438.1686"/>
    <n v="9.3521000000000001"/>
    <n v="7057.4645"/>
    <n v="8.4443999999999999"/>
  </r>
  <r>
    <n v="12"/>
    <x v="11"/>
    <n v="20333.938200000001"/>
    <n v="6.2929000000000004"/>
    <n v="14386.203"/>
    <n v="5.5848000000000004"/>
    <n v="11256.775600000001"/>
    <n v="4.8632"/>
    <n v="1007.4807"/>
    <n v="8.7472999999999992"/>
    <n v="1089.06"/>
    <n v="6.4156000000000004"/>
    <n v="1032.8867"/>
    <n v="9.4882000000000009"/>
    <n v="5947.7352000000001"/>
    <n v="8.0054999999999996"/>
  </r>
  <r>
    <n v="13"/>
    <x v="12"/>
    <n v="24876.487700000001"/>
    <n v="7.0101000000000004"/>
    <n v="15619.2129"/>
    <n v="6.1449999999999996"/>
    <n v="10611.117"/>
    <n v="4.8308"/>
    <n v="2624.7040999999999"/>
    <n v="8.1923999999999992"/>
    <n v="429.2921"/>
    <n v="10.207700000000001"/>
    <n v="1954.0998"/>
    <n v="9.6387"/>
    <n v="9257.2749000000003"/>
    <n v="8.4697999999999993"/>
  </r>
  <r>
    <n v="14"/>
    <x v="13"/>
    <n v="13071.6198"/>
    <n v="6.9371"/>
    <n v="6348.1441999999997"/>
    <n v="5.6727999999999996"/>
    <n v="3517.2444"/>
    <n v="3.4554999999999998"/>
    <n v="1499.9914000000001"/>
    <n v="6.7884000000000002"/>
    <n v="238.16319999999999"/>
    <n v="12.0787"/>
    <n v="1092.7452000000001"/>
    <n v="9.8824000000000005"/>
    <n v="6723.4755999999998"/>
    <n v="8.1308000000000007"/>
  </r>
  <r>
    <n v="15"/>
    <x v="14"/>
    <n v="19811.523799999999"/>
    <n v="6.4702000000000002"/>
    <n v="13208.0851"/>
    <n v="5.3718000000000004"/>
    <n v="10387.5872"/>
    <n v="4.3933"/>
    <n v="1286.683"/>
    <n v="7.4776999999999996"/>
    <n v="528.33040000000005"/>
    <n v="10.367800000000001"/>
    <n v="1005.4845"/>
    <n v="10.160500000000001"/>
    <n v="3449.7784999999999"/>
    <n v="9.7872000000000003"/>
  </r>
  <r>
    <n v="16"/>
    <x v="15"/>
    <n v="24705.835500000001"/>
    <n v="6.6961000000000004"/>
    <n v="16176.4566"/>
    <n v="5.3018000000000001"/>
    <n v="11949.430899999999"/>
    <n v="4.3895999999999997"/>
    <n v="1998.8449000000001"/>
    <n v="6.1639999999999997"/>
    <n v="346.0145"/>
    <n v="10.009600000000001"/>
    <n v="1882.1663000000001"/>
    <n v="9.3123000000000005"/>
    <n v="4094.5059999999999"/>
    <n v="9.7170000000000005"/>
  </r>
  <r>
    <n v="17"/>
    <x v="16"/>
    <n v="19703.7683"/>
    <n v="6.5316000000000001"/>
    <n v="12324.534600000001"/>
    <n v="5.4234"/>
    <n v="8187.0052999999998"/>
    <n v="4.1984000000000004"/>
    <n v="1993.3490999999999"/>
    <n v="6.4790000000000001"/>
    <n v="482.80270000000002"/>
    <n v="8.1577000000000002"/>
    <n v="1661.3775000000001"/>
    <n v="9.3991000000000007"/>
    <n v="4079.0128"/>
    <n v="9.3553999999999995"/>
  </r>
  <r>
    <n v="18"/>
    <x v="17"/>
    <n v="21902.17"/>
    <n v="6.0515999999999996"/>
    <n v="14405.853999999999"/>
    <n v="5.0537000000000001"/>
    <n v="10515.5694"/>
    <n v="4.1292999999999997"/>
    <n v="2223.1078000000002"/>
    <n v="6.2497999999999996"/>
    <n v="439.3897"/>
    <n v="9.8173999999999992"/>
    <n v="1227.7872"/>
    <n v="9.0995000000000008"/>
    <n v="3798.1783999999998"/>
    <n v="9.0564999999999998"/>
  </r>
  <r>
    <n v="19"/>
    <x v="18"/>
    <n v="25921.063399999999"/>
    <n v="6.4668000000000001"/>
    <n v="16411.948400000001"/>
    <n v="5.6238999999999999"/>
    <n v="11089.1549"/>
    <n v="4.3491"/>
    <n v="1618.9295999999999"/>
    <n v="7.1098999999999997"/>
    <n v="752.50840000000005"/>
    <n v="9.7483000000000004"/>
    <n v="2951.3555000000001"/>
    <n v="8.5472999999999999"/>
    <n v="4574.1835000000001"/>
    <n v="8.5487000000000002"/>
  </r>
  <r>
    <n v="20"/>
    <x v="19"/>
    <n v="29268.8272"/>
    <n v="6.6245000000000003"/>
    <n v="18474.168799999999"/>
    <n v="5.4566999999999997"/>
    <n v="13095.5857"/>
    <n v="4.2683"/>
    <n v="2045.0822000000001"/>
    <n v="6.9954999999999998"/>
    <n v="1144.9899"/>
    <n v="8.6827000000000005"/>
    <n v="2188.511"/>
    <n v="9.4421999999999997"/>
    <n v="6305.0115999999998"/>
    <n v="9.1310000000000002"/>
  </r>
  <r>
    <n v="21"/>
    <x v="20"/>
    <n v="35835.455600000001"/>
    <n v="6.0496999999999996"/>
    <n v="24977.403600000001"/>
    <n v="5.0316000000000001"/>
    <n v="19614.824700000001"/>
    <n v="4.4169999999999998"/>
    <n v="2294.8285999999998"/>
    <n v="6.0362"/>
    <n v="961.50260000000003"/>
    <n v="8.2829999999999995"/>
    <n v="2106.2476999999999"/>
    <n v="8.1763999999999992"/>
    <n v="5929.4431999999997"/>
    <n v="8.7636000000000003"/>
  </r>
  <r>
    <n v="22"/>
    <x v="21"/>
    <n v="31771.0334"/>
    <n v="6.49"/>
    <n v="21416.6302"/>
    <n v="5.4466999999999999"/>
    <n v="15402.1644"/>
    <n v="4.5457000000000001"/>
    <n v="2129.6291999999999"/>
    <n v="5.7083000000000004"/>
    <n v="932.52329999999995"/>
    <n v="8.7565000000000008"/>
    <n v="2952.3132999999998"/>
    <n v="8.9125999999999994"/>
    <n v="6444.4867000000004"/>
    <n v="9.4060000000000006"/>
  </r>
  <r>
    <n v="23"/>
    <x v="22"/>
    <n v="30106.001"/>
    <n v="6.4295"/>
    <n v="18322.644499999999"/>
    <n v="5.1952999999999996"/>
    <n v="12718.049199999999"/>
    <n v="4.0590999999999999"/>
    <n v="2053.328"/>
    <n v="6.5853999999999999"/>
    <n v="1006.1975"/>
    <n v="8.7265999999999995"/>
    <n v="2545.0698000000002"/>
    <n v="8.3553999999999995"/>
    <n v="6964.0300999999999"/>
    <n v="9.0268999999999995"/>
  </r>
  <r>
    <n v="24"/>
    <x v="23"/>
    <n v="30418.54"/>
    <n v="6.7519"/>
    <n v="17077.273700000002"/>
    <n v="5.6707000000000001"/>
    <n v="10531.0689"/>
    <n v="4.2436999999999996"/>
    <n v="3060.5918999999999"/>
    <n v="7.2618999999999998"/>
    <n v="708.03440000000001"/>
    <n v="9.3971999999999998"/>
    <n v="2777.5785000000001"/>
    <n v="8.3774999999999995"/>
    <n v="8226.7247000000007"/>
    <n v="8.2936999999999994"/>
  </r>
  <r>
    <n v="25"/>
    <x v="24"/>
    <n v="33834.6198"/>
    <n v="7.9789000000000003"/>
    <n v="15723.3233"/>
    <n v="7.5388000000000002"/>
    <n v="7760.08"/>
    <n v="5.2868000000000004"/>
    <n v="2326.5367000000001"/>
    <n v="9.8096999999999994"/>
    <n v="1541.2791999999999"/>
    <n v="10.217000000000001"/>
    <n v="4095.4272999999998"/>
    <n v="9.5077999999999996"/>
    <n v="11536.1502"/>
    <n v="8.5813000000000006"/>
  </r>
  <r>
    <n v="26"/>
    <x v="25"/>
    <n v="26915.86418"/>
    <n v="7.6657000000000002"/>
    <n v="11760.285599999999"/>
    <n v="6.5633999999999997"/>
    <n v="5921.8950500000001"/>
    <n v="3.3117000000000001"/>
    <n v="1468.2715700000001"/>
    <n v="9.3454999999999995"/>
    <n v="2316.9119000000001"/>
    <n v="10.3771"/>
    <n v="2053.2070899999999"/>
    <n v="9.6487999999999996"/>
    <n v="8217.3962900000006"/>
    <n v="8.9655000000000005"/>
  </r>
  <r>
    <n v="27"/>
    <x v="26"/>
    <n v="28854.2215"/>
    <n v="7.8236999999999997"/>
    <n v="14497.771000000001"/>
    <n v="7.2972999999999999"/>
    <n v="7844.116"/>
    <n v="5.8304999999999998"/>
    <n v="1945.4291000000001"/>
    <n v="9.5733999999999995"/>
    <n v="1682.4373000000001"/>
    <n v="9.1096000000000004"/>
    <n v="3025.7887000000001"/>
    <n v="8.6288"/>
    <n v="6240.9263000000001"/>
    <n v="9.1907999999999994"/>
  </r>
  <r>
    <n v="28"/>
    <x v="27"/>
    <n v="36939.022700000001"/>
    <n v="7.9077000000000002"/>
    <n v="21322.628100000002"/>
    <n v="7.4802"/>
    <n v="12269.406800000001"/>
    <n v="6.3647"/>
    <n v="1939.8053"/>
    <n v="10.3871"/>
    <n v="1479.8824"/>
    <n v="10.216799999999999"/>
    <n v="5633.5337"/>
    <n v="8.1898"/>
    <n v="6530.7377999999999"/>
    <n v="9.4883000000000006"/>
  </r>
  <r>
    <n v="29"/>
    <x v="28"/>
    <n v="54358.523999999998"/>
    <n v="7.3125"/>
    <n v="32629.0393"/>
    <n v="6.133"/>
    <n v="26049.133099999999"/>
    <n v="4.9421999999999997"/>
    <n v="2259.4780999999998"/>
    <n v="12.4788"/>
    <n v="661.53989999999999"/>
    <n v="10.3696"/>
    <n v="3658.8881999999999"/>
    <n v="9.9262999999999995"/>
    <n v="9104.6692000000003"/>
    <n v="10.311"/>
  </r>
  <r>
    <n v="30"/>
    <x v="29"/>
    <n v="71940.327300000004"/>
    <n v="6.1256000000000004"/>
    <n v="50265.4035"/>
    <n v="4.5420999999999996"/>
    <n v="44377.816800000001"/>
    <n v="3.7523"/>
    <n v="1795.8126999999999"/>
    <n v="12.134399999999999"/>
    <n v="890.25800000000004"/>
    <n v="11.125"/>
    <n v="3201.5160000000001"/>
    <n v="9.4001000000000001"/>
    <n v="6808.8379999999997"/>
    <n v="10.815"/>
  </r>
  <r>
    <n v="31"/>
    <x v="30"/>
    <n v="83331.094400000002"/>
    <n v="5.9322999999999997"/>
    <n v="56516.2673"/>
    <n v="4.3413000000000004"/>
    <n v="49333.286099999998"/>
    <n v="3.1515"/>
    <n v="2807.1686"/>
    <n v="14.5197"/>
    <n v="1170.6914999999999"/>
    <n v="13.755800000000001"/>
    <n v="3205.1210999999998"/>
    <n v="10.3027"/>
    <n v="9264.7158999999992"/>
    <n v="11.4694"/>
  </r>
  <r>
    <n v="32"/>
    <x v="31"/>
    <n v="82337.716400000005"/>
    <n v="6.3521000000000001"/>
    <n v="47461.205800000003"/>
    <n v="4.6352000000000002"/>
    <n v="37630.5533"/>
    <n v="2.8409"/>
    <n v="3150.1228000000001"/>
    <n v="14.109400000000001"/>
    <n v="1993.4541999999999"/>
    <n v="12.365600000000001"/>
    <n v="4687.0754999999999"/>
    <n v="9.3856999999999999"/>
    <n v="10161.4823"/>
    <n v="10.980600000000001"/>
  </r>
  <r>
    <n v="33"/>
    <x v="32"/>
    <n v="69130.669500000004"/>
    <n v="6.5523999999999996"/>
    <n v="37005.332799999996"/>
    <n v="5.1315999999999997"/>
    <n v="30176.4686"/>
    <n v="3.5642999999999998"/>
    <n v="2471.5275999999999"/>
    <n v="13.3893"/>
    <n v="1530.4717000000001"/>
    <n v="13.1639"/>
    <n v="2826.8649"/>
    <n v="10.2942"/>
    <n v="10849.484399999999"/>
    <n v="10.087400000000001"/>
  </r>
  <r>
    <n v="34"/>
    <x v="33"/>
    <n v="60560.214399999997"/>
    <n v="7.8364000000000003"/>
    <n v="29552.5193"/>
    <n v="6.5965999999999996"/>
    <n v="19813.4277"/>
    <n v="3.4586999999999999"/>
    <n v="3571.9245000000001"/>
    <n v="13.797599999999999"/>
    <n v="2909.607"/>
    <n v="13.0024"/>
    <n v="3257.56"/>
    <n v="12.0649"/>
    <n v="9915.6805999999997"/>
    <n v="10.9178"/>
  </r>
  <r>
    <n v="35"/>
    <x v="34"/>
    <n v="32597.545399999999"/>
    <n v="9.2491000000000003"/>
    <n v="19153.809600000001"/>
    <n v="7.7435999999999998"/>
    <n v="13858.770399999999"/>
    <n v="5.7428999999999997"/>
    <n v="1889.7154"/>
    <n v="13.890700000000001"/>
    <n v="844.98199999999997"/>
    <n v="13.9529"/>
    <n v="2560.3418000000001"/>
    <n v="11.986800000000001"/>
    <n v="6889.5267000000003"/>
    <n v="12.7217"/>
  </r>
  <r>
    <n v="36"/>
    <x v="35"/>
    <n v="25880.599699999999"/>
    <n v="11.608700000000001"/>
    <n v="20762.8233"/>
    <n v="11.7371"/>
    <n v="14976.439200000001"/>
    <n v="10.4278"/>
    <n v="3033.4092000000001"/>
    <n v="17.641100000000002"/>
    <n v="862.21469999999999"/>
    <n v="13.8643"/>
    <n v="1890.7601999999999"/>
    <n v="11.665900000000001"/>
    <n v="3319.4946"/>
    <n v="11.922700000000001"/>
  </r>
  <r>
    <n v="37"/>
    <x v="36"/>
    <n v="44683.379399999998"/>
    <n v="12.194599999999999"/>
    <n v="32567.652399999999"/>
    <n v="12.7118"/>
    <n v="19626.4948"/>
    <n v="12.402200000000001"/>
    <n v="5571.4462999999996"/>
    <n v="18.1252"/>
    <n v="2013.5818999999999"/>
    <n v="10.4064"/>
    <n v="5356.1293999999998"/>
    <n v="9.0818999999999992"/>
    <n v="7764.6962000000003"/>
    <n v="11.624700000000001"/>
  </r>
  <r>
    <n v="38"/>
    <x v="37"/>
    <n v="28721.1486"/>
    <n v="14.518000000000001"/>
    <n v="23261.366399999999"/>
    <n v="15.4519"/>
    <n v="17054.064699999999"/>
    <n v="15.161099999999999"/>
    <n v="3787.5329999999999"/>
    <n v="18.767700000000001"/>
    <n v="466.85070000000002"/>
    <n v="13.4749"/>
    <n v="1952.9181000000001"/>
    <n v="12.0326"/>
    <n v="2923.8047999999999"/>
    <n v="11.1418"/>
  </r>
  <r>
    <n v="39"/>
    <x v="38"/>
    <n v="27911.893700000001"/>
    <n v="18.0151"/>
    <n v="22877.142599999999"/>
    <n v="19.232333143899272"/>
    <n v="16432.904399999999"/>
    <n v="20.335935182604118"/>
    <n v="4003.6071999999999"/>
    <n v="18.887"/>
    <n v="482.9024"/>
    <n v="15.3855"/>
    <n v="1957.7285999999999"/>
    <n v="11.555899999999999"/>
    <n v="3363.4362000000001"/>
    <n v="12.437799999999999"/>
  </r>
  <r>
    <n v="40"/>
    <x v="39"/>
    <n v="32163.769199999999"/>
    <n v="14.9359"/>
    <n v="25885.035899999999"/>
    <n v="15.408365899970415"/>
    <n v="19795.5268"/>
    <n v="15.270460984695795"/>
    <n v="2557.2530999999999"/>
    <n v="17.561199999999999"/>
    <n v="959.53470000000004"/>
    <n v="16.104800000000001"/>
    <n v="2572.7213999999999"/>
    <n v="14.0702"/>
    <n v="4872.5936000000002"/>
    <n v="12.9582"/>
  </r>
  <r>
    <n v="41"/>
    <x v="40"/>
    <n v="34862.643799999998"/>
    <n v="10.3192"/>
    <n v="27437.319"/>
    <n v="10.2117"/>
    <n v="16804.8256"/>
    <n v="7.1087429918392013"/>
    <n v="7413.6139000000003"/>
    <n v="15.789300000000001"/>
    <n v="732.60569999999996"/>
    <n v="11.9758"/>
    <n v="2486.2737000000002"/>
    <n v="14.0336"/>
    <n v="6229.4763000000003"/>
    <n v="10.4153"/>
  </r>
  <r>
    <n v="42"/>
    <x v="41"/>
    <n v="24554.855899999999"/>
    <n v="9.7695000000000007"/>
    <n v="18820.2104"/>
    <n v="9.1373999999999995"/>
    <n v="13952.4745"/>
    <n v="7.5763881171350649"/>
    <n v="2387.5133000000001"/>
    <n v="14.334899999999999"/>
    <n v="949.97850000000005"/>
    <n v="12.7308"/>
    <n v="1530.2442000000001"/>
    <n v="13.031000000000001"/>
    <n v="3870.6248999999998"/>
    <n v="12.003399999999999"/>
  </r>
  <r>
    <n v="43"/>
    <x v="42"/>
    <n v="24797.893899999999"/>
    <n v="10.125400000000001"/>
    <n v="17746.309499999999"/>
    <n v="9.1255000000000006"/>
    <n v="11292.819800000001"/>
    <n v="6.6277674973384411"/>
    <n v="2033.6015"/>
    <n v="14.4635"/>
    <n v="1059.2023999999999"/>
    <n v="13.887700000000001"/>
    <n v="3360.6858000000002"/>
    <n v="12.7874"/>
    <n v="5502.8139000000001"/>
    <n v="12.8361"/>
  </r>
  <r>
    <n v="44"/>
    <x v="43"/>
    <n v="22459.168300000001"/>
    <n v="9.5815000000000001"/>
    <n v="18080.650099999999"/>
    <n v="8.7729999999999997"/>
    <n v="12184.932000000001"/>
    <n v="6.012897879409584"/>
    <n v="3236.6653000000001"/>
    <n v="13.499000000000001"/>
    <n v="1026.2148999999999"/>
    <n v="15.6363"/>
    <n v="1632.8379"/>
    <n v="15.687900000000001"/>
    <n v="3481.9607999999998"/>
    <n v="12.709199999999999"/>
  </r>
  <r>
    <n v="45"/>
    <x v="44"/>
    <n v="25530.157899999998"/>
    <n v="7.7611999999999997"/>
    <n v="21033.925999999999"/>
    <n v="6.6227999999999998"/>
    <n v="16007.9157"/>
    <n v="4.3864022769991227"/>
    <n v="2367.8566000000001"/>
    <n v="13.6524"/>
    <n v="940.66610000000003"/>
    <n v="14.0543"/>
    <n v="1717.4875999999999"/>
    <n v="13.705"/>
    <n v="2594.2800999999999"/>
    <n v="14.070399999999999"/>
  </r>
  <r>
    <n v="46"/>
    <x v="45"/>
    <n v="25708.356299999999"/>
    <n v="8.8397000000000006"/>
    <n v="21005.845700000002"/>
    <n v="7.9634"/>
    <n v="15403.756600000001"/>
    <n v="6.1108333462189339"/>
    <n v="3023.8092999999999"/>
    <n v="12.048400000000001"/>
    <n v="875.33100000000002"/>
    <n v="15.027900000000001"/>
    <n v="1702.9487999999999"/>
    <n v="13.8367"/>
    <n v="3268.7105000000001"/>
    <n v="12.3851"/>
  </r>
  <r>
    <n v="47"/>
    <x v="46"/>
    <n v="22362.194599999999"/>
    <n v="10.0359"/>
    <n v="18658.612499999999"/>
    <n v="9.5345999999999993"/>
    <n v="12909.031199999999"/>
    <n v="8.0264711302580167"/>
    <n v="2645.7556"/>
    <n v="12.4284"/>
    <n v="1363.2257"/>
    <n v="14.0855"/>
    <n v="1740.5998999999999"/>
    <n v="12.7563"/>
    <n v="2993.0236"/>
    <n v="12.506600000000001"/>
  </r>
  <r>
    <n v="48"/>
    <x v="47"/>
    <n v="20826.5972"/>
    <n v="10.939299999999999"/>
    <n v="16717.447700000001"/>
    <n v="10.7278"/>
    <n v="11907.439"/>
    <n v="9.1543707405177557"/>
    <n v="2272.6545000000001"/>
    <n v="13.8133"/>
    <n v="1029.1478"/>
    <n v="14.3317"/>
    <n v="1508.2064"/>
    <n v="16.040900000000001"/>
    <n v="3558.1572999999999"/>
    <n v="11.771800000000001"/>
  </r>
  <r>
    <n v="49"/>
    <x v="48"/>
    <n v="26922.515299999999"/>
    <n v="11.3079"/>
    <n v="21218.8946"/>
    <n v="10.914998012175431"/>
    <n v="13525.3181"/>
    <n v="9.7808643270312423"/>
    <n v="3826.8951000000002"/>
    <n v="13.2903"/>
    <n v="1469.0971"/>
    <n v="15.049200000000001"/>
    <n v="2397.5843"/>
    <n v="11.0275"/>
    <n v="4666.2277000000004"/>
    <n v="12.7105"/>
  </r>
  <r>
    <n v="50"/>
    <x v="49"/>
    <n v="28743.1358"/>
    <n v="9.2802000000000007"/>
    <n v="14001.92"/>
    <n v="8.1633999999999993"/>
    <n v="10265.439699999999"/>
    <n v="6.3724190643007725"/>
    <n v="1537.1215"/>
    <n v="12.991099999999999"/>
    <n v="742.98839999999996"/>
    <n v="14.6274"/>
    <n v="1456.3705"/>
    <n v="12.394399999999999"/>
    <n v="2593.3933000000002"/>
    <n v="12.5869"/>
  </r>
  <r>
    <n v="51"/>
    <x v="50"/>
    <n v="31417.3449"/>
    <n v="9.6896000000000004"/>
    <n v="15385.3392"/>
    <n v="8.9018999999999995"/>
    <n v="10325.9208"/>
    <n v="6.7672053118517042"/>
    <n v="2139.3456000000001"/>
    <n v="14.584099999999999"/>
    <n v="829.27689999999996"/>
    <n v="14.076599999999999"/>
    <n v="2090.7959000000001"/>
    <n v="11.5481"/>
    <n v="2072.6116999999999"/>
    <n v="13.366400000000001"/>
  </r>
  <r>
    <n v="52"/>
    <x v="51"/>
    <n v="38612.048499999997"/>
    <n v="9.5609999999999999"/>
    <n v="18502.933099999998"/>
    <n v="7.9808000000000003"/>
    <n v="11631.388000000001"/>
    <n v="5.0958415402804889"/>
    <n v="3111.4731000000002"/>
    <n v="12.657299999999999"/>
    <n v="1131.1232"/>
    <n v="14.038500000000001"/>
    <n v="2628.9488000000001"/>
    <n v="12.6036"/>
    <n v="2733.9463999999998"/>
    <n v="13.127599999999999"/>
  </r>
  <r>
    <n v="53"/>
    <x v="52"/>
    <n v="37648.959300000002"/>
    <n v="9.6199999999999992"/>
    <n v="16429.755099999998"/>
    <n v="8.2093000000000007"/>
    <n v="9309.6005999999998"/>
    <n v="4.263837985721965"/>
    <n v="3077.6552000000001"/>
    <n v="12.2249"/>
    <n v="1366.2268999999999"/>
    <n v="13.2599"/>
    <n v="2676.2723999999998"/>
    <n v="14.773"/>
    <n v="2616.2557000000002"/>
    <n v="13.1477"/>
  </r>
  <r>
    <n v="54"/>
    <x v="53"/>
    <n v="33864.397100000002"/>
    <n v="8.0017999999999994"/>
    <n v="17407.0121"/>
    <n v="5.5019999999999998"/>
    <n v="11626.122100000001"/>
    <n v="2.4176044767859439"/>
    <n v="2884.4034000000001"/>
    <n v="10.640599999999999"/>
    <n v="892.67970000000003"/>
    <n v="11.9854"/>
    <n v="2003.8069"/>
    <n v="13.1122"/>
    <n v="2151.5326"/>
    <n v="11.6271"/>
  </r>
  <r>
    <n v="55"/>
    <x v="54"/>
    <n v="43048.777400000006"/>
    <n v="6.7202999999999999"/>
    <n v="24257.488000000001"/>
    <n v="4.6493000000000002"/>
    <n v="17162.525700000002"/>
    <n v="1.9767578380057429"/>
    <n v="3303.9506000000001"/>
    <n v="9.4563000000000006"/>
    <n v="1342.5799"/>
    <n v="11.438800000000001"/>
    <n v="2448.4317000000001"/>
    <n v="13.193099999999999"/>
    <n v="2587.4216000000001"/>
    <n v="11.528499999999999"/>
  </r>
  <r>
    <n v="56"/>
    <x v="55"/>
    <n v="45589.8076"/>
    <n v="6.6196999999999999"/>
    <n v="25785.3727"/>
    <n v="4.6782000000000004"/>
    <n v="17390.557400000002"/>
    <n v="1.5390528263079135"/>
    <n v="3512.5342999999998"/>
    <n v="7.5580999999999996"/>
    <n v="1367.1612"/>
    <n v="13.961499999999999"/>
    <n v="3515.1197000000002"/>
    <n v="13.7203"/>
    <n v="2455.3856999999998"/>
    <n v="12.7697"/>
  </r>
  <r>
    <n v="57"/>
    <x v="56"/>
    <n v="48166.945699999997"/>
    <n v="5.9519000000000002"/>
    <n v="26105.485199999999"/>
    <n v="3.3708999999999998"/>
    <n v="18389.9084"/>
    <n v="0.89791325375117137"/>
    <n v="3649.8912999999998"/>
    <n v="6.4153000000000002"/>
    <n v="1311.5445"/>
    <n v="10.2256"/>
    <n v="2754.1410000000001"/>
    <n v="12.584300000000001"/>
    <n v="3291.4870999999998"/>
    <n v="10.994899999999999"/>
  </r>
  <r>
    <n v="58"/>
    <x v="57"/>
    <n v="48619.835899999998"/>
    <n v="5.5620000000000003"/>
    <n v="26697.933799999999"/>
    <n v="3.0724999999999998"/>
    <n v="18371.854500000001"/>
    <n v="0.83157795382496624"/>
    <n v="4580.1603999999998"/>
    <n v="5.5979999999999999"/>
    <n v="1627.9170999999999"/>
    <n v="10.079800000000001"/>
    <n v="2118.0018"/>
    <n v="11.663500000000001"/>
    <n v="3399.5607"/>
    <n v="12.85"/>
  </r>
  <r>
    <n v="59"/>
    <x v="58"/>
    <n v="46311.155100000004"/>
    <n v="4.9217000000000004"/>
    <n v="25001.428800000002"/>
    <n v="3.1715"/>
    <n v="16899.8357"/>
    <n v="0.68719437503584724"/>
    <n v="4504.2669999999998"/>
    <n v="6.0179"/>
    <n v="1563.9991"/>
    <n v="9.1690000000000005"/>
    <n v="2033.327"/>
    <n v="12.9003"/>
    <n v="3827.7026999999998"/>
    <n v="9.6130999999999993"/>
  </r>
  <r>
    <n v="60"/>
    <x v="59"/>
    <n v="44117.936099999999"/>
    <n v="5.4126000000000003"/>
    <n v="21301.9791"/>
    <n v="3.0546000000000002"/>
    <n v="15942.721600000001"/>
    <n v="1.430117629993614"/>
    <n v="2838.6705000000002"/>
    <n v="6.6020000000000003"/>
    <n v="1077.8639000000001"/>
    <n v="8.2726000000000006"/>
    <n v="1442.723"/>
    <n v="10.126899999999999"/>
    <n v="3455.4859000000001"/>
    <n v="9.3183000000000007"/>
  </r>
  <r>
    <n v="61"/>
    <x v="60"/>
    <n v="54750.964099999997"/>
    <n v="5.7023999999999999"/>
    <n v="29710.746599999999"/>
    <n v="4.7690000000000001"/>
    <n v="20855.951099999998"/>
    <n v="3.1186235743183155"/>
    <n v="4946.3910999999998"/>
    <n v="8.5258000000000003"/>
    <n v="1785.6557"/>
    <n v="9.7388999999999992"/>
    <n v="2122.7487000000001"/>
    <n v="8.0497999999999994"/>
    <n v="7232.5469000000003"/>
    <n v="7.3410000000000002"/>
  </r>
  <r>
    <n v="62"/>
    <x v="61"/>
    <n v="45412.063800000004"/>
    <n v="4.5614999999999997"/>
    <n v="24972.533500000001"/>
    <n v="3.0848"/>
    <n v="19440.186999999998"/>
    <n v="1.3723293637602354"/>
    <n v="2908.9938999999999"/>
    <n v="7.9135"/>
    <n v="1458.6985"/>
    <n v="9.7914999999999992"/>
    <n v="1164.6541"/>
    <n v="11.2075"/>
    <n v="3379.2845000000002"/>
    <n v="8.5198"/>
  </r>
  <r>
    <n v="63"/>
    <x v="62"/>
    <n v="42571.917500000003"/>
    <n v="4.1718000000000002"/>
    <n v="23383.527399999999"/>
    <n v="3.5190999999999999"/>
    <n v="17548.5033"/>
    <n v="1.8551967633518922"/>
    <n v="2649.0743000000002"/>
    <n v="8.5195000000000007"/>
    <n v="1364.4472000000001"/>
    <n v="9.0153999999999996"/>
    <n v="1821.5026"/>
    <n v="8.1593999999999998"/>
    <n v="2920.4382999999998"/>
    <n v="8.2154000000000007"/>
  </r>
  <r>
    <n v="64"/>
    <x v="63"/>
    <n v="45398.078800000003"/>
    <n v="3.7208000000000001"/>
    <n v="27826.773499999999"/>
    <n v="2.9165000000000001"/>
    <n v="19981.426800000001"/>
    <n v="1.0668041915585329"/>
    <n v="3483.2141000000001"/>
    <n v="7.1158999999999999"/>
    <n v="1628.2037"/>
    <n v="7.7154999999999996"/>
    <n v="2733.9288999999999"/>
    <n v="8.2269000000000005"/>
    <n v="3494.8647000000001"/>
    <n v="7.8174999999999999"/>
  </r>
  <r>
    <n v="65"/>
    <x v="64"/>
    <n v="41896.961600000002"/>
    <n v="3.5206"/>
    <n v="27285.431100000002"/>
    <n v="2.5838999999999999"/>
    <n v="20130.343000000001"/>
    <n v="0.6567857399916136"/>
    <n v="3450.4497000000001"/>
    <n v="6.3655999999999997"/>
    <n v="1704.1433"/>
    <n v="9.5056999999999992"/>
    <n v="2000.4949999999999"/>
    <n v="9.5570000000000004"/>
    <n v="2929.7527"/>
    <n v="7.7217000000000002"/>
  </r>
  <r>
    <n v="66"/>
    <x v="65"/>
    <n v="40599.737399999998"/>
    <n v="3.8359000000000001"/>
    <n v="26176.49"/>
    <n v="2.9956999999999998"/>
    <n v="19662.658800000001"/>
    <n v="1.5578378574722558"/>
    <n v="3445.0589"/>
    <n v="6.5766999999999998"/>
    <n v="1070.6939"/>
    <n v="8.3491999999999997"/>
    <n v="1998.0784000000001"/>
    <n v="8.1030999999999995"/>
    <n v="3194.1523000000002"/>
    <n v="7.5312000000000001"/>
  </r>
  <r>
    <n v="67"/>
    <x v="66"/>
    <n v="44828.140899999999"/>
    <n v="4.1605999999999996"/>
    <n v="26391.061300000001"/>
    <n v="3.5362"/>
    <n v="19022.091700000001"/>
    <n v="1.9254703544368887"/>
    <n v="4192.7169999999996"/>
    <n v="6.444"/>
    <n v="892.1508"/>
    <n v="8.3721999999999994"/>
    <n v="2284.1019000000001"/>
    <n v="9.7677999999999994"/>
    <n v="5744.4682000000003"/>
    <n v="5.4034000000000004"/>
  </r>
  <r>
    <n v="68"/>
    <x v="67"/>
    <n v="44612.0674"/>
    <n v="4.1814999999999998"/>
    <n v="27225.8619"/>
    <n v="3.3565"/>
    <n v="20349.418300000001"/>
    <n v="1.7375610941601214"/>
    <n v="3443.4769000000001"/>
    <n v="7.2004999999999999"/>
    <n v="1610.8595"/>
    <n v="8.9839000000000002"/>
    <n v="1822.1072999999999"/>
    <n v="9.1981000000000002"/>
    <n v="3156.0652"/>
    <n v="7.6795999999999998"/>
  </r>
  <r>
    <n v="69"/>
    <x v="68"/>
    <n v="58386.580300000001"/>
    <n v="4.8985000000000003"/>
    <n v="36168.055399999997"/>
    <n v="4.3914"/>
    <n v="26784.331200000001"/>
    <n v="3.0740599121634968"/>
    <n v="4928.4660999999996"/>
    <n v="7.9840999999999998"/>
    <n v="995.20429999999999"/>
    <n v="7.3247"/>
    <n v="3460.0537999999997"/>
    <n v="8.6282999999999994"/>
    <n v="3577.3597"/>
    <n v="7.6235999999999997"/>
  </r>
  <r>
    <n v="70"/>
    <x v="69"/>
    <n v="66871.971399999995"/>
    <n v="5.6623999999999999"/>
    <n v="43584.668300000005"/>
    <n v="5.71"/>
    <n v="30432.632600000001"/>
    <n v="4.2494565912611844"/>
    <n v="5404.0883999999996"/>
    <n v="8.6763999999999992"/>
    <n v="2384.2181"/>
    <n v="9.8712"/>
    <n v="5363.7293"/>
    <n v="9.1707999999999998"/>
    <n v="4206.6343999999999"/>
    <n v="6.6722999999999999"/>
  </r>
  <r>
    <n v="71"/>
    <x v="70"/>
    <n v="59403.875700000004"/>
    <n v="9.1475000000000009"/>
    <n v="40582.0599"/>
    <n v="10.6754"/>
    <n v="31384.0563"/>
    <n v="10.85555310733017"/>
    <n v="4400.0785999999998"/>
    <n v="11.621"/>
    <n v="1721.8898999999999"/>
    <n v="9.6617999999999995"/>
    <n v="3076.0351000000001"/>
    <n v="8.0525000000000002"/>
    <n v="2915.9548"/>
    <n v="8.8641000000000005"/>
  </r>
  <r>
    <n v="72"/>
    <x v="71"/>
    <n v="66741.405800000008"/>
    <n v="9.2623999999999995"/>
    <n v="43497.830900000001"/>
    <n v="10.992699999999999"/>
    <n v="34835.219000000005"/>
    <n v="10.653741923364397"/>
    <n v="4715.4807000000001"/>
    <n v="13.3027"/>
    <n v="1340.2882"/>
    <n v="10.3169"/>
    <n v="2606.8431"/>
    <n v="11.6882"/>
    <n v="4560.4859999999999"/>
    <n v="6.11"/>
  </r>
  <r>
    <n v="73"/>
    <x v="72"/>
    <n v="74699.701300000001"/>
    <n v="8.0772999999999993"/>
    <n v="45877.073700000001"/>
    <n v="8.6547000000000001"/>
    <n v="34832.801699999996"/>
    <n v="7.156391487853818"/>
    <n v="5734.3256000000001"/>
    <n v="15.898400000000001"/>
    <n v="2364.3573999999999"/>
    <n v="9.3740000000000006"/>
    <n v="2945.5889999999999"/>
    <n v="11.744400000000001"/>
    <n v="7167.8797000000004"/>
    <n v="8.3516999999999992"/>
  </r>
  <r>
    <n v="74"/>
    <x v="73"/>
    <n v="53913.221899999997"/>
    <n v="7.2770000000000001"/>
    <n v="30896.759300000002"/>
    <n v="6.1505000000000001"/>
    <n v="22602.3724"/>
    <n v="3.6489378057818391"/>
    <n v="5037.1908000000003"/>
    <n v="15.0327"/>
    <n v="1531.8336999999999"/>
    <n v="10.594099999999999"/>
    <n v="1725.3623"/>
    <n v="9.0450999999999997"/>
    <n v="1688.6909000000001"/>
    <n v="10.1907"/>
  </r>
  <r>
    <n v="75"/>
    <x v="74"/>
    <n v="53562.039199999999"/>
    <n v="7.9402999999999997"/>
    <n v="31572.649300000001"/>
    <n v="6.8613999999999997"/>
    <n v="21929.849699999999"/>
    <n v="4.9796328692102252"/>
    <n v="5801.8935000000001"/>
    <n v="11.5541"/>
    <n v="1791.2913000000001"/>
    <n v="11.3422"/>
    <n v="2049.6147000000001"/>
    <n v="9.7958999999999996"/>
    <n v="1843.6437000000001"/>
    <n v="9.2250999999999994"/>
  </r>
  <r>
    <n v="76"/>
    <x v="75"/>
    <n v="59974.139600000002"/>
    <n v="6.2835000000000001"/>
    <n v="33741.344600000004"/>
    <n v="5.5370999999999997"/>
    <n v="25401.069899999999"/>
    <n v="3.595253643786477"/>
    <n v="4569.7184000000007"/>
    <n v="11.864800000000001"/>
    <n v="1739.3023999999998"/>
    <n v="9.4139999999999997"/>
    <n v="2031.2538999999999"/>
    <n v="12.2822"/>
    <n v="4119.5284000000001"/>
    <n v="4.4946000000000002"/>
  </r>
  <r>
    <n v="77"/>
    <x v="76"/>
    <n v="52912.872199999998"/>
    <n v="6.0804999999999998"/>
    <n v="31155.4804"/>
    <n v="4.9442000000000004"/>
    <n v="21626.892399999997"/>
    <n v="3.1971554321655575"/>
    <n v="6394.5667000000003"/>
    <n v="8.1518999999999995"/>
    <n v="1366.9933000000001"/>
    <n v="12.307600000000001"/>
    <n v="1767.028"/>
    <n v="9.0225000000000009"/>
    <n v="2812.0704000000001"/>
    <n v="9.0972000000000008"/>
  </r>
  <r>
    <n v="78"/>
    <x v="77"/>
    <n v="55862.606800000001"/>
    <n v="6.6515000000000004"/>
    <n v="30888.414100000002"/>
    <n v="5.3807999999999998"/>
    <n v="23448.270199999999"/>
    <n v="3.7364476458429756"/>
    <n v="3343.7264"/>
    <n v="11.2554"/>
    <n v="1341.0758000000001"/>
    <n v="11.6526"/>
    <n v="2755.3416999999999"/>
    <n v="9.1953999999999994"/>
    <n v="3504.8332999999998"/>
    <n v="9.0716999999999999"/>
  </r>
  <r>
    <n v="79"/>
    <x v="78"/>
    <n v="69560.316699999996"/>
    <n v="9.2502999999999993"/>
    <n v="46413.507100000003"/>
    <n v="9.8132000000000001"/>
    <n v="36917.636899999998"/>
    <n v="9.3249354843790133"/>
    <n v="3723.4383000000003"/>
    <n v="11.707599999999999"/>
    <n v="1981.6377"/>
    <n v="11.532"/>
    <n v="3790.7941000000001"/>
    <n v="11.8094"/>
    <n v="2488.9708000000001"/>
    <n v="10.851100000000001"/>
  </r>
  <r>
    <n v="80"/>
    <x v="79"/>
    <n v="77019.443200000009"/>
    <n v="10.519600000000001"/>
    <n v="53706.252099999998"/>
    <n v="11.8347"/>
    <n v="43776.4254"/>
    <n v="11.561896936951593"/>
    <n v="5394.1271000000006"/>
    <n v="13.4457"/>
    <n v="1625.9843000000001"/>
    <n v="11.127700000000001"/>
    <n v="2909.7152999999998"/>
    <n v="13.3477"/>
    <n v="3457.6648"/>
    <n v="6.5793999999999997"/>
  </r>
  <r>
    <n v="81"/>
    <x v="80"/>
    <n v="80655.185199999993"/>
    <n v="12.4064"/>
    <n v="58038.6106"/>
    <n v="14.188000000000001"/>
    <n v="47579.429799999998"/>
    <n v="13.9157218484512"/>
    <n v="5540.4762000000001"/>
    <n v="17.1343"/>
    <n v="1177.2229"/>
    <n v="11.985900000000001"/>
    <n v="3741.4816000000001"/>
    <n v="13.972300000000001"/>
    <n v="2822.5491999999999"/>
    <n v="8.6774000000000004"/>
  </r>
  <r>
    <n v="82"/>
    <x v="81"/>
    <n v="71753.905500000008"/>
    <n v="11.037599999999999"/>
    <n v="48507.852699999996"/>
    <n v="12.428599999999999"/>
    <n v="39027.617299999991"/>
    <n v="12.137174388698336"/>
    <n v="5987.0797000000002"/>
    <n v="14.066700000000001"/>
    <n v="1024.2283"/>
    <n v="15.5913"/>
    <n v="2468.9274"/>
    <n v="11.7264"/>
    <n v="2489.2314999999999"/>
    <n v="9.9465000000000003"/>
  </r>
  <r>
    <n v="83"/>
    <x v="82"/>
    <n v="93450.108300000007"/>
    <n v="15.4964"/>
    <n v="66318.509000000005"/>
    <n v="18.304600000000001"/>
    <n v="55467.590999999993"/>
    <n v="18.939115083728442"/>
    <n v="5046.8262000000004"/>
    <n v="17.447099999999999"/>
    <n v="1901.5355999999999"/>
    <n v="16.645399999999999"/>
    <n v="3902.5560999999998"/>
    <n v="11.1553"/>
    <n v="4786.2422000000006"/>
    <n v="7.4892000000000003"/>
  </r>
  <r>
    <n v="84"/>
    <x v="83"/>
    <n v="86480.962400000004"/>
    <n v="17.1371"/>
    <n v="67294.508700000006"/>
    <n v="19.339300000000001"/>
    <n v="56210.418699999995"/>
    <n v="20.147803017465872"/>
    <n v="6949.2170999999998"/>
    <n v="16.642800000000001"/>
    <n v="1642.2467999999999"/>
    <n v="11.8973"/>
    <n v="2492.6262000000002"/>
    <n v="13.411899999999999"/>
    <n v="2374.6455999999998"/>
    <n v="13.8184"/>
  </r>
  <r>
    <n v="85"/>
    <x v="84"/>
    <n v="95234.954900000012"/>
    <n v="9.2597000000000005"/>
    <n v="59992.396999999997"/>
    <n v="11.1904"/>
    <n v="44999.287600000003"/>
    <n v="9.7605447308956936"/>
    <n v="10294.592699999999"/>
    <n v="16.4239"/>
    <n v="1442.7963999999999"/>
    <n v="11.5463"/>
    <n v="3255.7203"/>
    <n v="14.1555"/>
    <n v="5401.0218000000004"/>
    <n v="8.6934000000000005"/>
  </r>
  <r>
    <n v="86"/>
    <x v="85"/>
    <n v="66470.561600000001"/>
    <n v="7.7473999999999998"/>
    <n v="46565.691200000001"/>
    <n v="7.3844000000000003"/>
    <n v="34716.616799999996"/>
    <n v="4.7372550104487727"/>
    <n v="8318.4285999999993"/>
    <n v="15.3675"/>
    <n v="1786.1867999999999"/>
    <n v="13.750999999999999"/>
    <n v="1744.4591"/>
    <n v="15.478400000000001"/>
    <n v="1943.0762"/>
    <n v="14.7364"/>
  </r>
  <r>
    <n v="87"/>
    <x v="86"/>
    <n v="56955.357400000001"/>
    <n v="6.3856999999999999"/>
    <n v="39583.287700000001"/>
    <n v="5.5903"/>
    <n v="26687.457300000002"/>
    <n v="2.1910925198062983"/>
    <n v="8096.8708999999999"/>
    <n v="12.3285"/>
    <n v="1968.3551"/>
    <n v="13.6282"/>
    <n v="2830.6044000000002"/>
    <n v="12.775399999999999"/>
    <n v="2249.7429000000002"/>
    <n v="11.9277"/>
  </r>
  <r>
    <n v="88"/>
    <x v="87"/>
    <n v="60293.135399999999"/>
    <n v="6.1543000000000001"/>
    <n v="39894.710200000001"/>
    <n v="5.1050000000000004"/>
    <n v="26941.538800000002"/>
    <n v="2.0797943090748774"/>
    <n v="6781.3869000000004"/>
    <n v="11.633900000000001"/>
    <n v="2673.2159999999999"/>
    <n v="11.1073"/>
    <n v="3498.5686000000001"/>
    <n v="11.159700000000001"/>
    <n v="3664.7636000000002"/>
    <n v="7.4894999999999996"/>
  </r>
  <r>
    <n v="89"/>
    <x v="88"/>
    <n v="66957.958100000003"/>
    <n v="6.1784999999999997"/>
    <n v="42354.3531"/>
    <n v="5.4553000000000003"/>
    <n v="29375.080999999998"/>
    <n v="2.6334947942836311"/>
    <n v="9060.4233999999997"/>
    <n v="11.4283"/>
    <n v="2069.0151999999998"/>
    <n v="13.7094"/>
    <n v="1849.8335"/>
    <n v="11.7773"/>
    <n v="3508.6044999999999"/>
    <n v="11.2029"/>
  </r>
  <r>
    <n v="90"/>
    <x v="89"/>
    <n v="55846.192000000003"/>
    <n v="6.1942000000000004"/>
    <n v="37289.411599999999"/>
    <n v="5.1749000000000001"/>
    <n v="27973.710200000001"/>
    <n v="2.9157877990610626"/>
    <n v="6106.2169999999996"/>
    <n v="11.6854"/>
    <n v="1449.5514000000001"/>
    <n v="12.712999999999999"/>
    <n v="1759.9331"/>
    <n v="12.285399999999999"/>
    <n v="3132.9369000000002"/>
    <n v="11.100300000000001"/>
  </r>
  <r>
    <n v="91"/>
    <x v="90"/>
    <n v="53488.2762"/>
    <n v="6.1894999999999998"/>
    <n v="34970.050600000002"/>
    <n v="5.2159000000000004"/>
    <n v="24525.526600000001"/>
    <n v="2.3584190306935144"/>
    <n v="6428.6189000000004"/>
    <n v="11.7112"/>
    <n v="2340.4058"/>
    <n v="12.919499999999999"/>
    <n v="1675.4993999999999"/>
    <n v="11.360799999999999"/>
    <n v="2984.9173000000001"/>
    <n v="10.477499999999999"/>
  </r>
  <r>
    <n v="92"/>
    <x v="91"/>
    <n v="62611.394800000002"/>
    <n v="5.2442000000000002"/>
    <n v="40513.203600000001"/>
    <n v="4.5624000000000002"/>
    <n v="29097.262000000002"/>
    <n v="2.0354031109813699"/>
    <n v="7646.6013000000003"/>
    <n v="11.0824"/>
    <n v="1875.4395"/>
    <n v="10.083299999999999"/>
    <n v="1893.9007999999999"/>
    <n v="11.5937"/>
    <n v="3140.6304"/>
    <n v="4.8548999999999998"/>
  </r>
  <r>
    <n v="93"/>
    <x v="92"/>
    <n v="58373.090600000003"/>
    <n v="6.0347"/>
    <n v="36909.705900000001"/>
    <n v="5.1006999999999998"/>
    <n v="25488.669000000002"/>
    <n v="2.006623046772666"/>
    <n v="7203.9232000000002"/>
    <n v="11.478400000000001"/>
    <n v="1835.1448"/>
    <n v="14.0428"/>
    <n v="2381.9688000000001"/>
    <n v="12.031499999999999"/>
    <n v="2212.8188"/>
    <n v="9.6926000000000005"/>
  </r>
  <r>
    <n v="94"/>
    <x v="93"/>
    <n v="57353.870600000002"/>
    <n v="6.5982000000000003"/>
    <n v="35402.879000000001"/>
    <n v="5.6654999999999998"/>
    <n v="23232.717499999999"/>
    <n v="2.2488004924520779"/>
    <n v="6318.0783000000001"/>
    <n v="11.928100000000001"/>
    <n v="2877.0605"/>
    <n v="12.553800000000001"/>
    <n v="2975.0225999999998"/>
    <n v="12.386200000000001"/>
    <n v="4538.6701000000003"/>
    <n v="12.526"/>
  </r>
  <r>
    <n v="95"/>
    <x v="94"/>
    <n v="63569.457900000001"/>
    <n v="5.7206000000000001"/>
    <n v="40213.813099999999"/>
    <n v="5.0800999999999998"/>
    <n v="28444.169300000001"/>
    <n v="2.3510229348645453"/>
    <n v="6838.4894999999997"/>
    <n v="11.8848"/>
    <n v="2478.4596999999999"/>
    <n v="12.177300000000001"/>
    <n v="2452.6945999999998"/>
    <n v="10.585000000000001"/>
    <n v="2333.3054000000002"/>
    <n v="10.4122"/>
  </r>
  <r>
    <n v="96"/>
    <x v="95"/>
    <n v="57769.679199999999"/>
    <n v="6.3307000000000002"/>
    <n v="39180.609600000003"/>
    <n v="5.9038000000000004"/>
    <n v="28625.638800000001"/>
    <n v="3.343300074535978"/>
    <n v="6350.4246999999996"/>
    <n v="12.8393"/>
    <n v="2540.1482999999998"/>
    <n v="12.4697"/>
    <n v="1664.3978"/>
    <n v="13.459199999999999"/>
    <n v="1935.8114"/>
    <n v="9.9672000000000001"/>
  </r>
  <r>
    <n v="97"/>
    <x v="96"/>
    <n v="82711.608099999998"/>
    <n v="9.8370999999999995"/>
    <n v="61269.008999999998"/>
    <n v="10.2318"/>
    <n v="43656.800000000003"/>
    <n v="8.6089544845833856"/>
    <n v="11966.771199999999"/>
    <n v="14.414199999999999"/>
    <n v="2821.6107000000002"/>
    <n v="13.724"/>
    <n v="2823.8270000000002"/>
    <n v="14.108499999999999"/>
    <n v="4542.9294"/>
    <n v="13.170199999999999"/>
  </r>
  <r>
    <n v="98"/>
    <x v="97"/>
    <n v="69331.350600000005"/>
    <n v="8.1034000000000006"/>
    <n v="49131.523699999998"/>
    <n v="8.1036999999999999"/>
    <n v="32248.787700000001"/>
    <n v="4.9820984060572915"/>
    <n v="10925.4036"/>
    <n v="13.373100000000001"/>
    <n v="2116.8121999999998"/>
    <n v="12.5358"/>
    <n v="3840.5203000000001"/>
    <n v="16.882300000000001"/>
    <n v="3875.9902000000002"/>
    <n v="12.41"/>
  </r>
  <r>
    <n v="99"/>
    <x v="98"/>
    <n v="42315.659200000002"/>
    <n v="11.6007"/>
    <n v="29291.007900000001"/>
    <n v="12.759499999999999"/>
    <n v="19798.312699999999"/>
    <n v="11.829186368942947"/>
    <n v="6750.9745000000003"/>
    <n v="15.2536"/>
    <n v="1434.4862000000001"/>
    <n v="14.635400000000001"/>
    <n v="1307.2345"/>
    <n v="11.9099"/>
    <n v="3837.5781999999999"/>
    <n v="16.793199999999999"/>
  </r>
  <r>
    <n v="100"/>
    <x v="99"/>
    <n v="65641.835399999996"/>
    <n v="8.8165999999999993"/>
    <n v="48973.951300000001"/>
    <n v="9.4285999999999994"/>
    <n v="39673.769799999995"/>
    <n v="8.1921816660427371"/>
    <n v="5327.4011"/>
    <n v="14.3819"/>
    <n v="959.86860000000001"/>
    <n v="16.0745"/>
    <n v="3012.9117999999999"/>
    <n v="14.833600000000001"/>
    <n v="1772.6083000000001"/>
    <n v="14.265000000000001"/>
  </r>
  <r>
    <n v="101"/>
    <x v="100"/>
    <n v="82154.265400000004"/>
    <n v="8.5684000000000005"/>
    <n v="60738.885499999997"/>
    <n v="8.8666999999999998"/>
    <n v="45482.188399999999"/>
    <n v="7.0889135192092034"/>
    <n v="9994.9187000000002"/>
    <n v="15.3147"/>
    <n v="1754.4295"/>
    <n v="12.5749"/>
    <n v="3507.3489"/>
    <n v="11.6914"/>
    <n v="4134.1508000000003"/>
    <n v="8.7117000000000004"/>
  </r>
  <r>
    <n v="102"/>
    <x v="101"/>
    <n v="73198.335099999997"/>
    <n v="8.7936999999999994"/>
    <n v="56061.183400000002"/>
    <n v="9.0853999999999999"/>
    <n v="43366.431599999996"/>
    <n v="7.6767812787806129"/>
    <n v="9051.6479999999992"/>
    <n v="14.913500000000001"/>
    <n v="1479.5763999999999"/>
    <n v="14.9251"/>
    <n v="2163.5273999999999"/>
    <n v="8.9417000000000009"/>
    <n v="3381.6347999999998"/>
    <n v="9.4168000000000003"/>
  </r>
  <r>
    <n v="103"/>
    <x v="102"/>
    <n v="74997.291899999997"/>
    <n v="8.9596999999999998"/>
    <n v="57012.284299999999"/>
    <n v="9.4400999999999993"/>
    <n v="41195.605600000003"/>
    <n v="7.9246673541573092"/>
    <n v="10143.605100000001"/>
    <n v="14.6021"/>
    <n v="2200.5122999999999"/>
    <n v="12.589499999999999"/>
    <n v="3472.5612999999998"/>
    <n v="10.3436"/>
    <n v="4176.8486000000003"/>
    <n v="9.1769999999999996"/>
  </r>
  <r>
    <n v="104"/>
    <x v="103"/>
    <n v="89085.330300000001"/>
    <n v="8.0687999999999995"/>
    <n v="67652.962599999999"/>
    <n v="8.3866999999999994"/>
    <n v="50399.127500000002"/>
    <n v="6.5450334748652157"/>
    <n v="10979.204299999999"/>
    <n v="15.332100000000001"/>
    <n v="2970.7057"/>
    <n v="13.0985"/>
    <n v="3303.9252000000001"/>
    <n v="9.1630000000000003"/>
    <n v="3308.8914"/>
    <n v="8.8033000000000001"/>
  </r>
  <r>
    <n v="105"/>
    <x v="104"/>
    <n v="89263.193799999994"/>
    <n v="7.8148999999999997"/>
    <n v="68206.678199999995"/>
    <n v="8.0248000000000008"/>
    <n v="53570.044699999999"/>
    <n v="6.5902359921764262"/>
    <n v="7025.3581000000004"/>
    <n v="14.8803"/>
    <n v="2651.8085999999998"/>
    <n v="15.7011"/>
    <n v="4959.4669000000004"/>
    <n v="9.7051999999999996"/>
    <n v="3684.4189999999999"/>
    <n v="7.7533000000000003"/>
  </r>
  <r>
    <n v="106"/>
    <x v="105"/>
    <n v="97760.041800000006"/>
    <n v="7.8879999999999999"/>
    <n v="76352.573499999999"/>
    <n v="7.9965000000000002"/>
    <n v="61222.122600000002"/>
    <n v="7.0408371685803006"/>
    <n v="7824.8608000000004"/>
    <n v="13.4903"/>
    <n v="1787.1945000000001"/>
    <n v="8.9049999999999994"/>
    <n v="5518.3957"/>
    <n v="10.5152"/>
    <n v="5435.9492"/>
    <n v="7.6390000000000002"/>
  </r>
  <r>
    <n v="107"/>
    <x v="106"/>
    <n v="94438.305099999998"/>
    <n v="7.9157000000000002"/>
    <n v="72986.468599999993"/>
    <n v="8.0823"/>
    <n v="57634.515599999999"/>
    <n v="6.7226076725955863"/>
    <n v="8561.4086000000007"/>
    <n v="14.432"/>
    <n v="1914.079"/>
    <n v="12.629200000000001"/>
    <n v="4876.4654"/>
    <n v="11.22"/>
    <n v="4026.4108000000001"/>
    <n v="8.7348999999999997"/>
  </r>
  <r>
    <n v="108"/>
    <x v="107"/>
    <n v="83539.854399999997"/>
    <n v="7.8320999999999996"/>
    <n v="63949.0003"/>
    <n v="7.9496000000000002"/>
    <n v="51337.154800000004"/>
    <n v="6.9684688334967859"/>
    <n v="5580.4749000000002"/>
    <n v="13.257"/>
    <n v="1526.0938000000001"/>
    <n v="13.831300000000001"/>
    <n v="5505.2767000000003"/>
    <n v="10.088100000000001"/>
    <n v="3347.9850999999999"/>
    <n v="8.4822000000000006"/>
  </r>
  <r>
    <n v="109"/>
    <x v="108"/>
    <n v="129598.50260000001"/>
    <n v="7.6616999999999997"/>
    <n v="105124.2176"/>
    <n v="7.5456000000000003"/>
    <n v="86423.32"/>
    <n v="6.405449451951279"/>
    <n v="11266.7289"/>
    <n v="14.4025"/>
    <n v="1277.5698"/>
    <n v="14.966699999999999"/>
    <n v="6156.5987999999998"/>
    <n v="9.4634999999999998"/>
    <n v="4974.2392"/>
    <n v="8.9046000000000003"/>
  </r>
  <r>
    <n v="110"/>
    <x v="109"/>
    <n v="114685.41959999999"/>
    <n v="6.0303000000000004"/>
    <n v="93392.919500000004"/>
    <n v="5.6372"/>
    <n v="82611.493499999997"/>
    <n v="4.5957333970151506"/>
    <n v="6305.6692000000003"/>
    <n v="14.5367"/>
    <n v="1073.9662000000001"/>
    <n v="13.5288"/>
    <n v="3401.7907"/>
    <n v="11.943099999999999"/>
    <n v="6250.6810999999998"/>
    <n v="9.2627000000000006"/>
  </r>
  <r>
    <n v="111"/>
    <x v="110"/>
    <n v="119997.3654"/>
    <n v="6.9762000000000004"/>
    <n v="92209.950599999996"/>
    <n v="6.4226000000000001"/>
    <n v="84839.35990000001"/>
    <n v="5.7580903821558644"/>
    <n v="4631.0225"/>
    <n v="13.652799999999999"/>
    <n v="1386.3242"/>
    <n v="14.1282"/>
    <n v="1353.2439999999999"/>
    <n v="15.4499"/>
    <n v="9779.8492000000006"/>
    <n v="10.5318"/>
  </r>
  <r>
    <n v="112"/>
    <x v="111"/>
    <n v="147640.6305"/>
    <n v="10.036"/>
    <n v="116703.397"/>
    <n v="10.2784"/>
    <n v="105275.5196"/>
    <n v="10.009860477118652"/>
    <n v="7157.3243000000002"/>
    <n v="13.9183"/>
    <n v="1529.8300999999999"/>
    <n v="15.953200000000001"/>
    <n v="2740.723"/>
    <n v="7.9212999999999996"/>
    <n v="11529.5016"/>
    <n v="10.1106"/>
  </r>
  <r>
    <n v="113"/>
    <x v="112"/>
    <n v="125925.73420000001"/>
    <n v="12.9002"/>
    <n v="96742.087499999994"/>
    <n v="13.888400000000001"/>
    <n v="86433.448999999993"/>
    <n v="13.770211091777213"/>
    <n v="8172.6743999999999"/>
    <n v="15.713200000000001"/>
    <n v="1026.4199000000001"/>
    <n v="12.774900000000001"/>
    <n v="1109.5443"/>
    <n v="10.681800000000001"/>
    <n v="8418.7625000000007"/>
    <n v="12.2896"/>
  </r>
  <r>
    <n v="114"/>
    <x v="113"/>
    <n v="110070.86"/>
    <n v="13.789099999999999"/>
    <n v="87867.34"/>
    <n v="14.5137"/>
    <n v="78637.040000000008"/>
    <n v="14.514242716218718"/>
    <n v="7170.66"/>
    <n v="14.906000000000001"/>
    <n v="983.78"/>
    <n v="15.285"/>
    <n v="1075.8599999999999"/>
    <n v="11.1562"/>
    <n v="6430.63"/>
    <n v="12.0191"/>
  </r>
  <r>
    <n v="115"/>
    <x v="114"/>
    <n v="118145.3573"/>
    <n v="13.5656"/>
    <n v="95535.212100000004"/>
    <n v="14.243600000000001"/>
    <n v="85289.881599999993"/>
    <n v="14.122862880803316"/>
    <n v="7383.4605000000001"/>
    <n v="15.283300000000001"/>
    <n v="852.88959999999997"/>
    <n v="15.311"/>
    <n v="2008.9802999999999"/>
    <n v="15.094799999999999"/>
    <n v="5543.5784000000003"/>
    <n v="11.021599999999999"/>
  </r>
  <r>
    <n v="116"/>
    <x v="115"/>
    <n v="148170.2138"/>
    <n v="13.252000000000001"/>
    <n v="118004.98330000001"/>
    <n v="13.9284"/>
    <n v="104125.541"/>
    <n v="13.770706668503744"/>
    <n v="10646.2534"/>
    <n v="15.657400000000001"/>
    <n v="2066.2269000000001"/>
    <n v="15.121600000000001"/>
    <n v="1166.9619"/>
    <n v="10.112500000000001"/>
    <n v="8570.0913999999993"/>
    <n v="10.0342"/>
  </r>
  <r>
    <n v="117"/>
    <x v="116"/>
    <n v="135708.63889999999"/>
    <n v="12.122999999999999"/>
    <n v="111504.88740000001"/>
    <n v="12.4696"/>
    <n v="98435.246500000008"/>
    <n v="12.174122031413106"/>
    <n v="10566.916999999999"/>
    <n v="16.368500000000001"/>
    <n v="847.94320000000005"/>
    <n v="13.6471"/>
    <n v="1654.7807"/>
    <n v="4.5465999999999998"/>
    <n v="6433.5958000000001"/>
    <n v="9.1419999999999995"/>
  </r>
  <r>
    <n v="118"/>
    <x v="117"/>
    <n v="150615.52679999999"/>
    <n v="12.2712"/>
    <n v="122494.8936"/>
    <n v="12.7135"/>
    <n v="110928.9172"/>
    <n v="12.497545731436293"/>
    <n v="8508.7690000000002"/>
    <n v="15.6996"/>
    <n v="1825.9831999999999"/>
    <n v="14.8736"/>
    <n v="1231.2240999999999"/>
    <n v="8.3285999999999998"/>
    <n v="7673.6646000000001"/>
    <n v="9.1953999999999994"/>
  </r>
  <r>
    <n v="119"/>
    <x v="118"/>
    <n v="165111.92389999999"/>
    <n v="11.8207"/>
    <n v="134627.41889999999"/>
    <n v="12.172000000000001"/>
    <n v="122716.7929"/>
    <n v="12.05237896689867"/>
    <n v="8833.8860000000004"/>
    <n v="14.122299999999999"/>
    <n v="1703.7365"/>
    <n v="12.995100000000001"/>
    <n v="1373.0035"/>
    <n v="9.2947000000000006"/>
    <n v="8249.6998999999996"/>
    <n v="8.6959"/>
  </r>
  <r>
    <n v="120"/>
    <x v="119"/>
    <n v="162349.52609999999"/>
    <n v="11.3507"/>
    <n v="134000.8493"/>
    <n v="11.700799999999999"/>
    <n v="123493.4748"/>
    <n v="11.481803580223332"/>
    <n v="7588.4337999999998"/>
    <n v="15.417"/>
    <n v="1522.7040999999999"/>
    <n v="13.2118"/>
    <n v="1396.2365"/>
    <n v="9.2261000000000006"/>
    <n v="7337.3288000000002"/>
    <n v="8.6189"/>
  </r>
  <r>
    <n v="121"/>
    <x v="120"/>
    <n v="200166.1826"/>
    <n v="10.2547"/>
    <n v="162974.26060000001"/>
    <n v="10.396800000000001"/>
    <n v="140316.58840000001"/>
    <n v="9.8379415870579994"/>
    <n v="15019.2587"/>
    <n v="14.753500000000001"/>
    <n v="3743.5454"/>
    <n v="11.734500000000001"/>
    <n v="3894.8681000000001"/>
    <n v="12.444800000000001"/>
    <n v="9891.7356"/>
    <n v="8.7352000000000007"/>
  </r>
  <r>
    <n v="122"/>
    <x v="121"/>
    <n v="158074.30910000001"/>
    <n v="9.7041000000000004"/>
    <n v="134670.73069999999"/>
    <n v="9.7944999999999993"/>
    <n v="123106.58619999999"/>
    <n v="9.5460108201835592"/>
    <n v="9138.4408999999996"/>
    <n v="12.5623"/>
    <n v="1619.2097000000001"/>
    <n v="13.527900000000001"/>
    <n v="806.49390000000005"/>
    <n v="8.8690999999999995"/>
    <n v="5587.2705999999998"/>
    <n v="9.0937000000000001"/>
  </r>
  <r>
    <n v="123"/>
    <x v="122"/>
    <n v="183840.02989999999"/>
    <n v="10.163399999999999"/>
    <n v="156992.69089999999"/>
    <n v="10.257999999999999"/>
    <n v="145766.8762"/>
    <n v="10.034038778123243"/>
    <n v="8890.9853999999996"/>
    <n v="13.8294"/>
    <n v="1436.1736000000001"/>
    <n v="11.542"/>
    <n v="898.65560000000005"/>
    <n v="9.1973000000000003"/>
    <n v="6749.5653000000002"/>
    <n v="8.9793000000000003"/>
  </r>
  <r>
    <n v="124"/>
    <x v="123"/>
    <n v="182787.47289999999"/>
    <n v="11.5405"/>
    <n v="152716.6765"/>
    <n v="11.880699999999999"/>
    <n v="136413.94399999999"/>
    <n v="11.716153013401696"/>
    <n v="10209.7395"/>
    <n v="13.5687"/>
    <n v="4339.5537000000004"/>
    <n v="12.791"/>
    <n v="1753.4393"/>
    <n v="12.601100000000001"/>
    <n v="7298.1697999999997"/>
    <n v="9.3238000000000003"/>
  </r>
  <r>
    <n v="125"/>
    <x v="124"/>
    <n v="170024.64670000001"/>
    <n v="12.246"/>
    <n v="140049.65090000001"/>
    <n v="12.7803"/>
    <n v="122767.0442"/>
    <n v="12.793110572428686"/>
    <n v="12100.7093"/>
    <n v="13.6523"/>
    <n v="3241.8528999999999"/>
    <n v="11.1516"/>
    <n v="1940.0445"/>
    <n v="9.2492000000000001"/>
    <n v="6946.0762999999997"/>
    <n v="9.0791000000000004"/>
  </r>
  <r>
    <n v="126"/>
    <x v="125"/>
    <n v="170736.27009999999"/>
    <n v="12.4651"/>
    <n v="141255.74830000001"/>
    <n v="13.0296"/>
    <n v="126212.2855"/>
    <n v="12.980256998409319"/>
    <n v="11229.015799999999"/>
    <n v="14.1867"/>
    <n v="2213.8789000000002"/>
    <n v="11.983700000000001"/>
    <n v="1600.5681999999999"/>
    <n v="10.2445"/>
    <n v="7039.4371000000001"/>
    <n v="8.8354999999999997"/>
  </r>
  <r>
    <n v="127"/>
    <x v="126"/>
    <n v="191081.2303"/>
    <n v="11.612299999999999"/>
    <n v="161966.0275"/>
    <n v="12.0016"/>
    <n v="147398.38890000002"/>
    <n v="11.805375907447113"/>
    <n v="10021.5985"/>
    <n v="15.1214"/>
    <n v="3516.6601000000001"/>
    <n v="11.439299999999999"/>
    <n v="1029.3798999999999"/>
    <n v="11.648099999999999"/>
    <n v="6531.2785999999996"/>
    <n v="8.4596"/>
  </r>
  <r>
    <n v="128"/>
    <x v="127"/>
    <n v="198103.2451"/>
    <n v="10.443300000000001"/>
    <n v="165478.89309999999"/>
    <n v="10.696199999999999"/>
    <n v="146471.51909999998"/>
    <n v="10.478905302096305"/>
    <n v="14519.7682"/>
    <n v="12.4825"/>
    <n v="2829.0632000000001"/>
    <n v="12.6669"/>
    <n v="1658.5425"/>
    <n v="10.887499999999999"/>
    <n v="6997.5931"/>
    <n v="7.8143000000000002"/>
  </r>
  <r>
    <n v="129"/>
    <x v="128"/>
    <n v="186042.0331"/>
    <n v="9.2065999999999999"/>
    <n v="152968.31649999999"/>
    <n v="9.2141000000000002"/>
    <n v="137546.2476"/>
    <n v="8.817132662657313"/>
    <n v="11976.604799999999"/>
    <n v="12.807700000000001"/>
    <n v="2102.2296999999999"/>
    <n v="13.651300000000001"/>
    <n v="1343.2345"/>
    <n v="10.877800000000001"/>
    <n v="7191.1511"/>
    <n v="7.6894999999999998"/>
  </r>
  <r>
    <n v="130"/>
    <x v="129"/>
    <n v="190883.24220000001"/>
    <n v="9.7651000000000003"/>
    <n v="157697.6967"/>
    <n v="9.9703999999999997"/>
    <n v="140182.0404"/>
    <n v="9.7354421598090841"/>
    <n v="11972.956899999999"/>
    <n v="12.772600000000001"/>
    <n v="4031.1084999999998"/>
    <n v="10.034599999999999"/>
    <n v="1511.5909999999999"/>
    <n v="9.3917999999999999"/>
    <n v="7276.4453000000003"/>
    <n v="7.5730000000000004"/>
  </r>
  <r>
    <n v="131"/>
    <x v="130"/>
    <n v="188330.6146"/>
    <n v="9.8322000000000003"/>
    <n v="156722.0821"/>
    <n v="10.059200000000001"/>
    <n v="141098.90429999999"/>
    <n v="9.7346814993611552"/>
    <n v="11961.656800000001"/>
    <n v="12.928699999999999"/>
    <n v="2724.0565999999999"/>
    <n v="14.1287"/>
    <n v="937.46429999999998"/>
    <n v="10.456"/>
    <n v="6681.0825000000004"/>
    <n v="7.3720999999999997"/>
  </r>
  <r>
    <n v="132"/>
    <x v="131"/>
    <n v="202091.49340000001"/>
    <n v="9.0198999999999998"/>
    <n v="169129.78"/>
    <n v="9.0488999999999997"/>
    <n v="153306.28820000001"/>
    <n v="8.7239681285409922"/>
    <n v="9917.8343000000004"/>
    <n v="12.0115"/>
    <n v="5268.1958000000004"/>
    <n v="13.012499999999999"/>
    <n v="637.46169999999995"/>
    <n v="8.3445999999999998"/>
    <n v="7559.5104000000001"/>
    <n v="7.1532"/>
  </r>
  <r>
    <n v="133"/>
    <x v="132"/>
    <n v="219566.79449999999"/>
    <n v="8.9809000000000001"/>
    <n v="180214.21900000001"/>
    <n v="9.2490000000000006"/>
    <n v="162126.3003"/>
    <n v="8.959320848115782"/>
    <n v="12988.110699999999"/>
    <n v="13.167400000000001"/>
    <n v="2235.8425000000002"/>
    <n v="12.564299999999999"/>
    <n v="2863.9654999999998"/>
    <n v="5.2872000000000003"/>
    <n v="8921.3544000000002"/>
    <n v="7.5266000000000002"/>
  </r>
  <r>
    <n v="134"/>
    <x v="133"/>
    <n v="178804.27280000001"/>
    <n v="8.4543999999999997"/>
    <n v="153003.34820000001"/>
    <n v="8.6567000000000007"/>
    <n v="136879.53769999999"/>
    <n v="8.2995613939187063"/>
    <n v="11230.5651"/>
    <n v="11.5596"/>
    <n v="3315.5353"/>
    <n v="12.112"/>
    <n v="1577.7101"/>
    <n v="11.713100000000001"/>
    <n v="7342.6882999999998"/>
    <n v="7.1933999999999996"/>
  </r>
  <r>
    <n v="135"/>
    <x v="134"/>
    <n v="177217.44260000001"/>
    <n v="8.5363000000000007"/>
    <n v="150392.54990000001"/>
    <n v="8.7134999999999998"/>
    <n v="135393.5606"/>
    <n v="8.3892141926399706"/>
    <n v="9909.2788999999993"/>
    <n v="12.1242"/>
    <n v="4072.0196999999998"/>
    <n v="10.6943"/>
    <n v="1017.6907"/>
    <n v="10.722200000000001"/>
    <n v="8746.9971000000005"/>
    <n v="7.3087"/>
  </r>
  <r>
    <n v="136"/>
    <x v="135"/>
    <n v="203363.41519999999"/>
    <n v="9.1259999999999994"/>
    <n v="169754.3591"/>
    <n v="9.4643999999999995"/>
    <n v="153300.24170000001"/>
    <n v="9.2452260457734159"/>
    <n v="10470.093800000001"/>
    <n v="11.9457"/>
    <n v="4169.8028999999997"/>
    <n v="10.8489"/>
    <n v="1814.2206000000001"/>
    <n v="10.482900000000001"/>
    <n v="10125.217500000001"/>
    <n v="7.0515999999999996"/>
  </r>
  <r>
    <n v="137"/>
    <x v="136"/>
    <n v="170902.2838"/>
    <n v="8.7590000000000003"/>
    <n v="141035.08929999999"/>
    <n v="9.0609999999999999"/>
    <n v="123605.99680000001"/>
    <n v="8.9282799510998316"/>
    <n v="12727.7356"/>
    <n v="9.6472999999999995"/>
    <n v="3192.8609000000001"/>
    <n v="11.23"/>
    <n v="1508.4960000000001"/>
    <n v="10.3964"/>
    <n v="9330.8848999999991"/>
    <n v="7.5747999999999998"/>
  </r>
  <r>
    <n v="138"/>
    <x v="137"/>
    <n v="173234.24479999999"/>
    <n v="8.3841999999999999"/>
    <n v="140148.50090000001"/>
    <n v="8.8000000000000007"/>
    <n v="125944.98909999999"/>
    <n v="8.5314149899048282"/>
    <n v="9715.8971000000001"/>
    <n v="11.653700000000001"/>
    <n v="2812.2966000000001"/>
    <n v="10.7766"/>
    <n v="1675.3181"/>
    <n v="9.1220999999999997"/>
    <n v="10800.2641"/>
    <n v="7.3135000000000003"/>
  </r>
  <r>
    <n v="139"/>
    <x v="138"/>
    <n v="168212.6673"/>
    <n v="7.9032999999999998"/>
    <n v="126366.0309"/>
    <n v="8.2207000000000008"/>
    <n v="108984.29120000001"/>
    <n v="8.0564302418520466"/>
    <n v="10501.1173"/>
    <n v="10.033099999999999"/>
    <n v="5777.9533000000001"/>
    <n v="7.7489999999999997"/>
    <n v="1102.6691000000001"/>
    <n v="9.6646999999999998"/>
    <n v="19711.524099999999"/>
    <n v="7.3658000000000001"/>
  </r>
  <r>
    <n v="140"/>
    <x v="139"/>
    <n v="172161.61799999999"/>
    <n v="7.7527999999999997"/>
    <n v="138805.1747"/>
    <n v="8.1577999999999999"/>
    <n v="121814.223"/>
    <n v="7.867123007478364"/>
    <n v="11440.8225"/>
    <n v="10.883800000000001"/>
    <n v="3161.1626000000001"/>
    <n v="11.223800000000001"/>
    <n v="2388.9666000000002"/>
    <n v="5.8693999999999997"/>
    <n v="11463.1432"/>
    <n v="6.8630000000000004"/>
  </r>
  <r>
    <n v="141"/>
    <x v="140"/>
    <n v="187229.55600000001"/>
    <n v="7.9836999999999998"/>
    <n v="154753.5183"/>
    <n v="8.3848000000000003"/>
    <n v="137432.25570000001"/>
    <n v="8.2217679670754329"/>
    <n v="10328.4935"/>
    <n v="10.068199999999999"/>
    <n v="4856.9584999999997"/>
    <n v="9.9848999999999997"/>
    <n v="2135.8105999999998"/>
    <n v="7.0987999999999998"/>
    <n v="10361.248"/>
    <n v="6.7453000000000003"/>
  </r>
  <r>
    <n v="142"/>
    <x v="141"/>
    <n v="175182.61660000001"/>
    <n v="7.8836000000000004"/>
    <n v="143791.33970000001"/>
    <n v="8.2813999999999997"/>
    <n v="127742.2199"/>
    <n v="8.1068280575392606"/>
    <n v="12018.028899999999"/>
    <n v="9.9560999999999993"/>
    <n v="2782.7752999999998"/>
    <n v="8.9876000000000005"/>
    <n v="1248.3155999999999"/>
    <n v="8.4451000000000001"/>
    <n v="8891.9570000000003"/>
    <n v="6.8247"/>
  </r>
  <r>
    <n v="143"/>
    <x v="142"/>
    <n v="182670.47279999999"/>
    <n v="7.8384"/>
    <n v="150883.98749999999"/>
    <n v="8.2286999999999999"/>
    <n v="134302.75029999999"/>
    <n v="8.0207857115492001"/>
    <n v="9159.2656000000006"/>
    <n v="10.4452"/>
    <n v="4343.7267000000002"/>
    <n v="11.464600000000001"/>
    <n v="3078.2451000000001"/>
    <n v="6.1387999999999998"/>
    <n v="10140.482400000001"/>
    <n v="6.9743000000000004"/>
  </r>
  <r>
    <n v="144"/>
    <x v="143"/>
    <n v="189242.67720000001"/>
    <n v="8.4593000000000007"/>
    <n v="157946.52420000001"/>
    <n v="8.9430999999999994"/>
    <n v="141982.99669999999"/>
    <n v="8.7989753446635781"/>
    <n v="9252.2801999999992"/>
    <n v="11.516"/>
    <n v="4530.098"/>
    <n v="9.5349000000000004"/>
    <n v="2181.1493999999998"/>
    <n v="6.1821999999999999"/>
    <n v="9046.9"/>
    <n v="7.6577000000000002"/>
  </r>
  <r>
    <n v="145"/>
    <x v="144"/>
    <n v="191261.43460000001"/>
    <n v="8.9183000000000003"/>
    <n v="157849.1556"/>
    <n v="9.4705999999999992"/>
    <n v="136800.28580000001"/>
    <n v="9.3173781853275912"/>
    <n v="13721.7898"/>
    <n v="12.2372"/>
    <n v="4213.0771999999997"/>
    <n v="8.8043999999999993"/>
    <n v="3114.0028000000002"/>
    <n v="4.9100999999999999"/>
    <n v="9693.4879999999994"/>
    <n v="7.6935000000000002"/>
  </r>
  <r>
    <n v="146"/>
    <x v="145"/>
    <n v="191335.82130000001"/>
    <n v="9.2894000000000005"/>
    <n v="164689.5681"/>
    <n v="9.7242999999999995"/>
    <n v="147122.9123"/>
    <n v="9.5478544351865029"/>
    <n v="12968.4123"/>
    <n v="11.8964"/>
    <n v="3070.9079000000002"/>
    <n v="11.268800000000001"/>
    <n v="1527.3354999999999"/>
    <n v="5.1779000000000002"/>
    <n v="10738.920899999999"/>
    <n v="7.7359"/>
  </r>
  <r>
    <n v="147"/>
    <x v="146"/>
    <n v="168730.8701"/>
    <n v="9.9305000000000003"/>
    <n v="143495.91250000001"/>
    <n v="10.4872"/>
    <n v="129586.9485"/>
    <n v="10.426234005813864"/>
    <n v="10241.2312"/>
    <n v="11.749000000000001"/>
    <n v="2697.9661000000001"/>
    <n v="9.6805000000000003"/>
    <n v="969.76670000000001"/>
    <n v="7.5473999999999997"/>
    <n v="11733.0201"/>
    <n v="8.2530999999999999"/>
  </r>
  <r>
    <n v="148"/>
    <x v="147"/>
    <n v="209251.649"/>
    <n v="10.770799999999999"/>
    <n v="181397.8345"/>
    <n v="11.318899999999999"/>
    <n v="165848.266"/>
    <n v="11.330077186757865"/>
    <n v="11020.248"/>
    <n v="11.812099999999999"/>
    <n v="2475.9645"/>
    <n v="9.9831000000000003"/>
    <n v="2053.3560000000002"/>
    <n v="9.3811"/>
    <n v="11559.855299999999"/>
    <n v="8.8684999999999992"/>
  </r>
  <r>
    <n v="149"/>
    <x v="148"/>
    <n v="180149.7432"/>
    <n v="10.9208"/>
    <n v="156699.68479999999"/>
    <n v="11.586"/>
    <n v="139204.9859"/>
    <n v="11.612484137575564"/>
    <n v="12113.748600000001"/>
    <n v="12.470599999999999"/>
    <n v="3833.2667999999999"/>
    <n v="8.82"/>
    <n v="1547.6835000000001"/>
    <n v="9.1292000000000009"/>
    <n v="571.85239999999999"/>
    <n v="7.0557999999999996"/>
  </r>
  <r>
    <n v="150"/>
    <x v="149"/>
    <n v="185638.9926"/>
    <n v="11.131500000000001"/>
    <n v="161403.0839"/>
    <n v="11.7966"/>
    <n v="145895.5001"/>
    <n v="11.827893774793194"/>
    <n v="11282.836499999999"/>
    <n v="12.6637"/>
    <n v="2420.0753"/>
    <n v="9.4521999999999995"/>
    <n v="1804.6721"/>
    <n v="6.9848999999999997"/>
    <n v="772.79899999999998"/>
    <n v="11.299799999999999"/>
  </r>
  <r>
    <n v="151"/>
    <x v="150"/>
    <n v="172356.6416"/>
    <n v="11.2881"/>
    <n v="150357.546"/>
    <n v="11.9255"/>
    <n v="136128.25890000002"/>
    <n v="12.061921730951559"/>
    <n v="11159.996999999999"/>
    <n v="11.183299999999999"/>
    <n v="1798.3814"/>
    <n v="9.2272999999999996"/>
    <n v="1270.9087"/>
    <n v="7.6464999999999996"/>
    <n v="575.35789999999997"/>
    <n v="11.1861"/>
  </r>
  <r>
    <n v="152"/>
    <x v="151"/>
    <n v="230583.86780000001"/>
    <n v="11.583600000000001"/>
    <n v="206124.2182"/>
    <n v="12.1776"/>
    <n v="188431.4736"/>
    <n v="12.46941271927494"/>
    <n v="10591.946900000001"/>
    <n v="11.821899999999999"/>
    <n v="2718.2069000000001"/>
    <n v="8.4428000000000001"/>
    <n v="4382.5906999999997"/>
    <n v="2.8062"/>
    <n v="453.91079999999999"/>
    <n v="10.018599999999999"/>
  </r>
  <r>
    <n v="153"/>
    <x v="152"/>
    <n v="241747.32079999999"/>
    <n v="12.053800000000001"/>
    <n v="215945.6931"/>
    <n v="12.739000000000001"/>
    <n v="199418.25569999998"/>
    <n v="12.916903653161482"/>
    <n v="12141.3015"/>
    <n v="11.103899999999999"/>
    <n v="3410.4567000000002"/>
    <n v="9.2622"/>
    <n v="975.67920000000004"/>
    <n v="8.8803999999999998"/>
    <n v="436.7774"/>
    <n v="10.495200000000001"/>
  </r>
  <r>
    <n v="154"/>
    <x v="153"/>
    <n v="221479.17540000001"/>
    <n v="12.5067"/>
    <n v="196390.16380000001"/>
    <n v="13.288600000000001"/>
    <n v="178246.8069"/>
    <n v="13.487292786642172"/>
    <n v="12145.0888"/>
    <n v="12.757099999999999"/>
    <n v="5041.7089999999998"/>
    <n v="7.5982000000000003"/>
    <n v="956.55920000000003"/>
    <n v="13.003299999999999"/>
    <n v="769.04759999999999"/>
    <n v="7.8548999999999998"/>
  </r>
  <r>
    <n v="155"/>
    <x v="154"/>
    <n v="240336.67670000001"/>
    <n v="13.1393"/>
    <n v="212928.61189999999"/>
    <n v="13.9703"/>
    <n v="192630.08050000001"/>
    <n v="14.177186713640342"/>
    <n v="13606.6765"/>
    <n v="13.603999999999999"/>
    <n v="5375.0875999999998"/>
    <n v="8.0968"/>
    <n v="1316.7674"/>
    <n v="11.469099999999999"/>
    <n v="700.45780000000002"/>
    <n v="9.4479000000000006"/>
  </r>
  <r>
    <n v="156"/>
    <x v="155"/>
    <n v="230144.5325"/>
    <n v="13.771800000000001"/>
    <n v="204318.4669"/>
    <n v="14.513400000000001"/>
    <n v="186998.67199999999"/>
    <n v="14.82313712329508"/>
    <n v="12036.1212"/>
    <n v="12.173500000000001"/>
    <n v="3550.6253000000002"/>
    <n v="10.367800000000001"/>
    <n v="1733.0485000000001"/>
    <n v="5.8400999999999996"/>
    <n v="225.29040000000001"/>
    <n v="11.2821"/>
  </r>
  <r>
    <n v="157"/>
    <x v="156"/>
    <n v="247744.69870000001"/>
    <n v="13.8735"/>
    <n v="218846.6005"/>
    <n v="14.609500000000001"/>
    <n v="197802.35080000001"/>
    <n v="14.867302071374674"/>
    <n v="14676.042100000001"/>
    <n v="13.691800000000001"/>
    <n v="3289.7793000000001"/>
    <n v="9.1196000000000002"/>
    <n v="3078.4283"/>
    <n v="8.2871000000000006"/>
    <n v="316.86900000000003"/>
    <n v="12.268800000000001"/>
  </r>
  <r>
    <n v="158"/>
    <x v="157"/>
    <n v="243316.94349999999"/>
    <n v="12.947900000000001"/>
    <n v="219237.2733"/>
    <n v="13.4602"/>
    <n v="200235.57390000002"/>
    <n v="13.644974451131132"/>
    <n v="15932.2359"/>
    <n v="11.834300000000001"/>
    <n v="2178.8236000000002"/>
    <n v="10.7561"/>
    <n v="890.64"/>
    <n v="7.6238999999999999"/>
    <n v="595.41139999999996"/>
    <n v="11.301600000000001"/>
  </r>
  <r>
    <n v="159"/>
    <x v="158"/>
    <n v="221983.8333"/>
    <n v="13.077400000000001"/>
    <n v="198964.21369999999"/>
    <n v="13.656000000000001"/>
    <n v="183899.33309999999"/>
    <n v="13.802825718199085"/>
    <n v="11100.5221"/>
    <n v="12.0756"/>
    <n v="2927.3778000000002"/>
    <n v="11.566700000000001"/>
    <n v="1036.9808"/>
    <n v="10.4323"/>
    <n v="377.38459999999998"/>
    <n v="11.6326"/>
  </r>
  <r>
    <n v="160"/>
    <x v="159"/>
    <n v="218340.1747"/>
    <n v="13.1744"/>
    <n v="193969.30859999999"/>
    <n v="13.9056"/>
    <n v="176853.32309999998"/>
    <n v="14.052610087541805"/>
    <n v="11481.009599999999"/>
    <n v="12.6319"/>
    <n v="2923.2411000000002"/>
    <n v="13.188700000000001"/>
    <n v="2711.7347"/>
    <n v="10.483599999999999"/>
    <n v="9997.5455999999995"/>
    <n v="8.8468"/>
  </r>
  <r>
    <n v="161"/>
    <x v="160"/>
    <n v="218891.5338"/>
    <n v="12.405900000000001"/>
    <n v="194180.5428"/>
    <n v="13.0664"/>
    <n v="171992.9063"/>
    <n v="13.521038576073297"/>
    <n v="15247.2327"/>
    <n v="8.6295000000000002"/>
    <n v="2921.4906000000001"/>
    <n v="11.003299999999999"/>
    <n v="4018.9131000000002"/>
    <n v="11.9412"/>
    <n v="10079.4601"/>
    <n v="8.4373000000000005"/>
  </r>
  <r>
    <n v="162"/>
    <x v="161"/>
    <n v="229711.9247"/>
    <n v="12.6563"/>
    <n v="203524.34580000001"/>
    <n v="13.3302"/>
    <n v="184799.40270000001"/>
    <n v="13.511476490224174"/>
    <n v="12070.391600000001"/>
    <n v="12.504300000000001"/>
    <n v="3740.4185000000002"/>
    <n v="10.281599999999999"/>
    <n v="2914.1329000000001"/>
    <n v="9.1684000000000001"/>
    <n v="10899.4144"/>
    <n v="8.8572000000000006"/>
  </r>
  <r>
    <n v="163"/>
    <x v="162"/>
    <n v="200249.81969999999"/>
    <n v="12.8405"/>
    <n v="179175.46109999999"/>
    <n v="13.3964"/>
    <n v="163595.92619999999"/>
    <n v="13.576976964588134"/>
    <n v="9277.6000999999997"/>
    <n v="12.822699999999999"/>
    <n v="2344.3312999999998"/>
    <n v="12.0862"/>
    <n v="3957.6035999999999"/>
    <n v="8.0531000000000006"/>
    <n v="8335.0892000000003"/>
    <n v="10.911799999999999"/>
  </r>
  <r>
    <n v="164"/>
    <x v="163"/>
    <n v="252461.66769999999"/>
    <n v="12.528499999999999"/>
    <n v="224591.62210000001"/>
    <n v="13.039199999999999"/>
    <n v="202899.5515"/>
    <n v="13.291563497330156"/>
    <n v="14487.129800000001"/>
    <n v="10.458299999999999"/>
    <n v="4059.0473999999999"/>
    <n v="10.851900000000001"/>
    <n v="3145.8933000000002"/>
    <n v="11.4697"/>
    <n v="10997.5286"/>
    <n v="11.242100000000001"/>
  </r>
  <r>
    <n v="165"/>
    <x v="164"/>
    <n v="205871.61199999999"/>
    <n v="12.6373"/>
    <n v="182205.35939999999"/>
    <n v="13.244400000000001"/>
    <n v="165229.43589999998"/>
    <n v="13.440316669916927"/>
    <n v="10211.9876"/>
    <n v="11.7616"/>
    <n v="3888.0234"/>
    <n v="10.944699999999999"/>
    <n v="2875.9124999999999"/>
    <n v="10.3597"/>
    <n v="9183.1406999999999"/>
    <n v="10.5318"/>
  </r>
  <r>
    <n v="166"/>
    <x v="165"/>
    <n v="210281.8371"/>
    <n v="11.9374"/>
    <n v="184745.90919999999"/>
    <n v="12.380699999999999"/>
    <n v="163678.88390000002"/>
    <n v="12.566392431136379"/>
    <n v="11262.3935"/>
    <n v="10.896100000000001"/>
    <n v="6480.6496999999999"/>
    <n v="11.433199999999999"/>
    <n v="3323.982"/>
    <n v="10.114699999999999"/>
    <n v="10876.871300000001"/>
    <n v="11.4193"/>
  </r>
  <r>
    <n v="167"/>
    <x v="166"/>
    <n v="217962.0238"/>
    <n v="11.831"/>
    <n v="191685.41279999999"/>
    <n v="12.2263"/>
    <n v="172285.42940000002"/>
    <n v="12.340293082834142"/>
    <n v="10543.010200000001"/>
    <n v="12.5305"/>
    <n v="4497.7795999999998"/>
    <n v="9.0448000000000004"/>
    <n v="4359.1935999999996"/>
    <n v="10.2685"/>
    <n v="11912.212"/>
    <n v="11.7582"/>
  </r>
  <r>
    <n v="168"/>
    <x v="167"/>
    <n v="193181.19820000001"/>
    <n v="10.775600000000001"/>
    <n v="155865.48699999999"/>
    <n v="11.4305"/>
    <n v="136889.8248"/>
    <n v="11.512081887537487"/>
    <n v="11519.638300000001"/>
    <n v="11.305899999999999"/>
    <n v="3314.4232999999999"/>
    <n v="10.547800000000001"/>
    <n v="4141.6005999999998"/>
    <n v="9.7868999999999993"/>
    <n v="11643.544"/>
    <n v="11.4977"/>
  </r>
  <r>
    <n v="169"/>
    <x v="168"/>
    <n v="236965.7219"/>
    <n v="10.0221"/>
    <n v="192552.60490000001"/>
    <n v="10.42"/>
    <n v="170843.34700000001"/>
    <n v="10.32547235433341"/>
    <n v="10998.5278"/>
    <n v="11.842499999999999"/>
    <n v="4004.4778000000001"/>
    <n v="11.7844"/>
    <n v="6706.2521999999999"/>
    <n v="9.6798000000000002"/>
    <n v="12543.8537"/>
    <n v="11.1074"/>
  </r>
  <r>
    <n v="170"/>
    <x v="169"/>
    <n v="243069.4431"/>
    <n v="8.1940000000000008"/>
    <n v="199259.62590000001"/>
    <n v="8.2702000000000009"/>
    <n v="176691.68859999999"/>
    <n v="8.0358856527835556"/>
    <n v="12113.731599999999"/>
    <n v="10.706099999999999"/>
    <n v="5844.5437000000002"/>
    <n v="9.5481999999999996"/>
    <n v="4609.6620000000003"/>
    <n v="9.2302"/>
    <n v="13194.950999999999"/>
    <n v="10.457100000000001"/>
  </r>
  <r>
    <n v="171"/>
    <x v="170"/>
    <n v="221967.8315"/>
    <n v="5.9196"/>
    <n v="182211.43909999999"/>
    <n v="5.7496999999999998"/>
    <n v="162122.64789999998"/>
    <n v="5.4488392506791152"/>
    <n v="9199.8330000000005"/>
    <n v="8.5272000000000006"/>
    <n v="3805.4724000000001"/>
    <n v="8.1888000000000005"/>
    <n v="7083.4858000000004"/>
    <n v="7.7191000000000001"/>
    <n v="12812.0062"/>
    <n v="8.5266000000000002"/>
  </r>
  <r>
    <n v="172"/>
    <x v="171"/>
    <n v="227753.5644"/>
    <n v="6.8148999999999997"/>
    <n v="187423.0172"/>
    <n v="6.9516"/>
    <n v="163263.97159999999"/>
    <n v="6.7826564956209241"/>
    <n v="9960.7724999999991"/>
    <n v="8.4025999999999996"/>
    <n v="7234.9270999999999"/>
    <n v="8.8325999999999993"/>
    <n v="6963.3460999999998"/>
    <n v="6.8815999999999997"/>
    <n v="13740.937599999999"/>
    <n v="8.0478000000000005"/>
  </r>
  <r>
    <n v="173"/>
    <x v="172"/>
    <n v="206340.948"/>
    <n v="7.0167000000000002"/>
    <n v="170604.9645"/>
    <n v="7.1685999999999996"/>
    <n v="151495.64860000001"/>
    <n v="6.9043330221843746"/>
    <n v="11706.071099999999"/>
    <n v="10.0137"/>
    <n v="2836.0327000000002"/>
    <n v="8.5486000000000004"/>
    <n v="4567.2120999999997"/>
    <n v="7.7874999999999996"/>
    <n v="11932.136200000001"/>
    <n v="8.4220000000000006"/>
  </r>
  <r>
    <n v="174"/>
    <x v="173"/>
    <n v="190096.72409999999"/>
    <n v="6.0315000000000003"/>
    <n v="155516.4663"/>
    <n v="6.0027999999999997"/>
    <n v="127707.92060000001"/>
    <n v="5.3964916392895992"/>
    <n v="13598.4552"/>
    <n v="8.1378000000000004"/>
    <n v="4112.2411000000002"/>
    <n v="8.1105999999999998"/>
    <n v="10097.849399999999"/>
    <n v="9.9362999999999992"/>
    <n v="12421.029699999999"/>
    <n v="7.9927999999999999"/>
  </r>
  <r>
    <n v="175"/>
    <x v="174"/>
    <n v="214569.99780000001"/>
    <n v="5.1371000000000002"/>
    <n v="175925.64840000001"/>
    <n v="5.0762999999999998"/>
    <n v="147915.77669999999"/>
    <n v="4.4789398416422603"/>
    <n v="14405.211300000001"/>
    <n v="7.9608999999999996"/>
    <n v="4928.1415999999999"/>
    <n v="7.6383999999999999"/>
    <n v="8676.5187999999998"/>
    <n v="9.0154999999999994"/>
    <n v="14039.556699999999"/>
    <n v="6.6974"/>
  </r>
  <r>
    <n v="176"/>
    <x v="175"/>
    <n v="256312.64540000001"/>
    <n v="4.3017000000000003"/>
    <n v="209337.70319999999"/>
    <n v="4.2511999999999999"/>
    <n v="176783.24599999998"/>
    <n v="3.6207986231821994"/>
    <n v="14056.38"/>
    <n v="6.8578999999999999"/>
    <n v="9971.7541000000001"/>
    <n v="8.0831"/>
    <n v="8526.3232000000007"/>
    <n v="8.5432000000000006"/>
    <n v="15637.2763"/>
    <n v="5.4695999999999998"/>
  </r>
  <r>
    <n v="177"/>
    <x v="176"/>
    <n v="209195.0766"/>
    <n v="3.8477999999999999"/>
    <n v="168266.40909999999"/>
    <n v="3.8397000000000001"/>
    <n v="145482.117"/>
    <n v="3.4131135686171654"/>
    <n v="12131.877699999999"/>
    <n v="6.1298000000000004"/>
    <n v="3377.8054000000002"/>
    <n v="6.7163000000000004"/>
    <n v="7274.6089000000002"/>
    <n v="7.2157"/>
    <n v="13757.829"/>
    <n v="4.8604000000000003"/>
  </r>
  <r>
    <n v="178"/>
    <x v="177"/>
    <n v="230066.71040000001"/>
    <n v="3.726"/>
    <n v="187247.6654"/>
    <n v="3.7446000000000002"/>
    <n v="160418.9748"/>
    <n v="3.3826585947332704"/>
    <n v="13885.9743"/>
    <n v="6.3484999999999996"/>
    <n v="7903.7538000000004"/>
    <n v="5.8471000000000002"/>
    <n v="5038.9624999999996"/>
    <n v="4.7922000000000002"/>
    <n v="14518.606299999999"/>
    <n v="4.5148000000000001"/>
  </r>
  <r>
    <n v="179"/>
    <x v="178"/>
    <n v="216364.29199999999"/>
    <n v="3.6652"/>
    <n v="172093.03700000001"/>
    <n v="3.7582"/>
    <n v="143984.82079999999"/>
    <n v="3.3931026083458513"/>
    <n v="13459.6608"/>
    <n v="5.9608999999999996"/>
    <n v="7804.9391999999998"/>
    <n v="6.3970000000000002"/>
    <n v="6843.6162000000004"/>
    <n v="4.0978000000000003"/>
    <n v="15499.868200000001"/>
    <n v="4.5156000000000001"/>
  </r>
  <r>
    <n v="180"/>
    <x v="179"/>
    <n v="203130.62330000001"/>
    <n v="3.6294"/>
    <n v="156484.4988"/>
    <n v="3.7774999999999999"/>
    <n v="130736.40330000001"/>
    <n v="3.4209815063065143"/>
    <n v="11396.3902"/>
    <n v="5.3459000000000003"/>
    <n v="7421.0393000000004"/>
    <n v="5.3582000000000001"/>
    <n v="6930.6660000000002"/>
    <n v="6.2321"/>
    <n v="17155.265100000001"/>
    <n v="4.3224"/>
  </r>
  <r>
    <n v="181"/>
    <x v="180"/>
    <n v="250650.52119999999"/>
    <n v="3.6208"/>
    <n v="191689.2083"/>
    <n v="3.7706"/>
    <n v="163547.4933"/>
    <n v="3.5696004759116655"/>
    <n v="16629.500899999999"/>
    <n v="5.0113000000000003"/>
    <n v="5532.6662999999999"/>
    <n v="5.7577999999999996"/>
    <n v="5979.5478999999996"/>
    <n v="3.9802"/>
    <n v="22881.8194"/>
    <n v="4.5303000000000004"/>
  </r>
  <r>
    <n v="182"/>
    <x v="181"/>
    <n v="217424.38329999999"/>
    <n v="3.6623999999999999"/>
    <n v="174584.7732"/>
    <n v="3.8561999999999999"/>
    <n v="152739.35759999999"/>
    <n v="3.6159132938089562"/>
    <n v="10512.538500000001"/>
    <n v="5.2237"/>
    <n v="9220.6276999999991"/>
    <n v="5.9330999999999996"/>
    <n v="2112.2492999999999"/>
    <n v="5.3563999999999998"/>
    <n v="15955.8833"/>
    <n v="3.6976"/>
  </r>
  <r>
    <n v="183"/>
    <x v="182"/>
    <n v="212879.87710000001"/>
    <n v="3.6189"/>
    <n v="169859.79079999999"/>
    <n v="3.8294999999999999"/>
    <n v="146983.4369"/>
    <n v="3.5549065046246038"/>
    <n v="11531.4753"/>
    <n v="5.4752999999999998"/>
    <n v="7728.5131000000001"/>
    <n v="5.8661000000000003"/>
    <n v="3616.3654000000001"/>
    <n v="5.3891"/>
    <n v="17758.997599999999"/>
    <n v="3.8687999999999998"/>
  </r>
  <r>
    <n v="184"/>
    <x v="183"/>
    <n v="216197.14129999999"/>
    <n v="3.6440999999999999"/>
    <n v="167521.13380000001"/>
    <n v="3.887"/>
    <n v="141652.1428"/>
    <n v="3.6858330280861797"/>
    <n v="15900.5815"/>
    <n v="5.1173000000000002"/>
    <n v="6261.4196000000002"/>
    <n v="4.3597999999999999"/>
    <n v="3706.9899"/>
    <n v="5.4977"/>
    <n v="20643.141500000002"/>
    <n v="3.7395"/>
  </r>
  <r>
    <n v="185"/>
    <x v="184"/>
    <n v="233027.62349999999"/>
    <n v="3.7595000000000001"/>
    <n v="188676.53649999999"/>
    <n v="4.0065"/>
    <n v="161213.59080000001"/>
    <n v="3.8168818854568922"/>
    <n v="18930.232899999999"/>
    <n v="5.0400999999999998"/>
    <n v="5246.3428000000004"/>
    <n v="5.3079999999999998"/>
    <n v="3286.37"/>
    <n v="5.2767999999999997"/>
    <n v="17502.468700000001"/>
    <n v="3.6400999999999999"/>
  </r>
  <r>
    <n v="186"/>
    <x v="185"/>
    <n v="208752.9369"/>
    <n v="3.8254000000000001"/>
    <n v="166901.03090000001"/>
    <n v="4.0536000000000003"/>
    <n v="146643.48550000001"/>
    <n v="3.9491818055961314"/>
    <n v="12814.9791"/>
    <n v="4.7434000000000003"/>
    <n v="4313.3653000000004"/>
    <n v="4.0594000000000001"/>
    <n v="3129.2011000000002"/>
    <n v="6.1112000000000002"/>
    <n v="17345.745200000001"/>
    <n v="3.7660999999999998"/>
  </r>
  <r>
    <n v="187"/>
    <x v="186"/>
    <n v="216470.9374"/>
    <n v="3.8062"/>
    <n v="173691.4241"/>
    <n v="4.0316999999999998"/>
    <n v="153022.8266"/>
    <n v="3.8422097982551584"/>
    <n v="10809.2801"/>
    <n v="5.8630000000000004"/>
    <n v="6897.9651000000003"/>
    <n v="4.9313000000000002"/>
    <n v="2961.3523"/>
    <n v="5.0419999999999998"/>
    <n v="16080.3891"/>
    <n v="3.9001999999999999"/>
  </r>
  <r>
    <n v="188"/>
    <x v="187"/>
    <n v="238780.9884"/>
    <n v="3.9504999999999999"/>
    <n v="194687.1778"/>
    <n v="4.2247000000000003"/>
    <n v="172340.08970000001"/>
    <n v="4.1077440137032717"/>
    <n v="14429.149600000001"/>
    <n v="5.2035999999999998"/>
    <n v="4931.9057000000003"/>
    <n v="4.7220000000000004"/>
    <n v="2986.0329000000002"/>
    <n v="5.4276"/>
    <n v="18025.088500000002"/>
    <n v="3.8062"/>
  </r>
  <r>
    <n v="189"/>
    <x v="188"/>
    <n v="232626.76939999999"/>
    <n v="4.4138999999999999"/>
    <n v="185586.47169999999"/>
    <n v="4.8312999999999997"/>
    <n v="156444.20509999999"/>
    <n v="4.6744962858710579"/>
    <n v="12191.369699999999"/>
    <n v="6.0697999999999999"/>
    <n v="14311.0237"/>
    <n v="5.4352"/>
    <n v="2639.8733000000002"/>
    <n v="5.1292999999999997"/>
    <n v="18540.740699999998"/>
    <n v="3.6141999999999999"/>
  </r>
  <r>
    <n v="190"/>
    <x v="189"/>
    <n v="236070.416"/>
    <n v="4.5819999999999999"/>
    <n v="190032.2653"/>
    <n v="5.0423999999999998"/>
    <n v="169530.35769999999"/>
    <n v="5.0247167320110604"/>
    <n v="12203.1844"/>
    <n v="5.1191000000000004"/>
    <n v="3866.7307999999998"/>
    <n v="4.9516"/>
    <n v="4431.9922999999999"/>
    <n v="5.5856000000000003"/>
    <n v="18157.866900000001"/>
    <n v="3.5897999999999999"/>
  </r>
  <r>
    <n v="191"/>
    <x v="190"/>
    <n v="222306.89749999999"/>
    <n v="4.6452"/>
    <n v="177677.72500000001"/>
    <n v="5.0858999999999996"/>
    <n v="160757.76189999998"/>
    <n v="5.0683287404987194"/>
    <n v="9138.1463000000003"/>
    <n v="5.9"/>
    <n v="3974.4292"/>
    <n v="5.6792999999999996"/>
    <n v="3807.3876"/>
    <n v="3.2530000000000001"/>
    <n v="19414.070800000001"/>
    <n v="3.9169999999999998"/>
  </r>
  <r>
    <n v="192"/>
    <x v="191"/>
    <n v="259078.74960000001"/>
    <n v="4.7561999999999998"/>
    <n v="211371.5007"/>
    <n v="5.1677"/>
    <n v="191888.20050000001"/>
    <n v="5.0747154067712987"/>
    <n v="12954.170899999999"/>
    <n v="6.5983000000000001"/>
    <n v="3608.9225000000001"/>
    <n v="4.7742000000000004"/>
    <n v="2920.2067999999999"/>
    <n v="5.4180000000000001"/>
    <n v="19585.212200000002"/>
    <n v="3.8224"/>
  </r>
  <r>
    <n v="193"/>
    <x v="192"/>
    <n v="310525.79259999999"/>
    <n v="4.5206999999999997"/>
    <n v="249425.21599999999"/>
    <n v="4.8503999999999996"/>
    <n v="215862.58110000001"/>
    <n v="4.6709876264240133"/>
    <n v="20885.950700000001"/>
    <n v="6.3372999999999999"/>
    <n v="6716.0109000000002"/>
    <n v="6.5064000000000002"/>
    <n v="5960.6733000000004"/>
    <n v="4.2698999999999998"/>
    <n v="22156.817599999998"/>
    <n v="3.9527000000000001"/>
  </r>
  <r>
    <n v="194"/>
    <x v="193"/>
    <n v="280958.1704"/>
    <n v="4.8006000000000002"/>
    <n v="237044.31580000001"/>
    <n v="5.0533999999999999"/>
    <n v="220618.39529999997"/>
    <n v="4.9505144336591052"/>
    <n v="9898.7721999999994"/>
    <n v="6.1756000000000002"/>
    <n v="4766.7894999999999"/>
    <n v="6.7146999999999997"/>
    <n v="1760.3589999999999"/>
    <n v="7.1356999999999999"/>
    <n v="18883.2978"/>
    <n v="4.4897"/>
  </r>
  <r>
    <n v="195"/>
    <x v="194"/>
    <n v="272819.68060000002"/>
    <n v="5.5297999999999998"/>
    <n v="229249.89449999999"/>
    <n v="5.8658999999999999"/>
    <n v="214872.8658"/>
    <n v="5.8301001490379898"/>
    <n v="8225.2795999999998"/>
    <n v="6.3678999999999997"/>
    <n v="4559.1417000000001"/>
    <n v="6.6449999999999996"/>
    <n v="1592.6074000000001"/>
    <n v="5.8818000000000001"/>
    <n v="2927.0435000000002"/>
    <n v="6.5449999999999999"/>
  </r>
  <r>
    <n v="196"/>
    <x v="195"/>
    <n v="262495.87390000001"/>
    <n v="6.0812999999999997"/>
    <n v="239453.4198"/>
    <n v="6.3781999999999996"/>
    <n v="233879.34880000001"/>
    <n v="6.3786190821817446"/>
    <n v="3970.7422999999999"/>
    <n v="6.4046000000000003"/>
    <n v="1317.8009"/>
    <n v="6.4150999999999998"/>
    <n v="285.52789999999999"/>
    <n v="5.4880000000000004"/>
    <n v="286.71080000000001"/>
    <n v="4.8452999999999999"/>
  </r>
  <r>
    <n v="197"/>
    <x v="196"/>
    <n v="260505.07550000001"/>
    <n v="4.8403"/>
    <n v="236775.57029999999"/>
    <n v="4.9985999999999997"/>
    <n v="225139.29430000001"/>
    <n v="4.9346713682058931"/>
    <n v="7707.8969999999999"/>
    <n v="6.2969999999999997"/>
    <n v="2571.4962999999998"/>
    <n v="5.5298999999999996"/>
    <n v="1356.8827000000001"/>
    <n v="7.22"/>
    <n v="491.4042"/>
    <n v="6.1939000000000002"/>
  </r>
  <r>
    <n v="198"/>
    <x v="197"/>
    <n v="236756.89350000001"/>
    <n v="4.2821999999999996"/>
    <n v="209016.21909999999"/>
    <n v="4.4241000000000001"/>
    <n v="198586.50169999999"/>
    <n v="4.3246862320028479"/>
    <n v="7317.0982999999997"/>
    <n v="6.4981999999999998"/>
    <n v="2213.5659000000001"/>
    <n v="5.8262999999999998"/>
    <n v="899.05319999999995"/>
    <n v="6.0583"/>
    <n v="449.13659999999999"/>
    <n v="5.3392999999999997"/>
  </r>
  <r>
    <n v="199"/>
    <x v="198"/>
    <n v="282154.71870000003"/>
    <n v="6.9663000000000004"/>
    <n v="250213.92800000001"/>
    <n v="7.3718000000000004"/>
    <n v="232121.23450000002"/>
    <n v="7.2909870641869254"/>
    <n v="11998.976199999999"/>
    <n v="9.5912000000000006"/>
    <n v="5405.4791999999998"/>
    <n v="5.6923000000000004"/>
    <n v="688.23810000000003"/>
    <n v="9.1059999999999999"/>
    <n v="1156.1931"/>
    <n v="4.2897999999999996"/>
  </r>
  <r>
    <n v="200"/>
    <x v="199"/>
    <n v="258876.42370000001"/>
    <n v="7.4297000000000004"/>
    <n v="234525.9167"/>
    <n v="7.7371999999999996"/>
    <n v="219911.05609999999"/>
    <n v="7.6831923768623112"/>
    <n v="10184.7734"/>
    <n v="9.2357999999999993"/>
    <n v="3196.1190000000001"/>
    <n v="5.9513999999999996"/>
    <n v="1233.9682"/>
    <n v="9.6112000000000002"/>
    <n v="475.72710000000001"/>
    <n v="5.0210999999999997"/>
  </r>
  <r>
    <n v="201"/>
    <x v="200"/>
    <n v="285597.77389999997"/>
    <n v="7.6196000000000002"/>
    <n v="253961.4993"/>
    <n v="7.9893000000000001"/>
    <n v="234287.571"/>
    <n v="7.9743183576417733"/>
    <n v="13723.001700000001"/>
    <n v="8.6302000000000003"/>
    <n v="4638.6017000000002"/>
    <n v="6.9073000000000002"/>
    <n v="1312.3249000000001"/>
    <n v="7.7897999999999996"/>
    <n v="795.34429999999998"/>
    <n v="3.4984000000000002"/>
  </r>
  <r>
    <n v="202"/>
    <x v="201"/>
    <n v="328782.755"/>
    <n v="8.6793999999999993"/>
    <n v="290601.40049999999"/>
    <n v="9.1312999999999995"/>
    <n v="261488.93109999999"/>
    <n v="9.1324091482442871"/>
    <n v="20232.5203"/>
    <n v="10.8993"/>
    <n v="6086.3360000000002"/>
    <n v="5.6405000000000003"/>
    <n v="2793.6131"/>
    <n v="3.8296000000000001"/>
    <n v="407.82589999999999"/>
    <n v="3.0434999999999999"/>
  </r>
  <r>
    <n v="203"/>
    <x v="202"/>
    <n v="302835.25799999997"/>
    <n v="8.8080999999999996"/>
    <n v="264051.48790000001"/>
    <n v="9.1910000000000007"/>
    <n v="245790.5747"/>
    <n v="9.0295677716204565"/>
    <n v="13258.5468"/>
    <n v="11.5017"/>
    <n v="2929.5585000000001"/>
    <n v="9.5215999999999994"/>
    <n v="2072.8078999999998"/>
    <n v="13.087400000000001"/>
    <n v="683.78840000000002"/>
    <n v="14.499700000000001"/>
  </r>
  <r>
    <n v="204"/>
    <x v="203"/>
    <n v="356198.5883"/>
    <n v="9.4728999999999992"/>
    <n v="316045.39500000002"/>
    <n v="9.8657000000000004"/>
    <n v="295487.36700000003"/>
    <n v="9.7791230393701412"/>
    <n v="14408.382600000001"/>
    <n v="11.944699999999999"/>
    <n v="5170.1482999999998"/>
    <n v="9.6866000000000003"/>
    <n v="979.49710000000005"/>
    <n v="6.3495999999999997"/>
    <n v="853.625"/>
    <n v="8.4641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 таблиця1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1">
  <location ref="A3:B295" firstHeaderRow="1" firstDataRow="1" firstDataCol="1"/>
  <pivotFields count="18">
    <pivotField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/>
    <pivotField showAll="0"/>
    <pivotField showAll="0" defaultSubtotal="0"/>
    <pivotField showAll="0"/>
    <pivotField showAll="0" defaultSubtotal="0"/>
    <pivotField showAll="0"/>
    <pivotField showAll="0" defaultSubtotal="0"/>
    <pivotField showAll="0"/>
    <pivotField showAll="0" defaultSubtotal="0"/>
    <pivotField showAll="0"/>
    <pivotField showAll="0" defaultSubtotal="0"/>
    <pivotField showAl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3">
    <field x="17"/>
    <field x="16"/>
    <field x="1"/>
  </rowFields>
  <rowItems count="292">
    <i>
      <x v="1"/>
    </i>
    <i r="1">
      <x v="4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t="grand">
      <x/>
    </i>
  </rowItems>
  <colItems count="1">
    <i/>
  </colItems>
  <dataFields count="1">
    <dataField name="Сума з Кредити всього" fld="2" baseField="17" baseItem="4" numFmtId="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Зведена таблиця2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1">
  <location ref="A3:E22" firstHeaderRow="0" firstDataRow="1" firstDataCol="1"/>
  <pivotFields count="18">
    <pivotField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 defaultSubtotal="0"/>
    <pivotField showAll="0"/>
    <pivotField showAll="0" defaultSubtotal="0"/>
    <pivotField showAll="0"/>
    <pivotField showAll="0" defaultSubtotal="0"/>
    <pivotField showAll="0"/>
    <pivotField dataField="1" showAll="0" defaultSubtotal="0"/>
    <pivotField showAll="0"/>
    <pivotField dataField="1" showAll="0" defaultSubtotal="0"/>
    <pivotField showAll="0"/>
    <pivotField dataField="1" showAll="0" defaultSubtotal="0"/>
    <pivotField showAl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</items>
    </pivotField>
  </pivotFields>
  <rowFields count="3">
    <field x="17"/>
    <field x="16"/>
    <field x="1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ереднє з Ставка загалом" fld="3" subtotal="average" baseField="0" baseItem="0" numFmtId="2"/>
    <dataField name="Середнє з Ставка від 3 до 6 місяців" fld="11" subtotal="average" baseField="0" baseItem="0" numFmtId="2"/>
    <dataField name="Середнє з Ставка від 1 до 3 місяців" fld="9" subtotal="average" baseField="0" baseItem="0" numFmtId="2"/>
    <dataField name="Середнє з Ставка від 6 до 12 місяців" fld="13" subtotal="average" baseField="0" baseItem="0" numFmtId="2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Зведена таблиця2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2">
  <location ref="A3:F8" firstHeaderRow="0" firstDataRow="1" firstDataCol="1"/>
  <pivotFields count="18"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 defaultSubtotal="0"/>
    <pivotField showAll="0"/>
    <pivotField showAll="0" defaultSubtotal="0"/>
    <pivotField showAll="0"/>
    <pivotField dataField="1" showAll="0" defaultSubtotal="0"/>
    <pivotField showAll="0"/>
    <pivotField dataField="1" showAll="0" defaultSubtotal="0"/>
    <pivotField showAll="0"/>
    <pivotField dataField="1" showAll="0" defaultSubtotal="0"/>
    <pivotField showAll="0"/>
    <pivotField dataField="1" showAll="0" defaultSubtotal="0"/>
    <pivotField showAl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</items>
    </pivotField>
  </pivotFields>
  <rowFields count="2">
    <field x="16"/>
    <field x="17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ереднє з Ставка загалом" fld="3" subtotal="average" baseField="0" baseItem="0" numFmtId="2"/>
    <dataField name="Середнє з Ставка від 1 до 3 місяців" fld="9" subtotal="average" baseField="0" baseItem="0" numFmtId="2"/>
    <dataField name="Середнє з Ставка від 3 до 6 місяців" fld="11" subtotal="average" baseField="0" baseItem="0" numFmtId="2"/>
    <dataField name="Середнє з Ставка від 6 до 12 місяців" fld="13" subtotal="average" baseField="0" baseItem="0" numFmtId="2"/>
    <dataField name="Середнє з Ставка до 1 місяця" fld="7" subtotal="average" baseField="0" baseItem="0" numFmtId="2"/>
  </dataFields>
  <formats count="6">
    <format dxfId="21">
      <pivotArea collapsedLevelsAreSubtotals="1" fieldPosition="0">
        <references count="1">
          <reference field="17" count="1">
            <x v="5"/>
          </reference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outline="0" fieldPosition="0">
        <references count="1">
          <reference field="4294967294" count="1">
            <x v="2"/>
          </reference>
        </references>
      </pivotArea>
    </format>
    <format dxfId="17">
      <pivotArea outline="0" fieldPosition="0">
        <references count="1">
          <reference field="4294967294" count="1">
            <x v="3"/>
          </reference>
        </references>
      </pivotArea>
    </format>
    <format dxfId="0">
      <pivotArea outline="0" fieldPosition="0">
        <references count="1">
          <reference field="4294967294" count="1"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Зведена таблиця2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2">
  <location ref="A3:F16" firstHeaderRow="0" firstDataRow="1" firstDataCol="1"/>
  <pivotFields count="18">
    <pivotField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 defaultSubtotal="0"/>
    <pivotField showAll="0"/>
    <pivotField showAll="0" defaultSubtotal="0"/>
    <pivotField showAll="0"/>
    <pivotField dataField="1" showAll="0" defaultSubtotal="0"/>
    <pivotField showAll="0"/>
    <pivotField dataField="1" showAll="0" defaultSubtotal="0"/>
    <pivotField showAll="0"/>
    <pivotField dataField="1" showAll="0" defaultSubtotal="0"/>
    <pivotField showAll="0"/>
    <pivotField dataField="1" showAll="0" defaultSubtotal="0"/>
    <pivotField showAl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ереднє з Ставка загалом" fld="3" subtotal="average" baseField="0" baseItem="0" numFmtId="2"/>
    <dataField name="Середнє з Ставка від 1 до 3 місяців" fld="9" subtotal="average" baseField="0" baseItem="0" numFmtId="2"/>
    <dataField name="Середнє з Ставка від 3 до 6 місяців" fld="11" subtotal="average" baseField="0" baseItem="0" numFmtId="2"/>
    <dataField name="Середнє з Ставка від 6 до 12 місяців" fld="13" subtotal="average" baseField="0" baseItem="0" numFmtId="2"/>
    <dataField name="Середнє з Ставка до 1 місяця" fld="7" subtotal="average" baseField="0" baseItem="0" numFmtId="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я1" displayName="Таблиця1" ref="A1:P206" totalsRowCount="1" headerRowDxfId="42" dataDxfId="40" headerRowBorderDxfId="41" tableBorderDxfId="39" totalsRowBorderDxfId="38">
  <autoFilter ref="A1:P205"/>
  <tableColumns count="16">
    <tableColumn id="1" name="№" totalsRowLabel="Підсумок" dataDxfId="37" totalsRowDxfId="16"/>
    <tableColumn id="2" name="Дата" dataDxfId="36" totalsRowDxfId="15"/>
    <tableColumn id="3" name="Депозити всього" totalsRowFunction="sum" dataDxfId="35" totalsRowDxfId="14"/>
    <tableColumn id="4" name="Ставка загалом" dataDxfId="34" totalsRowDxfId="13"/>
    <tableColumn id="5" name="до 1 року" totalsRowFunction="sum" dataDxfId="33" totalsRowDxfId="12"/>
    <tableColumn id="6" name="Ставка до 1 року" dataDxfId="32" totalsRowDxfId="11"/>
    <tableColumn id="7" name="до 1 місяця" totalsRowFunction="sum" dataDxfId="31" totalsRowDxfId="10"/>
    <tableColumn id="8" name="Ставка до 1 місяця" dataDxfId="30" totalsRowDxfId="9"/>
    <tableColumn id="9" name="Від 1 до 3" totalsRowFunction="sum" dataDxfId="29" totalsRowDxfId="8"/>
    <tableColumn id="10" name="Ставка від 1 до 3 місяців" dataDxfId="28" totalsRowDxfId="7"/>
    <tableColumn id="11" name="Від 3 до 6" totalsRowFunction="sum" dataDxfId="27" totalsRowDxfId="6"/>
    <tableColumn id="12" name="Ставка від 3 до 6 місяців" dataDxfId="26" totalsRowDxfId="5"/>
    <tableColumn id="13" name="Від 6 до 12" totalsRowFunction="sum" dataDxfId="25" totalsRowDxfId="4"/>
    <tableColumn id="14" name="Ставка від 6 до 12 місяців" dataDxfId="24" totalsRowDxfId="3"/>
    <tableColumn id="15" name="від 1 до 2" totalsRowFunction="sum" dataDxfId="23" totalsRowDxfId="2"/>
    <tableColumn id="16" name="Ставка від 1 до 2 років" totalsRowFunction="sum" dataDxfId="2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S206"/>
  <sheetViews>
    <sheetView showGridLines="0" zoomScaleNormal="100" zoomScaleSheetLayoutView="100" workbookViewId="0">
      <pane ySplit="1" topLeftCell="A197" activePane="bottomLeft" state="frozen"/>
      <selection pane="bottomLeft" activeCell="C2" sqref="C2"/>
    </sheetView>
  </sheetViews>
  <sheetFormatPr defaultColWidth="9.109375" defaultRowHeight="13.2" x14ac:dyDescent="0.25"/>
  <cols>
    <col min="1" max="1" width="5.109375" style="1" customWidth="1"/>
    <col min="2" max="2" width="11" style="2" bestFit="1" customWidth="1"/>
    <col min="3" max="3" width="18.6640625" style="1" customWidth="1"/>
    <col min="4" max="4" width="10.21875" style="1" customWidth="1"/>
    <col min="5" max="5" width="12" style="1" customWidth="1"/>
    <col min="6" max="6" width="11.33203125" style="1" customWidth="1"/>
    <col min="7" max="7" width="14.21875" style="1" customWidth="1"/>
    <col min="8" max="8" width="11.33203125" style="1" customWidth="1"/>
    <col min="9" max="9" width="12.109375" style="1" customWidth="1"/>
    <col min="10" max="10" width="11.33203125" style="1" customWidth="1"/>
    <col min="11" max="11" width="12.109375" style="1" customWidth="1"/>
    <col min="12" max="12" width="11.33203125" style="1" customWidth="1"/>
    <col min="13" max="13" width="13.21875" style="1" customWidth="1"/>
    <col min="14" max="14" width="11.33203125" style="1" customWidth="1"/>
    <col min="15" max="15" width="11.88671875" style="1" customWidth="1"/>
    <col min="16" max="16" width="11.33203125" style="1" customWidth="1"/>
    <col min="17" max="16384" width="9.109375" style="1"/>
  </cols>
  <sheetData>
    <row r="1" spans="1:19" s="3" customFormat="1" ht="15.6" x14ac:dyDescent="0.25">
      <c r="A1" s="17" t="s">
        <v>2</v>
      </c>
      <c r="B1" s="18" t="s">
        <v>3</v>
      </c>
      <c r="C1" s="19" t="s">
        <v>77</v>
      </c>
      <c r="D1" s="19" t="s">
        <v>63</v>
      </c>
      <c r="E1" s="19" t="s">
        <v>0</v>
      </c>
      <c r="F1" s="19" t="s">
        <v>64</v>
      </c>
      <c r="G1" s="19" t="s">
        <v>1</v>
      </c>
      <c r="H1" s="19" t="s">
        <v>65</v>
      </c>
      <c r="I1" s="19" t="s">
        <v>4</v>
      </c>
      <c r="J1" s="19" t="s">
        <v>66</v>
      </c>
      <c r="K1" s="19" t="s">
        <v>5</v>
      </c>
      <c r="L1" s="19" t="s">
        <v>67</v>
      </c>
      <c r="M1" s="19" t="s">
        <v>6</v>
      </c>
      <c r="N1" s="19" t="s">
        <v>68</v>
      </c>
      <c r="O1" s="19" t="s">
        <v>7</v>
      </c>
      <c r="P1" s="20" t="s">
        <v>69</v>
      </c>
    </row>
    <row r="2" spans="1:19" s="4" customFormat="1" ht="15.6" x14ac:dyDescent="0.3">
      <c r="A2" s="14">
        <v>1</v>
      </c>
      <c r="B2" s="6">
        <v>38717</v>
      </c>
      <c r="C2" s="7">
        <v>86900.728099999993</v>
      </c>
      <c r="D2" s="8">
        <v>8.2233999999999998</v>
      </c>
      <c r="E2" s="7">
        <v>44956.499400000001</v>
      </c>
      <c r="F2" s="8">
        <v>7.9028</v>
      </c>
      <c r="G2" s="7">
        <v>16654.332600000002</v>
      </c>
      <c r="H2" s="8">
        <v>5.1237000000000004</v>
      </c>
      <c r="I2" s="7">
        <v>9587.0804000000007</v>
      </c>
      <c r="J2" s="8">
        <v>8.4792000000000005</v>
      </c>
      <c r="K2" s="7">
        <v>5032.1831000000002</v>
      </c>
      <c r="L2" s="8">
        <v>10.771599999999999</v>
      </c>
      <c r="M2" s="7">
        <v>13682.9033</v>
      </c>
      <c r="N2" s="8">
        <v>9.8265999999999991</v>
      </c>
      <c r="O2" s="7">
        <v>41944.2287</v>
      </c>
      <c r="P2" s="15">
        <v>8.5670000000000002</v>
      </c>
    </row>
    <row r="3" spans="1:19" s="4" customFormat="1" ht="15.6" x14ac:dyDescent="0.3">
      <c r="A3" s="14">
        <v>2</v>
      </c>
      <c r="B3" s="6">
        <v>38748</v>
      </c>
      <c r="C3" s="7">
        <v>7170.1913000000004</v>
      </c>
      <c r="D3" s="8">
        <v>6.8884999999999996</v>
      </c>
      <c r="E3" s="7">
        <v>3815.1266000000001</v>
      </c>
      <c r="F3" s="8">
        <v>5.9797000000000002</v>
      </c>
      <c r="G3" s="7">
        <v>1922.1639</v>
      </c>
      <c r="H3" s="8">
        <v>3.0222000000000002</v>
      </c>
      <c r="I3" s="7">
        <v>885.98030000000006</v>
      </c>
      <c r="J3" s="8">
        <v>7.7704000000000004</v>
      </c>
      <c r="K3" s="7">
        <v>299.3</v>
      </c>
      <c r="L3" s="8">
        <v>9.8488000000000007</v>
      </c>
      <c r="M3" s="7">
        <v>707.68240000000003</v>
      </c>
      <c r="N3" s="8">
        <v>10.1342</v>
      </c>
      <c r="O3" s="7">
        <v>3355.0646999999999</v>
      </c>
      <c r="P3" s="15">
        <v>7.9218999999999999</v>
      </c>
    </row>
    <row r="4" spans="1:19" s="4" customFormat="1" ht="15.6" x14ac:dyDescent="0.3">
      <c r="A4" s="14">
        <v>3</v>
      </c>
      <c r="B4" s="6">
        <v>38776</v>
      </c>
      <c r="C4" s="7">
        <v>7469.9462000000003</v>
      </c>
      <c r="D4" s="8">
        <v>6.7832999999999997</v>
      </c>
      <c r="E4" s="7">
        <v>4327.9978000000001</v>
      </c>
      <c r="F4" s="8">
        <v>6.0824999999999996</v>
      </c>
      <c r="G4" s="7">
        <v>2085.9263999999998</v>
      </c>
      <c r="H4" s="8">
        <v>4.0206999999999997</v>
      </c>
      <c r="I4" s="7">
        <v>1058.1865</v>
      </c>
      <c r="J4" s="8">
        <v>6.8441999999999998</v>
      </c>
      <c r="K4" s="7">
        <v>244.41650000000001</v>
      </c>
      <c r="L4" s="8">
        <v>11.319100000000001</v>
      </c>
      <c r="M4" s="7">
        <v>939.46839999999997</v>
      </c>
      <c r="N4" s="8">
        <v>8.4398</v>
      </c>
      <c r="O4" s="7">
        <v>3141.9484000000002</v>
      </c>
      <c r="P4" s="15">
        <v>7.7488000000000001</v>
      </c>
    </row>
    <row r="5" spans="1:19" s="4" customFormat="1" ht="15.6" x14ac:dyDescent="0.3">
      <c r="A5" s="14">
        <v>4</v>
      </c>
      <c r="B5" s="6">
        <v>38807</v>
      </c>
      <c r="C5" s="7">
        <v>11315.035</v>
      </c>
      <c r="D5" s="8">
        <v>7.2234999999999996</v>
      </c>
      <c r="E5" s="7">
        <v>6530.8208000000004</v>
      </c>
      <c r="F5" s="8">
        <v>6.6642999999999999</v>
      </c>
      <c r="G5" s="7">
        <v>3353.1224999999999</v>
      </c>
      <c r="H5" s="8">
        <v>4.1143999999999998</v>
      </c>
      <c r="I5" s="7">
        <v>1453.0454999999999</v>
      </c>
      <c r="J5" s="8">
        <v>9.9434000000000005</v>
      </c>
      <c r="K5" s="7">
        <v>401.65989999999999</v>
      </c>
      <c r="L5" s="8">
        <v>9.6052999999999997</v>
      </c>
      <c r="M5" s="7">
        <v>1322.9929</v>
      </c>
      <c r="N5" s="8">
        <v>8.6326000000000001</v>
      </c>
      <c r="O5" s="7">
        <v>4784.2141000000001</v>
      </c>
      <c r="P5" s="15">
        <v>7.9869000000000003</v>
      </c>
    </row>
    <row r="6" spans="1:19" s="4" customFormat="1" ht="15.6" x14ac:dyDescent="0.3">
      <c r="A6" s="14">
        <v>5</v>
      </c>
      <c r="B6" s="6">
        <v>38837</v>
      </c>
      <c r="C6" s="7">
        <v>14131.731400000001</v>
      </c>
      <c r="D6" s="8">
        <v>6.8959999999999999</v>
      </c>
      <c r="E6" s="7">
        <v>9881.7924999999996</v>
      </c>
      <c r="F6" s="8">
        <v>6.5814000000000004</v>
      </c>
      <c r="G6" s="7">
        <v>5475.9328999999998</v>
      </c>
      <c r="H6" s="8">
        <v>4.5442999999999998</v>
      </c>
      <c r="I6" s="7">
        <v>2700.7139999999999</v>
      </c>
      <c r="J6" s="8">
        <v>8.5966000000000005</v>
      </c>
      <c r="K6" s="7">
        <v>250.0849</v>
      </c>
      <c r="L6" s="8">
        <v>9.5845000000000002</v>
      </c>
      <c r="M6" s="7">
        <v>1455.0607</v>
      </c>
      <c r="N6" s="8">
        <v>9.9913000000000007</v>
      </c>
      <c r="O6" s="7">
        <v>4249.9390000000003</v>
      </c>
      <c r="P6" s="15">
        <v>7.6273999999999997</v>
      </c>
    </row>
    <row r="7" spans="1:19" s="4" customFormat="1" ht="15.6" x14ac:dyDescent="0.3">
      <c r="A7" s="14">
        <v>6</v>
      </c>
      <c r="B7" s="6">
        <v>38868</v>
      </c>
      <c r="C7" s="7">
        <v>16384.438300000002</v>
      </c>
      <c r="D7" s="8">
        <v>6.2215999999999996</v>
      </c>
      <c r="E7" s="7">
        <v>12159.5931</v>
      </c>
      <c r="F7" s="8">
        <v>5.5515999999999996</v>
      </c>
      <c r="G7" s="7">
        <v>9541.6972999999998</v>
      </c>
      <c r="H7" s="8">
        <v>4.4785000000000004</v>
      </c>
      <c r="I7" s="7">
        <v>1062.4474</v>
      </c>
      <c r="J7" s="8">
        <v>9.4733999999999998</v>
      </c>
      <c r="K7" s="7">
        <v>547.58150000000001</v>
      </c>
      <c r="L7" s="8">
        <v>10.5001</v>
      </c>
      <c r="M7" s="7">
        <v>1007.867</v>
      </c>
      <c r="N7" s="8">
        <v>8.8880999999999997</v>
      </c>
      <c r="O7" s="7">
        <v>4224.8451999999997</v>
      </c>
      <c r="P7" s="15">
        <v>8.1501999999999999</v>
      </c>
    </row>
    <row r="8" spans="1:19" s="4" customFormat="1" ht="15.6" x14ac:dyDescent="0.3">
      <c r="A8" s="14">
        <v>7</v>
      </c>
      <c r="B8" s="6">
        <v>38898</v>
      </c>
      <c r="C8" s="7">
        <v>20336.772000000001</v>
      </c>
      <c r="D8" s="8">
        <v>5.98</v>
      </c>
      <c r="E8" s="7">
        <v>15594.157300000001</v>
      </c>
      <c r="F8" s="8">
        <v>5.2826000000000004</v>
      </c>
      <c r="G8" s="7">
        <v>12733.782800000001</v>
      </c>
      <c r="H8" s="8">
        <v>4.4143999999999997</v>
      </c>
      <c r="I8" s="7">
        <v>966.65099999999995</v>
      </c>
      <c r="J8" s="8">
        <v>8.4023000000000003</v>
      </c>
      <c r="K8" s="7">
        <v>434.75009999999997</v>
      </c>
      <c r="L8" s="8">
        <v>9.5681999999999992</v>
      </c>
      <c r="M8" s="7">
        <v>1458.9734000000001</v>
      </c>
      <c r="N8" s="8">
        <v>9.5162999999999993</v>
      </c>
      <c r="O8" s="7">
        <v>4742.6147000000001</v>
      </c>
      <c r="P8" s="15">
        <v>8.2730999999999995</v>
      </c>
      <c r="R8" s="5"/>
      <c r="S8" s="5"/>
    </row>
    <row r="9" spans="1:19" s="4" customFormat="1" ht="15.6" x14ac:dyDescent="0.3">
      <c r="A9" s="14">
        <v>8</v>
      </c>
      <c r="B9" s="6">
        <v>38929</v>
      </c>
      <c r="C9" s="7">
        <v>17616.053800000002</v>
      </c>
      <c r="D9" s="8">
        <v>5.7972999999999999</v>
      </c>
      <c r="E9" s="7">
        <v>13319.6813</v>
      </c>
      <c r="F9" s="8">
        <v>5.1909000000000001</v>
      </c>
      <c r="G9" s="7">
        <v>8433.1720999999998</v>
      </c>
      <c r="H9" s="8">
        <v>3.9401000000000002</v>
      </c>
      <c r="I9" s="7">
        <v>2353.6498999999999</v>
      </c>
      <c r="J9" s="8">
        <v>6.6658999999999997</v>
      </c>
      <c r="K9" s="7">
        <v>718.79459999999995</v>
      </c>
      <c r="L9" s="8">
        <v>7.7573999999999996</v>
      </c>
      <c r="M9" s="7">
        <v>1814.0646999999999</v>
      </c>
      <c r="N9" s="8">
        <v>8.0748999999999995</v>
      </c>
      <c r="O9" s="7">
        <v>4296.3725000000004</v>
      </c>
      <c r="P9" s="15">
        <v>7.6773999999999996</v>
      </c>
    </row>
    <row r="10" spans="1:19" s="4" customFormat="1" ht="15.6" x14ac:dyDescent="0.3">
      <c r="A10" s="14">
        <v>9</v>
      </c>
      <c r="B10" s="6">
        <v>38960</v>
      </c>
      <c r="C10" s="7">
        <v>17030.598399999999</v>
      </c>
      <c r="D10" s="8">
        <v>6.0237999999999996</v>
      </c>
      <c r="E10" s="7">
        <v>12464.7963</v>
      </c>
      <c r="F10" s="8">
        <v>5.3441999999999998</v>
      </c>
      <c r="G10" s="7">
        <v>7397.1217999999999</v>
      </c>
      <c r="H10" s="8">
        <v>3.9504000000000001</v>
      </c>
      <c r="I10" s="7">
        <v>2789.0327000000002</v>
      </c>
      <c r="J10" s="8">
        <v>6.8597999999999999</v>
      </c>
      <c r="K10" s="7">
        <v>611.60969999999998</v>
      </c>
      <c r="L10" s="8">
        <v>8.8496000000000006</v>
      </c>
      <c r="M10" s="7">
        <v>1667.0322000000001</v>
      </c>
      <c r="N10" s="8">
        <v>7.7069000000000001</v>
      </c>
      <c r="O10" s="7">
        <v>4565.8020999999999</v>
      </c>
      <c r="P10" s="15">
        <v>7.8792</v>
      </c>
    </row>
    <row r="11" spans="1:19" s="4" customFormat="1" ht="15.6" x14ac:dyDescent="0.3">
      <c r="A11" s="14">
        <v>10</v>
      </c>
      <c r="B11" s="6">
        <v>38990</v>
      </c>
      <c r="C11" s="7">
        <v>21320.447700000001</v>
      </c>
      <c r="D11" s="8">
        <v>6.0885999999999996</v>
      </c>
      <c r="E11" s="7">
        <v>15147.128699999999</v>
      </c>
      <c r="F11" s="8">
        <v>5.3068999999999997</v>
      </c>
      <c r="G11" s="7">
        <v>11527.5666</v>
      </c>
      <c r="H11" s="8">
        <v>4.3442999999999996</v>
      </c>
      <c r="I11" s="7">
        <v>1547.4158</v>
      </c>
      <c r="J11" s="8">
        <v>7.7925000000000004</v>
      </c>
      <c r="K11" s="7">
        <v>423.08019999999999</v>
      </c>
      <c r="L11" s="8">
        <v>10.5794</v>
      </c>
      <c r="M11" s="7">
        <v>1649.0662</v>
      </c>
      <c r="N11" s="8">
        <v>8.3506999999999998</v>
      </c>
      <c r="O11" s="7">
        <v>6173.3190000000004</v>
      </c>
      <c r="P11" s="15">
        <v>8.0066000000000006</v>
      </c>
    </row>
    <row r="12" spans="1:19" s="4" customFormat="1" ht="15.6" x14ac:dyDescent="0.3">
      <c r="A12" s="14">
        <v>11</v>
      </c>
      <c r="B12" s="6">
        <v>39021</v>
      </c>
      <c r="C12" s="7">
        <v>21039.232400000001</v>
      </c>
      <c r="D12" s="8">
        <v>6.9208999999999996</v>
      </c>
      <c r="E12" s="7">
        <v>13981.7678</v>
      </c>
      <c r="F12" s="8">
        <v>6.1519000000000004</v>
      </c>
      <c r="G12" s="7">
        <v>9138.6725000000006</v>
      </c>
      <c r="H12" s="8">
        <v>4.8003</v>
      </c>
      <c r="I12" s="7">
        <v>2910.1206000000002</v>
      </c>
      <c r="J12" s="8">
        <v>7.8479999999999999</v>
      </c>
      <c r="K12" s="7">
        <v>494.80619999999999</v>
      </c>
      <c r="L12" s="8">
        <v>11.8371</v>
      </c>
      <c r="M12" s="7">
        <v>1438.1686</v>
      </c>
      <c r="N12" s="8">
        <v>9.3521000000000001</v>
      </c>
      <c r="O12" s="7">
        <v>7057.4645</v>
      </c>
      <c r="P12" s="15">
        <v>8.4443999999999999</v>
      </c>
    </row>
    <row r="13" spans="1:19" s="4" customFormat="1" ht="15.6" x14ac:dyDescent="0.3">
      <c r="A13" s="14">
        <v>12</v>
      </c>
      <c r="B13" s="6">
        <v>39051</v>
      </c>
      <c r="C13" s="7">
        <v>20333.938200000001</v>
      </c>
      <c r="D13" s="8">
        <v>6.2929000000000004</v>
      </c>
      <c r="E13" s="7">
        <v>14386.203</v>
      </c>
      <c r="F13" s="8">
        <v>5.5848000000000004</v>
      </c>
      <c r="G13" s="7">
        <v>11256.775600000001</v>
      </c>
      <c r="H13" s="8">
        <v>4.8632</v>
      </c>
      <c r="I13" s="7">
        <v>1007.4807</v>
      </c>
      <c r="J13" s="8">
        <v>8.7472999999999992</v>
      </c>
      <c r="K13" s="7">
        <v>1089.06</v>
      </c>
      <c r="L13" s="8">
        <v>6.4156000000000004</v>
      </c>
      <c r="M13" s="7">
        <v>1032.8867</v>
      </c>
      <c r="N13" s="8">
        <v>9.4882000000000009</v>
      </c>
      <c r="O13" s="7">
        <v>5947.7352000000001</v>
      </c>
      <c r="P13" s="15">
        <v>8.0054999999999996</v>
      </c>
    </row>
    <row r="14" spans="1:19" s="4" customFormat="1" ht="15.6" x14ac:dyDescent="0.3">
      <c r="A14" s="14">
        <v>13</v>
      </c>
      <c r="B14" s="6">
        <v>39082</v>
      </c>
      <c r="C14" s="7">
        <v>24876.487700000001</v>
      </c>
      <c r="D14" s="8">
        <v>7.0101000000000004</v>
      </c>
      <c r="E14" s="7">
        <v>15619.2129</v>
      </c>
      <c r="F14" s="8">
        <v>6.1449999999999996</v>
      </c>
      <c r="G14" s="7">
        <v>10611.117</v>
      </c>
      <c r="H14" s="8">
        <v>4.8308</v>
      </c>
      <c r="I14" s="7">
        <v>2624.7040999999999</v>
      </c>
      <c r="J14" s="8">
        <v>8.1923999999999992</v>
      </c>
      <c r="K14" s="7">
        <v>429.2921</v>
      </c>
      <c r="L14" s="8">
        <v>10.207700000000001</v>
      </c>
      <c r="M14" s="7">
        <v>1954.0998</v>
      </c>
      <c r="N14" s="8">
        <v>9.6387</v>
      </c>
      <c r="O14" s="7">
        <v>9257.2749000000003</v>
      </c>
      <c r="P14" s="15">
        <v>8.4697999999999993</v>
      </c>
    </row>
    <row r="15" spans="1:19" s="4" customFormat="1" ht="15.6" x14ac:dyDescent="0.3">
      <c r="A15" s="14">
        <v>14</v>
      </c>
      <c r="B15" s="6">
        <v>39113</v>
      </c>
      <c r="C15" s="7">
        <v>13071.6198</v>
      </c>
      <c r="D15" s="8">
        <v>6.9371</v>
      </c>
      <c r="E15" s="7">
        <v>6348.1441999999997</v>
      </c>
      <c r="F15" s="8">
        <v>5.6727999999999996</v>
      </c>
      <c r="G15" s="7">
        <v>3517.2444</v>
      </c>
      <c r="H15" s="8">
        <v>3.4554999999999998</v>
      </c>
      <c r="I15" s="7">
        <v>1499.9914000000001</v>
      </c>
      <c r="J15" s="8">
        <v>6.7884000000000002</v>
      </c>
      <c r="K15" s="7">
        <v>238.16319999999999</v>
      </c>
      <c r="L15" s="8">
        <v>12.0787</v>
      </c>
      <c r="M15" s="7">
        <v>1092.7452000000001</v>
      </c>
      <c r="N15" s="8">
        <v>9.8824000000000005</v>
      </c>
      <c r="O15" s="7">
        <v>6723.4755999999998</v>
      </c>
      <c r="P15" s="15">
        <v>8.1308000000000007</v>
      </c>
    </row>
    <row r="16" spans="1:19" s="4" customFormat="1" ht="15.6" x14ac:dyDescent="0.3">
      <c r="A16" s="14">
        <v>15</v>
      </c>
      <c r="B16" s="6">
        <v>39141</v>
      </c>
      <c r="C16" s="7">
        <v>19811.523799999999</v>
      </c>
      <c r="D16" s="8">
        <v>6.4702000000000002</v>
      </c>
      <c r="E16" s="7">
        <v>13208.0851</v>
      </c>
      <c r="F16" s="8">
        <v>5.3718000000000004</v>
      </c>
      <c r="G16" s="7">
        <v>10387.5872</v>
      </c>
      <c r="H16" s="8">
        <v>4.3933</v>
      </c>
      <c r="I16" s="7">
        <v>1286.683</v>
      </c>
      <c r="J16" s="8">
        <v>7.4776999999999996</v>
      </c>
      <c r="K16" s="7">
        <v>528.33040000000005</v>
      </c>
      <c r="L16" s="8">
        <v>10.367800000000001</v>
      </c>
      <c r="M16" s="7">
        <v>1005.4845</v>
      </c>
      <c r="N16" s="8">
        <v>10.160500000000001</v>
      </c>
      <c r="O16" s="7">
        <v>3449.7784999999999</v>
      </c>
      <c r="P16" s="15">
        <v>9.7872000000000003</v>
      </c>
    </row>
    <row r="17" spans="1:19" s="4" customFormat="1" ht="15.6" x14ac:dyDescent="0.3">
      <c r="A17" s="14">
        <v>16</v>
      </c>
      <c r="B17" s="6">
        <v>39172</v>
      </c>
      <c r="C17" s="7">
        <v>24705.835500000001</v>
      </c>
      <c r="D17" s="8">
        <v>6.6961000000000004</v>
      </c>
      <c r="E17" s="7">
        <v>16176.4566</v>
      </c>
      <c r="F17" s="8">
        <v>5.3018000000000001</v>
      </c>
      <c r="G17" s="7">
        <v>11949.430899999999</v>
      </c>
      <c r="H17" s="8">
        <v>4.3895999999999997</v>
      </c>
      <c r="I17" s="7">
        <v>1998.8449000000001</v>
      </c>
      <c r="J17" s="8">
        <v>6.1639999999999997</v>
      </c>
      <c r="K17" s="7">
        <v>346.0145</v>
      </c>
      <c r="L17" s="8">
        <v>10.009600000000001</v>
      </c>
      <c r="M17" s="7">
        <v>1882.1663000000001</v>
      </c>
      <c r="N17" s="8">
        <v>9.3123000000000005</v>
      </c>
      <c r="O17" s="7">
        <v>4094.5059999999999</v>
      </c>
      <c r="P17" s="15">
        <v>9.7170000000000005</v>
      </c>
    </row>
    <row r="18" spans="1:19" s="4" customFormat="1" ht="15.6" x14ac:dyDescent="0.3">
      <c r="A18" s="14">
        <v>17</v>
      </c>
      <c r="B18" s="6">
        <v>39202</v>
      </c>
      <c r="C18" s="7">
        <v>19703.7683</v>
      </c>
      <c r="D18" s="8">
        <v>6.5316000000000001</v>
      </c>
      <c r="E18" s="7">
        <v>12324.534600000001</v>
      </c>
      <c r="F18" s="8">
        <v>5.4234</v>
      </c>
      <c r="G18" s="7">
        <v>8187.0052999999998</v>
      </c>
      <c r="H18" s="8">
        <v>4.1984000000000004</v>
      </c>
      <c r="I18" s="7">
        <v>1993.3490999999999</v>
      </c>
      <c r="J18" s="8">
        <v>6.4790000000000001</v>
      </c>
      <c r="K18" s="7">
        <v>482.80270000000002</v>
      </c>
      <c r="L18" s="8">
        <v>8.1577000000000002</v>
      </c>
      <c r="M18" s="7">
        <v>1661.3775000000001</v>
      </c>
      <c r="N18" s="8">
        <v>9.3991000000000007</v>
      </c>
      <c r="O18" s="7">
        <v>4079.0128</v>
      </c>
      <c r="P18" s="15">
        <v>9.3553999999999995</v>
      </c>
    </row>
    <row r="19" spans="1:19" s="4" customFormat="1" ht="15.6" x14ac:dyDescent="0.3">
      <c r="A19" s="14">
        <v>18</v>
      </c>
      <c r="B19" s="6">
        <v>39233</v>
      </c>
      <c r="C19" s="7">
        <v>21902.17</v>
      </c>
      <c r="D19" s="8">
        <v>6.0515999999999996</v>
      </c>
      <c r="E19" s="7">
        <v>14405.853999999999</v>
      </c>
      <c r="F19" s="8">
        <v>5.0537000000000001</v>
      </c>
      <c r="G19" s="7">
        <v>10515.5694</v>
      </c>
      <c r="H19" s="8">
        <v>4.1292999999999997</v>
      </c>
      <c r="I19" s="7">
        <v>2223.1078000000002</v>
      </c>
      <c r="J19" s="8">
        <v>6.2497999999999996</v>
      </c>
      <c r="K19" s="7">
        <v>439.3897</v>
      </c>
      <c r="L19" s="8">
        <v>9.8173999999999992</v>
      </c>
      <c r="M19" s="7">
        <v>1227.7872</v>
      </c>
      <c r="N19" s="8">
        <v>9.0995000000000008</v>
      </c>
      <c r="O19" s="7">
        <v>3798.1783999999998</v>
      </c>
      <c r="P19" s="15">
        <v>9.0564999999999998</v>
      </c>
    </row>
    <row r="20" spans="1:19" s="4" customFormat="1" ht="15.6" x14ac:dyDescent="0.3">
      <c r="A20" s="14">
        <v>19</v>
      </c>
      <c r="B20" s="6">
        <v>39263</v>
      </c>
      <c r="C20" s="7">
        <v>25921.063399999999</v>
      </c>
      <c r="D20" s="8">
        <v>6.4668000000000001</v>
      </c>
      <c r="E20" s="7">
        <v>16411.948400000001</v>
      </c>
      <c r="F20" s="8">
        <v>5.6238999999999999</v>
      </c>
      <c r="G20" s="7">
        <v>11089.1549</v>
      </c>
      <c r="H20" s="8">
        <v>4.3491</v>
      </c>
      <c r="I20" s="7">
        <v>1618.9295999999999</v>
      </c>
      <c r="J20" s="8">
        <v>7.1098999999999997</v>
      </c>
      <c r="K20" s="7">
        <v>752.50840000000005</v>
      </c>
      <c r="L20" s="8">
        <v>9.7483000000000004</v>
      </c>
      <c r="M20" s="7">
        <v>2951.3555000000001</v>
      </c>
      <c r="N20" s="8">
        <v>8.5472999999999999</v>
      </c>
      <c r="O20" s="7">
        <v>4574.1835000000001</v>
      </c>
      <c r="P20" s="15">
        <v>8.5487000000000002</v>
      </c>
      <c r="R20" s="5"/>
      <c r="S20" s="5"/>
    </row>
    <row r="21" spans="1:19" s="4" customFormat="1" ht="15.6" x14ac:dyDescent="0.3">
      <c r="A21" s="14">
        <v>20</v>
      </c>
      <c r="B21" s="6">
        <v>39294</v>
      </c>
      <c r="C21" s="7">
        <v>29268.8272</v>
      </c>
      <c r="D21" s="8">
        <v>6.6245000000000003</v>
      </c>
      <c r="E21" s="7">
        <v>18474.168799999999</v>
      </c>
      <c r="F21" s="8">
        <v>5.4566999999999997</v>
      </c>
      <c r="G21" s="7">
        <v>13095.5857</v>
      </c>
      <c r="H21" s="8">
        <v>4.2683</v>
      </c>
      <c r="I21" s="7">
        <v>2045.0822000000001</v>
      </c>
      <c r="J21" s="8">
        <v>6.9954999999999998</v>
      </c>
      <c r="K21" s="7">
        <v>1144.9899</v>
      </c>
      <c r="L21" s="8">
        <v>8.6827000000000005</v>
      </c>
      <c r="M21" s="7">
        <v>2188.511</v>
      </c>
      <c r="N21" s="8">
        <v>9.4421999999999997</v>
      </c>
      <c r="O21" s="7">
        <v>6305.0115999999998</v>
      </c>
      <c r="P21" s="15">
        <v>9.1310000000000002</v>
      </c>
    </row>
    <row r="22" spans="1:19" s="4" customFormat="1" ht="15.6" x14ac:dyDescent="0.3">
      <c r="A22" s="14">
        <v>21</v>
      </c>
      <c r="B22" s="6">
        <v>39325</v>
      </c>
      <c r="C22" s="7">
        <v>35835.455600000001</v>
      </c>
      <c r="D22" s="8">
        <v>6.0496999999999996</v>
      </c>
      <c r="E22" s="7">
        <v>24977.403600000001</v>
      </c>
      <c r="F22" s="8">
        <v>5.0316000000000001</v>
      </c>
      <c r="G22" s="7">
        <v>19614.824700000001</v>
      </c>
      <c r="H22" s="8">
        <v>4.4169999999999998</v>
      </c>
      <c r="I22" s="7">
        <v>2294.8285999999998</v>
      </c>
      <c r="J22" s="8">
        <v>6.0362</v>
      </c>
      <c r="K22" s="7">
        <v>961.50260000000003</v>
      </c>
      <c r="L22" s="8">
        <v>8.2829999999999995</v>
      </c>
      <c r="M22" s="7">
        <v>2106.2476999999999</v>
      </c>
      <c r="N22" s="8">
        <v>8.1763999999999992</v>
      </c>
      <c r="O22" s="7">
        <v>5929.4431999999997</v>
      </c>
      <c r="P22" s="15">
        <v>8.7636000000000003</v>
      </c>
    </row>
    <row r="23" spans="1:19" s="4" customFormat="1" ht="15.6" x14ac:dyDescent="0.3">
      <c r="A23" s="14">
        <v>22</v>
      </c>
      <c r="B23" s="6">
        <v>39355</v>
      </c>
      <c r="C23" s="7">
        <v>31771.0334</v>
      </c>
      <c r="D23" s="8">
        <v>6.49</v>
      </c>
      <c r="E23" s="7">
        <v>21416.6302</v>
      </c>
      <c r="F23" s="8">
        <v>5.4466999999999999</v>
      </c>
      <c r="G23" s="7">
        <v>15402.1644</v>
      </c>
      <c r="H23" s="8">
        <v>4.5457000000000001</v>
      </c>
      <c r="I23" s="7">
        <v>2129.6291999999999</v>
      </c>
      <c r="J23" s="8">
        <v>5.7083000000000004</v>
      </c>
      <c r="K23" s="7">
        <v>932.52329999999995</v>
      </c>
      <c r="L23" s="8">
        <v>8.7565000000000008</v>
      </c>
      <c r="M23" s="7">
        <v>2952.3132999999998</v>
      </c>
      <c r="N23" s="8">
        <v>8.9125999999999994</v>
      </c>
      <c r="O23" s="7">
        <v>6444.4867000000004</v>
      </c>
      <c r="P23" s="15">
        <v>9.4060000000000006</v>
      </c>
    </row>
    <row r="24" spans="1:19" s="4" customFormat="1" ht="15.6" x14ac:dyDescent="0.3">
      <c r="A24" s="14">
        <v>23</v>
      </c>
      <c r="B24" s="6">
        <v>39386</v>
      </c>
      <c r="C24" s="7">
        <v>30106.001</v>
      </c>
      <c r="D24" s="8">
        <v>6.4295</v>
      </c>
      <c r="E24" s="7">
        <v>18322.644499999999</v>
      </c>
      <c r="F24" s="8">
        <v>5.1952999999999996</v>
      </c>
      <c r="G24" s="7">
        <v>12718.049199999999</v>
      </c>
      <c r="H24" s="8">
        <v>4.0590999999999999</v>
      </c>
      <c r="I24" s="7">
        <v>2053.328</v>
      </c>
      <c r="J24" s="8">
        <v>6.5853999999999999</v>
      </c>
      <c r="K24" s="7">
        <v>1006.1975</v>
      </c>
      <c r="L24" s="8">
        <v>8.7265999999999995</v>
      </c>
      <c r="M24" s="7">
        <v>2545.0698000000002</v>
      </c>
      <c r="N24" s="8">
        <v>8.3553999999999995</v>
      </c>
      <c r="O24" s="7">
        <v>6964.0300999999999</v>
      </c>
      <c r="P24" s="15">
        <v>9.0268999999999995</v>
      </c>
    </row>
    <row r="25" spans="1:19" s="4" customFormat="1" ht="15.6" x14ac:dyDescent="0.3">
      <c r="A25" s="14">
        <v>24</v>
      </c>
      <c r="B25" s="6">
        <v>39416</v>
      </c>
      <c r="C25" s="7">
        <v>30418.54</v>
      </c>
      <c r="D25" s="8">
        <v>6.7519</v>
      </c>
      <c r="E25" s="7">
        <v>17077.273700000002</v>
      </c>
      <c r="F25" s="8">
        <v>5.6707000000000001</v>
      </c>
      <c r="G25" s="7">
        <v>10531.0689</v>
      </c>
      <c r="H25" s="8">
        <v>4.2436999999999996</v>
      </c>
      <c r="I25" s="7">
        <v>3060.5918999999999</v>
      </c>
      <c r="J25" s="8">
        <v>7.2618999999999998</v>
      </c>
      <c r="K25" s="7">
        <v>708.03440000000001</v>
      </c>
      <c r="L25" s="8">
        <v>9.3971999999999998</v>
      </c>
      <c r="M25" s="7">
        <v>2777.5785000000001</v>
      </c>
      <c r="N25" s="8">
        <v>8.3774999999999995</v>
      </c>
      <c r="O25" s="7">
        <v>8226.7247000000007</v>
      </c>
      <c r="P25" s="15">
        <v>8.2936999999999994</v>
      </c>
    </row>
    <row r="26" spans="1:19" s="4" customFormat="1" ht="15.6" x14ac:dyDescent="0.3">
      <c r="A26" s="14">
        <v>25</v>
      </c>
      <c r="B26" s="6">
        <v>39447</v>
      </c>
      <c r="C26" s="7">
        <v>33834.6198</v>
      </c>
      <c r="D26" s="8">
        <v>7.9789000000000003</v>
      </c>
      <c r="E26" s="7">
        <v>15723.3233</v>
      </c>
      <c r="F26" s="8">
        <v>7.5388000000000002</v>
      </c>
      <c r="G26" s="7">
        <v>7760.08</v>
      </c>
      <c r="H26" s="8">
        <v>5.2868000000000004</v>
      </c>
      <c r="I26" s="7">
        <v>2326.5367000000001</v>
      </c>
      <c r="J26" s="8">
        <v>9.8096999999999994</v>
      </c>
      <c r="K26" s="7">
        <v>1541.2791999999999</v>
      </c>
      <c r="L26" s="8">
        <v>10.217000000000001</v>
      </c>
      <c r="M26" s="7">
        <v>4095.4272999999998</v>
      </c>
      <c r="N26" s="8">
        <v>9.5077999999999996</v>
      </c>
      <c r="O26" s="7">
        <v>11536.1502</v>
      </c>
      <c r="P26" s="15">
        <v>8.5813000000000006</v>
      </c>
    </row>
    <row r="27" spans="1:19" s="4" customFormat="1" ht="15.6" x14ac:dyDescent="0.3">
      <c r="A27" s="14">
        <v>26</v>
      </c>
      <c r="B27" s="6">
        <v>39478</v>
      </c>
      <c r="C27" s="7">
        <v>26915.86418</v>
      </c>
      <c r="D27" s="8">
        <v>7.6657000000000002</v>
      </c>
      <c r="E27" s="7">
        <v>11760.285599999999</v>
      </c>
      <c r="F27" s="8">
        <v>6.5633999999999997</v>
      </c>
      <c r="G27" s="7">
        <v>5921.8950500000001</v>
      </c>
      <c r="H27" s="8">
        <v>3.3117000000000001</v>
      </c>
      <c r="I27" s="7">
        <v>1468.2715700000001</v>
      </c>
      <c r="J27" s="8">
        <v>9.3454999999999995</v>
      </c>
      <c r="K27" s="7">
        <v>2316.9119000000001</v>
      </c>
      <c r="L27" s="8">
        <v>10.3771</v>
      </c>
      <c r="M27" s="7">
        <v>2053.2070899999999</v>
      </c>
      <c r="N27" s="8">
        <v>9.6487999999999996</v>
      </c>
      <c r="O27" s="7">
        <v>8217.3962900000006</v>
      </c>
      <c r="P27" s="15">
        <v>8.9655000000000005</v>
      </c>
    </row>
    <row r="28" spans="1:19" s="4" customFormat="1" ht="15.6" x14ac:dyDescent="0.3">
      <c r="A28" s="14">
        <v>27</v>
      </c>
      <c r="B28" s="6">
        <v>39507</v>
      </c>
      <c r="C28" s="7">
        <v>28854.2215</v>
      </c>
      <c r="D28" s="8">
        <v>7.8236999999999997</v>
      </c>
      <c r="E28" s="7">
        <v>14497.771000000001</v>
      </c>
      <c r="F28" s="8">
        <v>7.2972999999999999</v>
      </c>
      <c r="G28" s="7">
        <v>7844.116</v>
      </c>
      <c r="H28" s="8">
        <v>5.8304999999999998</v>
      </c>
      <c r="I28" s="7">
        <v>1945.4291000000001</v>
      </c>
      <c r="J28" s="8">
        <v>9.5733999999999995</v>
      </c>
      <c r="K28" s="7">
        <v>1682.4373000000001</v>
      </c>
      <c r="L28" s="8">
        <v>9.1096000000000004</v>
      </c>
      <c r="M28" s="7">
        <v>3025.7887000000001</v>
      </c>
      <c r="N28" s="8">
        <v>8.6288</v>
      </c>
      <c r="O28" s="7">
        <v>6240.9263000000001</v>
      </c>
      <c r="P28" s="15">
        <v>9.1907999999999994</v>
      </c>
    </row>
    <row r="29" spans="1:19" s="5" customFormat="1" ht="15.6" x14ac:dyDescent="0.3">
      <c r="A29" s="14">
        <v>28</v>
      </c>
      <c r="B29" s="6">
        <v>39538</v>
      </c>
      <c r="C29" s="7">
        <v>36939.022700000001</v>
      </c>
      <c r="D29" s="8">
        <v>7.9077000000000002</v>
      </c>
      <c r="E29" s="7">
        <v>21322.628100000002</v>
      </c>
      <c r="F29" s="8">
        <v>7.4802</v>
      </c>
      <c r="G29" s="7">
        <v>12269.406800000001</v>
      </c>
      <c r="H29" s="8">
        <v>6.3647</v>
      </c>
      <c r="I29" s="7">
        <v>1939.8053</v>
      </c>
      <c r="J29" s="8">
        <v>10.3871</v>
      </c>
      <c r="K29" s="7">
        <v>1479.8824</v>
      </c>
      <c r="L29" s="8">
        <v>10.216799999999999</v>
      </c>
      <c r="M29" s="7">
        <v>5633.5337</v>
      </c>
      <c r="N29" s="8">
        <v>8.1898</v>
      </c>
      <c r="O29" s="7">
        <v>6530.7377999999999</v>
      </c>
      <c r="P29" s="15">
        <v>9.4883000000000006</v>
      </c>
    </row>
    <row r="30" spans="1:19" s="5" customFormat="1" ht="15.6" x14ac:dyDescent="0.3">
      <c r="A30" s="14">
        <v>29</v>
      </c>
      <c r="B30" s="6">
        <v>39568</v>
      </c>
      <c r="C30" s="7">
        <v>54358.523999999998</v>
      </c>
      <c r="D30" s="8">
        <v>7.3125</v>
      </c>
      <c r="E30" s="7">
        <v>32629.0393</v>
      </c>
      <c r="F30" s="8">
        <v>6.133</v>
      </c>
      <c r="G30" s="7">
        <v>26049.133099999999</v>
      </c>
      <c r="H30" s="8">
        <v>4.9421999999999997</v>
      </c>
      <c r="I30" s="7">
        <v>2259.4780999999998</v>
      </c>
      <c r="J30" s="8">
        <v>12.4788</v>
      </c>
      <c r="K30" s="7">
        <v>661.53989999999999</v>
      </c>
      <c r="L30" s="8">
        <v>10.3696</v>
      </c>
      <c r="M30" s="7">
        <v>3658.8881999999999</v>
      </c>
      <c r="N30" s="8">
        <v>9.9262999999999995</v>
      </c>
      <c r="O30" s="7">
        <v>9104.6692000000003</v>
      </c>
      <c r="P30" s="15">
        <v>10.311</v>
      </c>
    </row>
    <row r="31" spans="1:19" s="5" customFormat="1" ht="15.6" x14ac:dyDescent="0.3">
      <c r="A31" s="14">
        <v>30</v>
      </c>
      <c r="B31" s="6">
        <v>39599</v>
      </c>
      <c r="C31" s="7">
        <v>71940.327300000004</v>
      </c>
      <c r="D31" s="8">
        <v>6.1256000000000004</v>
      </c>
      <c r="E31" s="7">
        <v>50265.4035</v>
      </c>
      <c r="F31" s="8">
        <v>4.5420999999999996</v>
      </c>
      <c r="G31" s="7">
        <v>44377.816800000001</v>
      </c>
      <c r="H31" s="8">
        <v>3.7523</v>
      </c>
      <c r="I31" s="7">
        <v>1795.8126999999999</v>
      </c>
      <c r="J31" s="8">
        <v>12.134399999999999</v>
      </c>
      <c r="K31" s="7">
        <v>890.25800000000004</v>
      </c>
      <c r="L31" s="8">
        <v>11.125</v>
      </c>
      <c r="M31" s="7">
        <v>3201.5160000000001</v>
      </c>
      <c r="N31" s="8">
        <v>9.4001000000000001</v>
      </c>
      <c r="O31" s="7">
        <v>6808.8379999999997</v>
      </c>
      <c r="P31" s="15">
        <v>10.815</v>
      </c>
    </row>
    <row r="32" spans="1:19" s="5" customFormat="1" ht="15.6" x14ac:dyDescent="0.3">
      <c r="A32" s="14">
        <v>31</v>
      </c>
      <c r="B32" s="6">
        <v>39629</v>
      </c>
      <c r="C32" s="7">
        <v>83331.094400000002</v>
      </c>
      <c r="D32" s="8">
        <v>5.9322999999999997</v>
      </c>
      <c r="E32" s="7">
        <v>56516.2673</v>
      </c>
      <c r="F32" s="8">
        <v>4.3413000000000004</v>
      </c>
      <c r="G32" s="7">
        <v>49333.286099999998</v>
      </c>
      <c r="H32" s="8">
        <v>3.1515</v>
      </c>
      <c r="I32" s="7">
        <v>2807.1686</v>
      </c>
      <c r="J32" s="8">
        <v>14.5197</v>
      </c>
      <c r="K32" s="7">
        <v>1170.6914999999999</v>
      </c>
      <c r="L32" s="8">
        <v>13.755800000000001</v>
      </c>
      <c r="M32" s="7">
        <v>3205.1210999999998</v>
      </c>
      <c r="N32" s="8">
        <v>10.3027</v>
      </c>
      <c r="O32" s="7">
        <v>9264.7158999999992</v>
      </c>
      <c r="P32" s="15">
        <v>11.4694</v>
      </c>
    </row>
    <row r="33" spans="1:16" s="5" customFormat="1" ht="15.6" x14ac:dyDescent="0.3">
      <c r="A33" s="14">
        <v>32</v>
      </c>
      <c r="B33" s="6">
        <v>39660</v>
      </c>
      <c r="C33" s="7">
        <v>82337.716400000005</v>
      </c>
      <c r="D33" s="8">
        <v>6.3521000000000001</v>
      </c>
      <c r="E33" s="7">
        <v>47461.205800000003</v>
      </c>
      <c r="F33" s="8">
        <v>4.6352000000000002</v>
      </c>
      <c r="G33" s="7">
        <v>37630.5533</v>
      </c>
      <c r="H33" s="8">
        <v>2.8409</v>
      </c>
      <c r="I33" s="7">
        <v>3150.1228000000001</v>
      </c>
      <c r="J33" s="8">
        <v>14.109400000000001</v>
      </c>
      <c r="K33" s="7">
        <v>1993.4541999999999</v>
      </c>
      <c r="L33" s="8">
        <v>12.365600000000001</v>
      </c>
      <c r="M33" s="7">
        <v>4687.0754999999999</v>
      </c>
      <c r="N33" s="8">
        <v>9.3856999999999999</v>
      </c>
      <c r="O33" s="7">
        <v>10161.4823</v>
      </c>
      <c r="P33" s="15">
        <v>10.980600000000001</v>
      </c>
    </row>
    <row r="34" spans="1:16" s="5" customFormat="1" ht="15.6" x14ac:dyDescent="0.3">
      <c r="A34" s="14">
        <v>33</v>
      </c>
      <c r="B34" s="6">
        <v>39691</v>
      </c>
      <c r="C34" s="7">
        <v>69130.669500000004</v>
      </c>
      <c r="D34" s="8">
        <v>6.5523999999999996</v>
      </c>
      <c r="E34" s="7">
        <v>37005.332799999996</v>
      </c>
      <c r="F34" s="8">
        <v>5.1315999999999997</v>
      </c>
      <c r="G34" s="7">
        <v>30176.4686</v>
      </c>
      <c r="H34" s="8">
        <v>3.5642999999999998</v>
      </c>
      <c r="I34" s="7">
        <v>2471.5275999999999</v>
      </c>
      <c r="J34" s="8">
        <v>13.3893</v>
      </c>
      <c r="K34" s="7">
        <v>1530.4717000000001</v>
      </c>
      <c r="L34" s="8">
        <v>13.1639</v>
      </c>
      <c r="M34" s="7">
        <v>2826.8649</v>
      </c>
      <c r="N34" s="8">
        <v>10.2942</v>
      </c>
      <c r="O34" s="7">
        <v>10849.484399999999</v>
      </c>
      <c r="P34" s="15">
        <v>10.087400000000001</v>
      </c>
    </row>
    <row r="35" spans="1:16" s="5" customFormat="1" ht="15.6" x14ac:dyDescent="0.3">
      <c r="A35" s="14">
        <v>34</v>
      </c>
      <c r="B35" s="6">
        <v>39721</v>
      </c>
      <c r="C35" s="7">
        <v>60560.214399999997</v>
      </c>
      <c r="D35" s="8">
        <v>7.8364000000000003</v>
      </c>
      <c r="E35" s="7">
        <v>29552.5193</v>
      </c>
      <c r="F35" s="8">
        <v>6.5965999999999996</v>
      </c>
      <c r="G35" s="7">
        <v>19813.4277</v>
      </c>
      <c r="H35" s="8">
        <v>3.4586999999999999</v>
      </c>
      <c r="I35" s="7">
        <v>3571.9245000000001</v>
      </c>
      <c r="J35" s="8">
        <v>13.797599999999999</v>
      </c>
      <c r="K35" s="7">
        <v>2909.607</v>
      </c>
      <c r="L35" s="8">
        <v>13.0024</v>
      </c>
      <c r="M35" s="7">
        <v>3257.56</v>
      </c>
      <c r="N35" s="8">
        <v>12.0649</v>
      </c>
      <c r="O35" s="7">
        <v>9915.6805999999997</v>
      </c>
      <c r="P35" s="15">
        <v>10.9178</v>
      </c>
    </row>
    <row r="36" spans="1:16" s="5" customFormat="1" ht="15.6" x14ac:dyDescent="0.3">
      <c r="A36" s="14">
        <v>35</v>
      </c>
      <c r="B36" s="6">
        <v>39752</v>
      </c>
      <c r="C36" s="7">
        <v>32597.545399999999</v>
      </c>
      <c r="D36" s="8">
        <v>9.2491000000000003</v>
      </c>
      <c r="E36" s="7">
        <v>19153.809600000001</v>
      </c>
      <c r="F36" s="8">
        <v>7.7435999999999998</v>
      </c>
      <c r="G36" s="7">
        <v>13858.770399999999</v>
      </c>
      <c r="H36" s="8">
        <v>5.7428999999999997</v>
      </c>
      <c r="I36" s="7">
        <v>1889.7154</v>
      </c>
      <c r="J36" s="8">
        <v>13.890700000000001</v>
      </c>
      <c r="K36" s="7">
        <v>844.98199999999997</v>
      </c>
      <c r="L36" s="8">
        <v>13.9529</v>
      </c>
      <c r="M36" s="7">
        <v>2560.3418000000001</v>
      </c>
      <c r="N36" s="8">
        <v>11.986800000000001</v>
      </c>
      <c r="O36" s="7">
        <v>6889.5267000000003</v>
      </c>
      <c r="P36" s="15">
        <v>12.7217</v>
      </c>
    </row>
    <row r="37" spans="1:16" s="5" customFormat="1" ht="15.6" x14ac:dyDescent="0.3">
      <c r="A37" s="14">
        <v>36</v>
      </c>
      <c r="B37" s="6">
        <v>39782</v>
      </c>
      <c r="C37" s="7">
        <v>25880.599699999999</v>
      </c>
      <c r="D37" s="8">
        <v>11.608700000000001</v>
      </c>
      <c r="E37" s="7">
        <v>20762.8233</v>
      </c>
      <c r="F37" s="8">
        <v>11.7371</v>
      </c>
      <c r="G37" s="7">
        <v>14976.439200000001</v>
      </c>
      <c r="H37" s="8">
        <v>10.4278</v>
      </c>
      <c r="I37" s="7">
        <v>3033.4092000000001</v>
      </c>
      <c r="J37" s="8">
        <v>17.641100000000002</v>
      </c>
      <c r="K37" s="7">
        <v>862.21469999999999</v>
      </c>
      <c r="L37" s="8">
        <v>13.8643</v>
      </c>
      <c r="M37" s="7">
        <v>1890.7601999999999</v>
      </c>
      <c r="N37" s="8">
        <v>11.665900000000001</v>
      </c>
      <c r="O37" s="7">
        <v>3319.4946</v>
      </c>
      <c r="P37" s="15">
        <v>11.922700000000001</v>
      </c>
    </row>
    <row r="38" spans="1:16" s="5" customFormat="1" ht="15.6" x14ac:dyDescent="0.3">
      <c r="A38" s="14">
        <v>37</v>
      </c>
      <c r="B38" s="6">
        <v>39813</v>
      </c>
      <c r="C38" s="7">
        <v>44683.379399999998</v>
      </c>
      <c r="D38" s="8">
        <v>12.194599999999999</v>
      </c>
      <c r="E38" s="7">
        <v>32567.652399999999</v>
      </c>
      <c r="F38" s="8">
        <v>12.7118</v>
      </c>
      <c r="G38" s="7">
        <v>19626.4948</v>
      </c>
      <c r="H38" s="8">
        <v>12.402200000000001</v>
      </c>
      <c r="I38" s="7">
        <v>5571.4462999999996</v>
      </c>
      <c r="J38" s="8">
        <v>18.1252</v>
      </c>
      <c r="K38" s="7">
        <v>2013.5818999999999</v>
      </c>
      <c r="L38" s="8">
        <v>10.4064</v>
      </c>
      <c r="M38" s="7">
        <v>5356.1293999999998</v>
      </c>
      <c r="N38" s="8">
        <v>9.0818999999999992</v>
      </c>
      <c r="O38" s="7">
        <v>7764.6962000000003</v>
      </c>
      <c r="P38" s="15">
        <v>11.624700000000001</v>
      </c>
    </row>
    <row r="39" spans="1:16" s="4" customFormat="1" ht="15.6" x14ac:dyDescent="0.3">
      <c r="A39" s="14">
        <v>38</v>
      </c>
      <c r="B39" s="6">
        <v>39844</v>
      </c>
      <c r="C39" s="9">
        <v>28721.1486</v>
      </c>
      <c r="D39" s="10">
        <v>14.518000000000001</v>
      </c>
      <c r="E39" s="9">
        <v>23261.366399999999</v>
      </c>
      <c r="F39" s="10">
        <v>15.4519</v>
      </c>
      <c r="G39" s="9">
        <v>17054.064699999999</v>
      </c>
      <c r="H39" s="10">
        <v>15.161099999999999</v>
      </c>
      <c r="I39" s="9">
        <v>3787.5329999999999</v>
      </c>
      <c r="J39" s="10">
        <v>18.767700000000001</v>
      </c>
      <c r="K39" s="9">
        <v>466.85070000000002</v>
      </c>
      <c r="L39" s="10">
        <v>13.4749</v>
      </c>
      <c r="M39" s="9">
        <v>1952.9181000000001</v>
      </c>
      <c r="N39" s="10">
        <v>12.0326</v>
      </c>
      <c r="O39" s="9">
        <v>2923.8047999999999</v>
      </c>
      <c r="P39" s="16">
        <v>11.1418</v>
      </c>
    </row>
    <row r="40" spans="1:16" s="4" customFormat="1" ht="15.6" x14ac:dyDescent="0.3">
      <c r="A40" s="14">
        <v>39</v>
      </c>
      <c r="B40" s="6">
        <v>39872</v>
      </c>
      <c r="C40" s="9">
        <v>27911.893700000001</v>
      </c>
      <c r="D40" s="10">
        <v>18.0151</v>
      </c>
      <c r="E40" s="9">
        <v>22877.142599999999</v>
      </c>
      <c r="F40" s="10">
        <v>19.232333143899272</v>
      </c>
      <c r="G40" s="9">
        <v>16432.904399999999</v>
      </c>
      <c r="H40" s="10">
        <v>20.335935182604118</v>
      </c>
      <c r="I40" s="9">
        <v>4003.6071999999999</v>
      </c>
      <c r="J40" s="10">
        <v>18.887</v>
      </c>
      <c r="K40" s="9">
        <v>482.9024</v>
      </c>
      <c r="L40" s="10">
        <v>15.3855</v>
      </c>
      <c r="M40" s="9">
        <v>1957.7285999999999</v>
      </c>
      <c r="N40" s="10">
        <v>11.555899999999999</v>
      </c>
      <c r="O40" s="9">
        <v>3363.4362000000001</v>
      </c>
      <c r="P40" s="16">
        <v>12.437799999999999</v>
      </c>
    </row>
    <row r="41" spans="1:16" s="4" customFormat="1" ht="15.6" x14ac:dyDescent="0.3">
      <c r="A41" s="14">
        <v>40</v>
      </c>
      <c r="B41" s="6">
        <v>39903</v>
      </c>
      <c r="C41" s="9">
        <v>32163.769199999999</v>
      </c>
      <c r="D41" s="10">
        <v>14.9359</v>
      </c>
      <c r="E41" s="9">
        <v>25885.035899999999</v>
      </c>
      <c r="F41" s="10">
        <v>15.408365899970415</v>
      </c>
      <c r="G41" s="9">
        <v>19795.5268</v>
      </c>
      <c r="H41" s="10">
        <v>15.270460984695795</v>
      </c>
      <c r="I41" s="9">
        <v>2557.2530999999999</v>
      </c>
      <c r="J41" s="10">
        <v>17.561199999999999</v>
      </c>
      <c r="K41" s="9">
        <v>959.53470000000004</v>
      </c>
      <c r="L41" s="10">
        <v>16.104800000000001</v>
      </c>
      <c r="M41" s="9">
        <v>2572.7213999999999</v>
      </c>
      <c r="N41" s="10">
        <v>14.0702</v>
      </c>
      <c r="O41" s="9">
        <v>4872.5936000000002</v>
      </c>
      <c r="P41" s="16">
        <v>12.9582</v>
      </c>
    </row>
    <row r="42" spans="1:16" s="4" customFormat="1" ht="15.6" x14ac:dyDescent="0.3">
      <c r="A42" s="14">
        <v>41</v>
      </c>
      <c r="B42" s="6">
        <v>39933</v>
      </c>
      <c r="C42" s="9">
        <v>34862.643799999998</v>
      </c>
      <c r="D42" s="10">
        <v>10.3192</v>
      </c>
      <c r="E42" s="9">
        <v>27437.319</v>
      </c>
      <c r="F42" s="10">
        <v>10.2117</v>
      </c>
      <c r="G42" s="9">
        <v>16804.8256</v>
      </c>
      <c r="H42" s="10">
        <v>7.1087429918392013</v>
      </c>
      <c r="I42" s="9">
        <v>7413.6139000000003</v>
      </c>
      <c r="J42" s="10">
        <v>15.789300000000001</v>
      </c>
      <c r="K42" s="9">
        <v>732.60569999999996</v>
      </c>
      <c r="L42" s="10">
        <v>11.9758</v>
      </c>
      <c r="M42" s="9">
        <v>2486.2737000000002</v>
      </c>
      <c r="N42" s="10">
        <v>14.0336</v>
      </c>
      <c r="O42" s="9">
        <v>6229.4763000000003</v>
      </c>
      <c r="P42" s="16">
        <v>10.4153</v>
      </c>
    </row>
    <row r="43" spans="1:16" s="4" customFormat="1" ht="15.6" x14ac:dyDescent="0.3">
      <c r="A43" s="14">
        <v>42</v>
      </c>
      <c r="B43" s="6">
        <v>39964</v>
      </c>
      <c r="C43" s="9">
        <v>24554.855899999999</v>
      </c>
      <c r="D43" s="10">
        <v>9.7695000000000007</v>
      </c>
      <c r="E43" s="9">
        <v>18820.2104</v>
      </c>
      <c r="F43" s="10">
        <v>9.1373999999999995</v>
      </c>
      <c r="G43" s="9">
        <v>13952.4745</v>
      </c>
      <c r="H43" s="10">
        <v>7.5763881171350649</v>
      </c>
      <c r="I43" s="9">
        <v>2387.5133000000001</v>
      </c>
      <c r="J43" s="10">
        <v>14.334899999999999</v>
      </c>
      <c r="K43" s="9">
        <v>949.97850000000005</v>
      </c>
      <c r="L43" s="10">
        <v>12.7308</v>
      </c>
      <c r="M43" s="9">
        <v>1530.2442000000001</v>
      </c>
      <c r="N43" s="10">
        <v>13.031000000000001</v>
      </c>
      <c r="O43" s="9">
        <v>3870.6248999999998</v>
      </c>
      <c r="P43" s="16">
        <v>12.003399999999999</v>
      </c>
    </row>
    <row r="44" spans="1:16" s="4" customFormat="1" ht="15.6" x14ac:dyDescent="0.3">
      <c r="A44" s="14">
        <v>43</v>
      </c>
      <c r="B44" s="6">
        <v>39994</v>
      </c>
      <c r="C44" s="9">
        <v>24797.893899999999</v>
      </c>
      <c r="D44" s="10">
        <v>10.125400000000001</v>
      </c>
      <c r="E44" s="9">
        <v>17746.309499999999</v>
      </c>
      <c r="F44" s="10">
        <v>9.1255000000000006</v>
      </c>
      <c r="G44" s="9">
        <v>11292.819800000001</v>
      </c>
      <c r="H44" s="10">
        <v>6.6277674973384411</v>
      </c>
      <c r="I44" s="9">
        <v>2033.6015</v>
      </c>
      <c r="J44" s="10">
        <v>14.4635</v>
      </c>
      <c r="K44" s="9">
        <v>1059.2023999999999</v>
      </c>
      <c r="L44" s="10">
        <v>13.887700000000001</v>
      </c>
      <c r="M44" s="9">
        <v>3360.6858000000002</v>
      </c>
      <c r="N44" s="10">
        <v>12.7874</v>
      </c>
      <c r="O44" s="9">
        <v>5502.8139000000001</v>
      </c>
      <c r="P44" s="16">
        <v>12.8361</v>
      </c>
    </row>
    <row r="45" spans="1:16" s="4" customFormat="1" ht="15.6" x14ac:dyDescent="0.3">
      <c r="A45" s="14">
        <v>44</v>
      </c>
      <c r="B45" s="6">
        <v>40025</v>
      </c>
      <c r="C45" s="9">
        <v>22459.168300000001</v>
      </c>
      <c r="D45" s="10">
        <v>9.5815000000000001</v>
      </c>
      <c r="E45" s="9">
        <v>18080.650099999999</v>
      </c>
      <c r="F45" s="10">
        <v>8.7729999999999997</v>
      </c>
      <c r="G45" s="9">
        <v>12184.932000000001</v>
      </c>
      <c r="H45" s="10">
        <v>6.012897879409584</v>
      </c>
      <c r="I45" s="9">
        <v>3236.6653000000001</v>
      </c>
      <c r="J45" s="10">
        <v>13.499000000000001</v>
      </c>
      <c r="K45" s="9">
        <v>1026.2148999999999</v>
      </c>
      <c r="L45" s="10">
        <v>15.6363</v>
      </c>
      <c r="M45" s="9">
        <v>1632.8379</v>
      </c>
      <c r="N45" s="10">
        <v>15.687900000000001</v>
      </c>
      <c r="O45" s="9">
        <v>3481.9607999999998</v>
      </c>
      <c r="P45" s="16">
        <v>12.709199999999999</v>
      </c>
    </row>
    <row r="46" spans="1:16" s="4" customFormat="1" ht="15.6" x14ac:dyDescent="0.3">
      <c r="A46" s="14">
        <v>45</v>
      </c>
      <c r="B46" s="6">
        <v>40056</v>
      </c>
      <c r="C46" s="9">
        <v>25530.157899999998</v>
      </c>
      <c r="D46" s="10">
        <v>7.7611999999999997</v>
      </c>
      <c r="E46" s="9">
        <v>21033.925999999999</v>
      </c>
      <c r="F46" s="10">
        <v>6.6227999999999998</v>
      </c>
      <c r="G46" s="9">
        <v>16007.9157</v>
      </c>
      <c r="H46" s="10">
        <v>4.3864022769991227</v>
      </c>
      <c r="I46" s="9">
        <v>2367.8566000000001</v>
      </c>
      <c r="J46" s="10">
        <v>13.6524</v>
      </c>
      <c r="K46" s="9">
        <v>940.66610000000003</v>
      </c>
      <c r="L46" s="10">
        <v>14.0543</v>
      </c>
      <c r="M46" s="9">
        <v>1717.4875999999999</v>
      </c>
      <c r="N46" s="10">
        <v>13.705</v>
      </c>
      <c r="O46" s="9">
        <v>2594.2800999999999</v>
      </c>
      <c r="P46" s="16">
        <v>14.070399999999999</v>
      </c>
    </row>
    <row r="47" spans="1:16" s="4" customFormat="1" ht="15.6" x14ac:dyDescent="0.3">
      <c r="A47" s="14">
        <v>46</v>
      </c>
      <c r="B47" s="6">
        <v>40086</v>
      </c>
      <c r="C47" s="9">
        <v>25708.356299999999</v>
      </c>
      <c r="D47" s="10">
        <v>8.8397000000000006</v>
      </c>
      <c r="E47" s="9">
        <v>21005.845700000002</v>
      </c>
      <c r="F47" s="10">
        <v>7.9634</v>
      </c>
      <c r="G47" s="9">
        <v>15403.756600000001</v>
      </c>
      <c r="H47" s="10">
        <v>6.1108333462189339</v>
      </c>
      <c r="I47" s="9">
        <v>3023.8092999999999</v>
      </c>
      <c r="J47" s="10">
        <v>12.048400000000001</v>
      </c>
      <c r="K47" s="9">
        <v>875.33100000000002</v>
      </c>
      <c r="L47" s="10">
        <v>15.027900000000001</v>
      </c>
      <c r="M47" s="9">
        <v>1702.9487999999999</v>
      </c>
      <c r="N47" s="10">
        <v>13.8367</v>
      </c>
      <c r="O47" s="9">
        <v>3268.7105000000001</v>
      </c>
      <c r="P47" s="16">
        <v>12.3851</v>
      </c>
    </row>
    <row r="48" spans="1:16" s="4" customFormat="1" ht="15.6" x14ac:dyDescent="0.3">
      <c r="A48" s="14">
        <v>47</v>
      </c>
      <c r="B48" s="6">
        <v>40117</v>
      </c>
      <c r="C48" s="9">
        <v>22362.194599999999</v>
      </c>
      <c r="D48" s="10">
        <v>10.0359</v>
      </c>
      <c r="E48" s="9">
        <v>18658.612499999999</v>
      </c>
      <c r="F48" s="10">
        <v>9.5345999999999993</v>
      </c>
      <c r="G48" s="9">
        <v>12909.031199999999</v>
      </c>
      <c r="H48" s="10">
        <v>8.0264711302580167</v>
      </c>
      <c r="I48" s="9">
        <v>2645.7556</v>
      </c>
      <c r="J48" s="10">
        <v>12.4284</v>
      </c>
      <c r="K48" s="9">
        <v>1363.2257</v>
      </c>
      <c r="L48" s="10">
        <v>14.0855</v>
      </c>
      <c r="M48" s="9">
        <v>1740.5998999999999</v>
      </c>
      <c r="N48" s="10">
        <v>12.7563</v>
      </c>
      <c r="O48" s="9">
        <v>2993.0236</v>
      </c>
      <c r="P48" s="16">
        <v>12.506600000000001</v>
      </c>
    </row>
    <row r="49" spans="1:16" s="4" customFormat="1" ht="15.6" x14ac:dyDescent="0.3">
      <c r="A49" s="14">
        <v>48</v>
      </c>
      <c r="B49" s="6">
        <v>40147</v>
      </c>
      <c r="C49" s="9">
        <v>20826.5972</v>
      </c>
      <c r="D49" s="10">
        <v>10.939299999999999</v>
      </c>
      <c r="E49" s="9">
        <v>16717.447700000001</v>
      </c>
      <c r="F49" s="10">
        <v>10.7278</v>
      </c>
      <c r="G49" s="9">
        <v>11907.439</v>
      </c>
      <c r="H49" s="10">
        <v>9.1543707405177557</v>
      </c>
      <c r="I49" s="9">
        <v>2272.6545000000001</v>
      </c>
      <c r="J49" s="10">
        <v>13.8133</v>
      </c>
      <c r="K49" s="9">
        <v>1029.1478</v>
      </c>
      <c r="L49" s="10">
        <v>14.3317</v>
      </c>
      <c r="M49" s="9">
        <v>1508.2064</v>
      </c>
      <c r="N49" s="10">
        <v>16.040900000000001</v>
      </c>
      <c r="O49" s="9">
        <v>3558.1572999999999</v>
      </c>
      <c r="P49" s="16">
        <v>11.771800000000001</v>
      </c>
    </row>
    <row r="50" spans="1:16" s="4" customFormat="1" ht="15.6" x14ac:dyDescent="0.3">
      <c r="A50" s="14">
        <v>49</v>
      </c>
      <c r="B50" s="6">
        <v>40178</v>
      </c>
      <c r="C50" s="9">
        <v>26922.515299999999</v>
      </c>
      <c r="D50" s="10">
        <v>11.3079</v>
      </c>
      <c r="E50" s="9">
        <v>21218.8946</v>
      </c>
      <c r="F50" s="10">
        <v>10.914998012175431</v>
      </c>
      <c r="G50" s="9">
        <v>13525.3181</v>
      </c>
      <c r="H50" s="10">
        <v>9.7808643270312423</v>
      </c>
      <c r="I50" s="9">
        <v>3826.8951000000002</v>
      </c>
      <c r="J50" s="10">
        <v>13.2903</v>
      </c>
      <c r="K50" s="9">
        <v>1469.0971</v>
      </c>
      <c r="L50" s="10">
        <v>15.049200000000001</v>
      </c>
      <c r="M50" s="9">
        <v>2397.5843</v>
      </c>
      <c r="N50" s="10">
        <v>11.0275</v>
      </c>
      <c r="O50" s="9">
        <v>4666.2277000000004</v>
      </c>
      <c r="P50" s="16">
        <v>12.7105</v>
      </c>
    </row>
    <row r="51" spans="1:16" s="4" customFormat="1" ht="15.6" x14ac:dyDescent="0.3">
      <c r="A51" s="14">
        <v>50</v>
      </c>
      <c r="B51" s="6">
        <v>40209</v>
      </c>
      <c r="C51" s="9">
        <v>28743.1358</v>
      </c>
      <c r="D51" s="10">
        <v>9.2802000000000007</v>
      </c>
      <c r="E51" s="9">
        <v>14001.92</v>
      </c>
      <c r="F51" s="10">
        <v>8.1633999999999993</v>
      </c>
      <c r="G51" s="9">
        <v>10265.439699999999</v>
      </c>
      <c r="H51" s="10">
        <v>6.3724190643007725</v>
      </c>
      <c r="I51" s="9">
        <v>1537.1215</v>
      </c>
      <c r="J51" s="10">
        <v>12.991099999999999</v>
      </c>
      <c r="K51" s="9">
        <v>742.98839999999996</v>
      </c>
      <c r="L51" s="10">
        <v>14.6274</v>
      </c>
      <c r="M51" s="9">
        <v>1456.3705</v>
      </c>
      <c r="N51" s="10">
        <v>12.394399999999999</v>
      </c>
      <c r="O51" s="9">
        <v>2593.3933000000002</v>
      </c>
      <c r="P51" s="16">
        <v>12.5869</v>
      </c>
    </row>
    <row r="52" spans="1:16" s="4" customFormat="1" ht="15.6" x14ac:dyDescent="0.3">
      <c r="A52" s="14">
        <v>51</v>
      </c>
      <c r="B52" s="6">
        <v>40237</v>
      </c>
      <c r="C52" s="9">
        <v>31417.3449</v>
      </c>
      <c r="D52" s="10">
        <v>9.6896000000000004</v>
      </c>
      <c r="E52" s="9">
        <v>15385.3392</v>
      </c>
      <c r="F52" s="10">
        <v>8.9018999999999995</v>
      </c>
      <c r="G52" s="9">
        <v>10325.9208</v>
      </c>
      <c r="H52" s="10">
        <v>6.7672053118517042</v>
      </c>
      <c r="I52" s="9">
        <v>2139.3456000000001</v>
      </c>
      <c r="J52" s="10">
        <v>14.584099999999999</v>
      </c>
      <c r="K52" s="9">
        <v>829.27689999999996</v>
      </c>
      <c r="L52" s="10">
        <v>14.076599999999999</v>
      </c>
      <c r="M52" s="9">
        <v>2090.7959000000001</v>
      </c>
      <c r="N52" s="10">
        <v>11.5481</v>
      </c>
      <c r="O52" s="9">
        <v>2072.6116999999999</v>
      </c>
      <c r="P52" s="16">
        <v>13.366400000000001</v>
      </c>
    </row>
    <row r="53" spans="1:16" s="4" customFormat="1" ht="15.6" x14ac:dyDescent="0.3">
      <c r="A53" s="14">
        <v>52</v>
      </c>
      <c r="B53" s="6">
        <v>40268</v>
      </c>
      <c r="C53" s="9">
        <v>38612.048499999997</v>
      </c>
      <c r="D53" s="10">
        <v>9.5609999999999999</v>
      </c>
      <c r="E53" s="9">
        <v>18502.933099999998</v>
      </c>
      <c r="F53" s="10">
        <v>7.9808000000000003</v>
      </c>
      <c r="G53" s="9">
        <v>11631.388000000001</v>
      </c>
      <c r="H53" s="10">
        <v>5.0958415402804889</v>
      </c>
      <c r="I53" s="9">
        <v>3111.4731000000002</v>
      </c>
      <c r="J53" s="10">
        <v>12.657299999999999</v>
      </c>
      <c r="K53" s="9">
        <v>1131.1232</v>
      </c>
      <c r="L53" s="10">
        <v>14.038500000000001</v>
      </c>
      <c r="M53" s="9">
        <v>2628.9488000000001</v>
      </c>
      <c r="N53" s="10">
        <v>12.6036</v>
      </c>
      <c r="O53" s="9">
        <v>2733.9463999999998</v>
      </c>
      <c r="P53" s="16">
        <v>13.127599999999999</v>
      </c>
    </row>
    <row r="54" spans="1:16" s="4" customFormat="1" ht="15.6" x14ac:dyDescent="0.3">
      <c r="A54" s="14">
        <v>53</v>
      </c>
      <c r="B54" s="6">
        <v>40298</v>
      </c>
      <c r="C54" s="9">
        <v>37648.959300000002</v>
      </c>
      <c r="D54" s="10">
        <v>9.6199999999999992</v>
      </c>
      <c r="E54" s="9">
        <v>16429.755099999998</v>
      </c>
      <c r="F54" s="10">
        <v>8.2093000000000007</v>
      </c>
      <c r="G54" s="9">
        <v>9309.6005999999998</v>
      </c>
      <c r="H54" s="10">
        <v>4.263837985721965</v>
      </c>
      <c r="I54" s="9">
        <v>3077.6552000000001</v>
      </c>
      <c r="J54" s="10">
        <v>12.2249</v>
      </c>
      <c r="K54" s="9">
        <v>1366.2268999999999</v>
      </c>
      <c r="L54" s="10">
        <v>13.2599</v>
      </c>
      <c r="M54" s="9">
        <v>2676.2723999999998</v>
      </c>
      <c r="N54" s="10">
        <v>14.773</v>
      </c>
      <c r="O54" s="9">
        <v>2616.2557000000002</v>
      </c>
      <c r="P54" s="16">
        <v>13.1477</v>
      </c>
    </row>
    <row r="55" spans="1:16" s="4" customFormat="1" ht="15.6" x14ac:dyDescent="0.3">
      <c r="A55" s="14">
        <v>54</v>
      </c>
      <c r="B55" s="6">
        <v>40329</v>
      </c>
      <c r="C55" s="9">
        <v>33864.397100000002</v>
      </c>
      <c r="D55" s="10">
        <v>8.0017999999999994</v>
      </c>
      <c r="E55" s="9">
        <v>17407.0121</v>
      </c>
      <c r="F55" s="10">
        <v>5.5019999999999998</v>
      </c>
      <c r="G55" s="9">
        <v>11626.122100000001</v>
      </c>
      <c r="H55" s="10">
        <v>2.4176044767859439</v>
      </c>
      <c r="I55" s="9">
        <v>2884.4034000000001</v>
      </c>
      <c r="J55" s="10">
        <v>10.640599999999999</v>
      </c>
      <c r="K55" s="9">
        <v>892.67970000000003</v>
      </c>
      <c r="L55" s="10">
        <v>11.9854</v>
      </c>
      <c r="M55" s="9">
        <v>2003.8069</v>
      </c>
      <c r="N55" s="10">
        <v>13.1122</v>
      </c>
      <c r="O55" s="9">
        <v>2151.5326</v>
      </c>
      <c r="P55" s="16">
        <v>11.6271</v>
      </c>
    </row>
    <row r="56" spans="1:16" s="4" customFormat="1" ht="15.6" x14ac:dyDescent="0.3">
      <c r="A56" s="14">
        <v>55</v>
      </c>
      <c r="B56" s="6">
        <v>40359</v>
      </c>
      <c r="C56" s="9">
        <v>43048.777400000006</v>
      </c>
      <c r="D56" s="10">
        <v>6.7202999999999999</v>
      </c>
      <c r="E56" s="9">
        <v>24257.488000000001</v>
      </c>
      <c r="F56" s="10">
        <v>4.6493000000000002</v>
      </c>
      <c r="G56" s="9">
        <v>17162.525700000002</v>
      </c>
      <c r="H56" s="10">
        <v>1.9767578380057429</v>
      </c>
      <c r="I56" s="9">
        <v>3303.9506000000001</v>
      </c>
      <c r="J56" s="10">
        <v>9.4563000000000006</v>
      </c>
      <c r="K56" s="9">
        <v>1342.5799</v>
      </c>
      <c r="L56" s="10">
        <v>11.438800000000001</v>
      </c>
      <c r="M56" s="9">
        <v>2448.4317000000001</v>
      </c>
      <c r="N56" s="10">
        <v>13.193099999999999</v>
      </c>
      <c r="O56" s="9">
        <v>2587.4216000000001</v>
      </c>
      <c r="P56" s="16">
        <v>11.528499999999999</v>
      </c>
    </row>
    <row r="57" spans="1:16" s="4" customFormat="1" ht="15.6" x14ac:dyDescent="0.3">
      <c r="A57" s="14">
        <v>56</v>
      </c>
      <c r="B57" s="6">
        <v>40390</v>
      </c>
      <c r="C57" s="9">
        <v>45589.8076</v>
      </c>
      <c r="D57" s="10">
        <v>6.6196999999999999</v>
      </c>
      <c r="E57" s="9">
        <v>25785.3727</v>
      </c>
      <c r="F57" s="10">
        <v>4.6782000000000004</v>
      </c>
      <c r="G57" s="9">
        <v>17390.557400000002</v>
      </c>
      <c r="H57" s="10">
        <v>1.5390528263079135</v>
      </c>
      <c r="I57" s="9">
        <v>3512.5342999999998</v>
      </c>
      <c r="J57" s="10">
        <v>7.5580999999999996</v>
      </c>
      <c r="K57" s="9">
        <v>1367.1612</v>
      </c>
      <c r="L57" s="10">
        <v>13.961499999999999</v>
      </c>
      <c r="M57" s="9">
        <v>3515.1197000000002</v>
      </c>
      <c r="N57" s="10">
        <v>13.7203</v>
      </c>
      <c r="O57" s="9">
        <v>2455.3856999999998</v>
      </c>
      <c r="P57" s="16">
        <v>12.7697</v>
      </c>
    </row>
    <row r="58" spans="1:16" s="4" customFormat="1" ht="15.6" x14ac:dyDescent="0.3">
      <c r="A58" s="14">
        <v>57</v>
      </c>
      <c r="B58" s="6">
        <v>40421</v>
      </c>
      <c r="C58" s="9">
        <v>48166.945699999997</v>
      </c>
      <c r="D58" s="10">
        <v>5.9519000000000002</v>
      </c>
      <c r="E58" s="9">
        <v>26105.485199999999</v>
      </c>
      <c r="F58" s="10">
        <v>3.3708999999999998</v>
      </c>
      <c r="G58" s="9">
        <v>18389.9084</v>
      </c>
      <c r="H58" s="10">
        <v>0.89791325375117137</v>
      </c>
      <c r="I58" s="9">
        <v>3649.8912999999998</v>
      </c>
      <c r="J58" s="10">
        <v>6.4153000000000002</v>
      </c>
      <c r="K58" s="9">
        <v>1311.5445</v>
      </c>
      <c r="L58" s="10">
        <v>10.2256</v>
      </c>
      <c r="M58" s="9">
        <v>2754.1410000000001</v>
      </c>
      <c r="N58" s="10">
        <v>12.584300000000001</v>
      </c>
      <c r="O58" s="9">
        <v>3291.4870999999998</v>
      </c>
      <c r="P58" s="16">
        <v>10.994899999999999</v>
      </c>
    </row>
    <row r="59" spans="1:16" s="4" customFormat="1" ht="15.6" x14ac:dyDescent="0.3">
      <c r="A59" s="14">
        <v>58</v>
      </c>
      <c r="B59" s="6">
        <v>40451</v>
      </c>
      <c r="C59" s="9">
        <v>48619.835899999998</v>
      </c>
      <c r="D59" s="10">
        <v>5.5620000000000003</v>
      </c>
      <c r="E59" s="9">
        <v>26697.933799999999</v>
      </c>
      <c r="F59" s="10">
        <v>3.0724999999999998</v>
      </c>
      <c r="G59" s="9">
        <v>18371.854500000001</v>
      </c>
      <c r="H59" s="10">
        <v>0.83157795382496624</v>
      </c>
      <c r="I59" s="9">
        <v>4580.1603999999998</v>
      </c>
      <c r="J59" s="10">
        <v>5.5979999999999999</v>
      </c>
      <c r="K59" s="9">
        <v>1627.9170999999999</v>
      </c>
      <c r="L59" s="10">
        <v>10.079800000000001</v>
      </c>
      <c r="M59" s="9">
        <v>2118.0018</v>
      </c>
      <c r="N59" s="10">
        <v>11.663500000000001</v>
      </c>
      <c r="O59" s="9">
        <v>3399.5607</v>
      </c>
      <c r="P59" s="16">
        <v>12.85</v>
      </c>
    </row>
    <row r="60" spans="1:16" s="4" customFormat="1" ht="15.6" x14ac:dyDescent="0.3">
      <c r="A60" s="14">
        <v>59</v>
      </c>
      <c r="B60" s="6">
        <v>40482</v>
      </c>
      <c r="C60" s="9">
        <v>46311.155100000004</v>
      </c>
      <c r="D60" s="10">
        <v>4.9217000000000004</v>
      </c>
      <c r="E60" s="9">
        <v>25001.428800000002</v>
      </c>
      <c r="F60" s="10">
        <v>3.1715</v>
      </c>
      <c r="G60" s="9">
        <v>16899.8357</v>
      </c>
      <c r="H60" s="10">
        <v>0.68719437503584724</v>
      </c>
      <c r="I60" s="9">
        <v>4504.2669999999998</v>
      </c>
      <c r="J60" s="10">
        <v>6.0179</v>
      </c>
      <c r="K60" s="9">
        <v>1563.9991</v>
      </c>
      <c r="L60" s="10">
        <v>9.1690000000000005</v>
      </c>
      <c r="M60" s="9">
        <v>2033.327</v>
      </c>
      <c r="N60" s="10">
        <v>12.9003</v>
      </c>
      <c r="O60" s="9">
        <v>3827.7026999999998</v>
      </c>
      <c r="P60" s="16">
        <v>9.6130999999999993</v>
      </c>
    </row>
    <row r="61" spans="1:16" s="4" customFormat="1" ht="15.6" x14ac:dyDescent="0.3">
      <c r="A61" s="14">
        <v>60</v>
      </c>
      <c r="B61" s="6">
        <v>40512</v>
      </c>
      <c r="C61" s="9">
        <v>44117.936099999999</v>
      </c>
      <c r="D61" s="10">
        <v>5.4126000000000003</v>
      </c>
      <c r="E61" s="9">
        <v>21301.9791</v>
      </c>
      <c r="F61" s="10">
        <v>3.0546000000000002</v>
      </c>
      <c r="G61" s="9">
        <v>15942.721600000001</v>
      </c>
      <c r="H61" s="10">
        <v>1.430117629993614</v>
      </c>
      <c r="I61" s="9">
        <v>2838.6705000000002</v>
      </c>
      <c r="J61" s="10">
        <v>6.6020000000000003</v>
      </c>
      <c r="K61" s="9">
        <v>1077.8639000000001</v>
      </c>
      <c r="L61" s="10">
        <v>8.2726000000000006</v>
      </c>
      <c r="M61" s="9">
        <v>1442.723</v>
      </c>
      <c r="N61" s="10">
        <v>10.126899999999999</v>
      </c>
      <c r="O61" s="9">
        <v>3455.4859000000001</v>
      </c>
      <c r="P61" s="16">
        <v>9.3183000000000007</v>
      </c>
    </row>
    <row r="62" spans="1:16" s="4" customFormat="1" ht="15.6" x14ac:dyDescent="0.3">
      <c r="A62" s="14">
        <v>61</v>
      </c>
      <c r="B62" s="6">
        <v>40543</v>
      </c>
      <c r="C62" s="9">
        <v>54750.964099999997</v>
      </c>
      <c r="D62" s="10">
        <v>5.7023999999999999</v>
      </c>
      <c r="E62" s="9">
        <v>29710.746599999999</v>
      </c>
      <c r="F62" s="10">
        <v>4.7690000000000001</v>
      </c>
      <c r="G62" s="9">
        <v>20855.951099999998</v>
      </c>
      <c r="H62" s="10">
        <v>3.1186235743183155</v>
      </c>
      <c r="I62" s="9">
        <v>4946.3910999999998</v>
      </c>
      <c r="J62" s="10">
        <v>8.5258000000000003</v>
      </c>
      <c r="K62" s="9">
        <v>1785.6557</v>
      </c>
      <c r="L62" s="10">
        <v>9.7388999999999992</v>
      </c>
      <c r="M62" s="9">
        <v>2122.7487000000001</v>
      </c>
      <c r="N62" s="10">
        <v>8.0497999999999994</v>
      </c>
      <c r="O62" s="9">
        <v>7232.5469000000003</v>
      </c>
      <c r="P62" s="16">
        <v>7.3410000000000002</v>
      </c>
    </row>
    <row r="63" spans="1:16" s="5" customFormat="1" ht="15.6" x14ac:dyDescent="0.3">
      <c r="A63" s="14">
        <v>62</v>
      </c>
      <c r="B63" s="6">
        <v>40574</v>
      </c>
      <c r="C63" s="9">
        <v>45412.063800000004</v>
      </c>
      <c r="D63" s="10">
        <v>4.5614999999999997</v>
      </c>
      <c r="E63" s="9">
        <v>24972.533500000001</v>
      </c>
      <c r="F63" s="10">
        <v>3.0848</v>
      </c>
      <c r="G63" s="9">
        <v>19440.186999999998</v>
      </c>
      <c r="H63" s="10">
        <v>1.3723293637602354</v>
      </c>
      <c r="I63" s="9">
        <v>2908.9938999999999</v>
      </c>
      <c r="J63" s="10">
        <v>7.9135</v>
      </c>
      <c r="K63" s="9">
        <v>1458.6985</v>
      </c>
      <c r="L63" s="10">
        <v>9.7914999999999992</v>
      </c>
      <c r="M63" s="9">
        <v>1164.6541</v>
      </c>
      <c r="N63" s="10">
        <v>11.2075</v>
      </c>
      <c r="O63" s="9">
        <v>3379.2845000000002</v>
      </c>
      <c r="P63" s="16">
        <v>8.5198</v>
      </c>
    </row>
    <row r="64" spans="1:16" s="5" customFormat="1" ht="15.6" x14ac:dyDescent="0.3">
      <c r="A64" s="14">
        <v>63</v>
      </c>
      <c r="B64" s="6">
        <v>40602</v>
      </c>
      <c r="C64" s="9">
        <v>42571.917500000003</v>
      </c>
      <c r="D64" s="10">
        <v>4.1718000000000002</v>
      </c>
      <c r="E64" s="9">
        <v>23383.527399999999</v>
      </c>
      <c r="F64" s="10">
        <v>3.5190999999999999</v>
      </c>
      <c r="G64" s="9">
        <v>17548.5033</v>
      </c>
      <c r="H64" s="10">
        <v>1.8551967633518922</v>
      </c>
      <c r="I64" s="9">
        <v>2649.0743000000002</v>
      </c>
      <c r="J64" s="10">
        <v>8.5195000000000007</v>
      </c>
      <c r="K64" s="9">
        <v>1364.4472000000001</v>
      </c>
      <c r="L64" s="10">
        <v>9.0153999999999996</v>
      </c>
      <c r="M64" s="9">
        <v>1821.5026</v>
      </c>
      <c r="N64" s="10">
        <v>8.1593999999999998</v>
      </c>
      <c r="O64" s="9">
        <v>2920.4382999999998</v>
      </c>
      <c r="P64" s="16">
        <v>8.2154000000000007</v>
      </c>
    </row>
    <row r="65" spans="1:16" s="5" customFormat="1" ht="15.6" x14ac:dyDescent="0.3">
      <c r="A65" s="14">
        <v>64</v>
      </c>
      <c r="B65" s="6">
        <v>40633</v>
      </c>
      <c r="C65" s="9">
        <v>45398.078800000003</v>
      </c>
      <c r="D65" s="10">
        <v>3.7208000000000001</v>
      </c>
      <c r="E65" s="9">
        <v>27826.773499999999</v>
      </c>
      <c r="F65" s="10">
        <v>2.9165000000000001</v>
      </c>
      <c r="G65" s="9">
        <v>19981.426800000001</v>
      </c>
      <c r="H65" s="10">
        <v>1.0668041915585329</v>
      </c>
      <c r="I65" s="9">
        <v>3483.2141000000001</v>
      </c>
      <c r="J65" s="10">
        <v>7.1158999999999999</v>
      </c>
      <c r="K65" s="9">
        <v>1628.2037</v>
      </c>
      <c r="L65" s="10">
        <v>7.7154999999999996</v>
      </c>
      <c r="M65" s="9">
        <v>2733.9288999999999</v>
      </c>
      <c r="N65" s="10">
        <v>8.2269000000000005</v>
      </c>
      <c r="O65" s="9">
        <v>3494.8647000000001</v>
      </c>
      <c r="P65" s="16">
        <v>7.8174999999999999</v>
      </c>
    </row>
    <row r="66" spans="1:16" s="5" customFormat="1" ht="15.6" x14ac:dyDescent="0.3">
      <c r="A66" s="14">
        <v>65</v>
      </c>
      <c r="B66" s="6">
        <v>40663</v>
      </c>
      <c r="C66" s="9">
        <v>41896.961600000002</v>
      </c>
      <c r="D66" s="10">
        <v>3.5206</v>
      </c>
      <c r="E66" s="9">
        <v>27285.431100000002</v>
      </c>
      <c r="F66" s="10">
        <v>2.5838999999999999</v>
      </c>
      <c r="G66" s="9">
        <v>20130.343000000001</v>
      </c>
      <c r="H66" s="10">
        <v>0.6567857399916136</v>
      </c>
      <c r="I66" s="9">
        <v>3450.4497000000001</v>
      </c>
      <c r="J66" s="10">
        <v>6.3655999999999997</v>
      </c>
      <c r="K66" s="9">
        <v>1704.1433</v>
      </c>
      <c r="L66" s="10">
        <v>9.5056999999999992</v>
      </c>
      <c r="M66" s="9">
        <v>2000.4949999999999</v>
      </c>
      <c r="N66" s="10">
        <v>9.5570000000000004</v>
      </c>
      <c r="O66" s="9">
        <v>2929.7527</v>
      </c>
      <c r="P66" s="16">
        <v>7.7217000000000002</v>
      </c>
    </row>
    <row r="67" spans="1:16" s="5" customFormat="1" ht="15.6" x14ac:dyDescent="0.3">
      <c r="A67" s="14">
        <v>66</v>
      </c>
      <c r="B67" s="6">
        <v>40694</v>
      </c>
      <c r="C67" s="9">
        <v>40599.737399999998</v>
      </c>
      <c r="D67" s="10">
        <v>3.8359000000000001</v>
      </c>
      <c r="E67" s="9">
        <v>26176.49</v>
      </c>
      <c r="F67" s="10">
        <v>2.9956999999999998</v>
      </c>
      <c r="G67" s="9">
        <v>19662.658800000001</v>
      </c>
      <c r="H67" s="10">
        <v>1.5578378574722558</v>
      </c>
      <c r="I67" s="9">
        <v>3445.0589</v>
      </c>
      <c r="J67" s="10">
        <v>6.5766999999999998</v>
      </c>
      <c r="K67" s="9">
        <v>1070.6939</v>
      </c>
      <c r="L67" s="10">
        <v>8.3491999999999997</v>
      </c>
      <c r="M67" s="9">
        <v>1998.0784000000001</v>
      </c>
      <c r="N67" s="10">
        <v>8.1030999999999995</v>
      </c>
      <c r="O67" s="9">
        <v>3194.1523000000002</v>
      </c>
      <c r="P67" s="16">
        <v>7.5312000000000001</v>
      </c>
    </row>
    <row r="68" spans="1:16" s="5" customFormat="1" ht="15.6" x14ac:dyDescent="0.3">
      <c r="A68" s="14">
        <v>67</v>
      </c>
      <c r="B68" s="6">
        <v>40724</v>
      </c>
      <c r="C68" s="9">
        <v>44828.140899999999</v>
      </c>
      <c r="D68" s="10">
        <v>4.1605999999999996</v>
      </c>
      <c r="E68" s="9">
        <v>26391.061300000001</v>
      </c>
      <c r="F68" s="10">
        <v>3.5362</v>
      </c>
      <c r="G68" s="9">
        <v>19022.091700000001</v>
      </c>
      <c r="H68" s="10">
        <v>1.9254703544368887</v>
      </c>
      <c r="I68" s="9">
        <v>4192.7169999999996</v>
      </c>
      <c r="J68" s="10">
        <v>6.444</v>
      </c>
      <c r="K68" s="9">
        <v>892.1508</v>
      </c>
      <c r="L68" s="10">
        <v>8.3721999999999994</v>
      </c>
      <c r="M68" s="9">
        <v>2284.1019000000001</v>
      </c>
      <c r="N68" s="10">
        <v>9.7677999999999994</v>
      </c>
      <c r="O68" s="9">
        <v>5744.4682000000003</v>
      </c>
      <c r="P68" s="16">
        <v>5.4034000000000004</v>
      </c>
    </row>
    <row r="69" spans="1:16" s="5" customFormat="1" ht="15.6" x14ac:dyDescent="0.3">
      <c r="A69" s="14">
        <v>68</v>
      </c>
      <c r="B69" s="6">
        <v>40755</v>
      </c>
      <c r="C69" s="9">
        <v>44612.0674</v>
      </c>
      <c r="D69" s="10">
        <v>4.1814999999999998</v>
      </c>
      <c r="E69" s="9">
        <v>27225.8619</v>
      </c>
      <c r="F69" s="10">
        <v>3.3565</v>
      </c>
      <c r="G69" s="9">
        <v>20349.418300000001</v>
      </c>
      <c r="H69" s="10">
        <v>1.7375610941601214</v>
      </c>
      <c r="I69" s="9">
        <v>3443.4769000000001</v>
      </c>
      <c r="J69" s="10">
        <v>7.2004999999999999</v>
      </c>
      <c r="K69" s="9">
        <v>1610.8595</v>
      </c>
      <c r="L69" s="10">
        <v>8.9839000000000002</v>
      </c>
      <c r="M69" s="9">
        <v>1822.1072999999999</v>
      </c>
      <c r="N69" s="10">
        <v>9.1981000000000002</v>
      </c>
      <c r="O69" s="9">
        <v>3156.0652</v>
      </c>
      <c r="P69" s="16">
        <v>7.6795999999999998</v>
      </c>
    </row>
    <row r="70" spans="1:16" s="5" customFormat="1" ht="15.6" x14ac:dyDescent="0.3">
      <c r="A70" s="14">
        <v>69</v>
      </c>
      <c r="B70" s="6">
        <v>40786</v>
      </c>
      <c r="C70" s="9">
        <v>58386.580300000001</v>
      </c>
      <c r="D70" s="10">
        <v>4.8985000000000003</v>
      </c>
      <c r="E70" s="9">
        <v>36168.055399999997</v>
      </c>
      <c r="F70" s="10">
        <v>4.3914</v>
      </c>
      <c r="G70" s="9">
        <v>26784.331200000001</v>
      </c>
      <c r="H70" s="10">
        <v>3.0740599121634968</v>
      </c>
      <c r="I70" s="9">
        <v>4928.4660999999996</v>
      </c>
      <c r="J70" s="10">
        <v>7.9840999999999998</v>
      </c>
      <c r="K70" s="9">
        <v>995.20429999999999</v>
      </c>
      <c r="L70" s="10">
        <v>7.3247</v>
      </c>
      <c r="M70" s="9">
        <v>3460.0537999999997</v>
      </c>
      <c r="N70" s="10">
        <v>8.6282999999999994</v>
      </c>
      <c r="O70" s="9">
        <v>3577.3597</v>
      </c>
      <c r="P70" s="16">
        <v>7.6235999999999997</v>
      </c>
    </row>
    <row r="71" spans="1:16" s="5" customFormat="1" ht="15.6" x14ac:dyDescent="0.3">
      <c r="A71" s="14">
        <v>70</v>
      </c>
      <c r="B71" s="6">
        <v>40816</v>
      </c>
      <c r="C71" s="9">
        <v>66871.971399999995</v>
      </c>
      <c r="D71" s="10">
        <v>5.6623999999999999</v>
      </c>
      <c r="E71" s="9">
        <v>43584.668300000005</v>
      </c>
      <c r="F71" s="10">
        <v>5.71</v>
      </c>
      <c r="G71" s="9">
        <v>30432.632600000001</v>
      </c>
      <c r="H71" s="10">
        <v>4.2494565912611844</v>
      </c>
      <c r="I71" s="9">
        <v>5404.0883999999996</v>
      </c>
      <c r="J71" s="10">
        <v>8.6763999999999992</v>
      </c>
      <c r="K71" s="9">
        <v>2384.2181</v>
      </c>
      <c r="L71" s="10">
        <v>9.8712</v>
      </c>
      <c r="M71" s="9">
        <v>5363.7293</v>
      </c>
      <c r="N71" s="10">
        <v>9.1707999999999998</v>
      </c>
      <c r="O71" s="9">
        <v>4206.6343999999999</v>
      </c>
      <c r="P71" s="16">
        <v>6.6722999999999999</v>
      </c>
    </row>
    <row r="72" spans="1:16" s="5" customFormat="1" ht="15.6" x14ac:dyDescent="0.3">
      <c r="A72" s="14">
        <v>71</v>
      </c>
      <c r="B72" s="6">
        <v>40847</v>
      </c>
      <c r="C72" s="9">
        <v>59403.875700000004</v>
      </c>
      <c r="D72" s="10">
        <v>9.1475000000000009</v>
      </c>
      <c r="E72" s="9">
        <v>40582.0599</v>
      </c>
      <c r="F72" s="10">
        <v>10.6754</v>
      </c>
      <c r="G72" s="9">
        <v>31384.0563</v>
      </c>
      <c r="H72" s="10">
        <v>10.85555310733017</v>
      </c>
      <c r="I72" s="9">
        <v>4400.0785999999998</v>
      </c>
      <c r="J72" s="10">
        <v>11.621</v>
      </c>
      <c r="K72" s="9">
        <v>1721.8898999999999</v>
      </c>
      <c r="L72" s="10">
        <v>9.6617999999999995</v>
      </c>
      <c r="M72" s="9">
        <v>3076.0351000000001</v>
      </c>
      <c r="N72" s="10">
        <v>8.0525000000000002</v>
      </c>
      <c r="O72" s="9">
        <v>2915.9548</v>
      </c>
      <c r="P72" s="16">
        <v>8.8641000000000005</v>
      </c>
    </row>
    <row r="73" spans="1:16" s="5" customFormat="1" ht="15.6" x14ac:dyDescent="0.3">
      <c r="A73" s="14">
        <v>72</v>
      </c>
      <c r="B73" s="6">
        <v>40877</v>
      </c>
      <c r="C73" s="9">
        <v>66741.405800000008</v>
      </c>
      <c r="D73" s="10">
        <v>9.2623999999999995</v>
      </c>
      <c r="E73" s="9">
        <v>43497.830900000001</v>
      </c>
      <c r="F73" s="10">
        <v>10.992699999999999</v>
      </c>
      <c r="G73" s="9">
        <v>34835.219000000005</v>
      </c>
      <c r="H73" s="10">
        <v>10.653741923364397</v>
      </c>
      <c r="I73" s="9">
        <v>4715.4807000000001</v>
      </c>
      <c r="J73" s="10">
        <v>13.3027</v>
      </c>
      <c r="K73" s="9">
        <v>1340.2882</v>
      </c>
      <c r="L73" s="10">
        <v>10.3169</v>
      </c>
      <c r="M73" s="9">
        <v>2606.8431</v>
      </c>
      <c r="N73" s="10">
        <v>11.6882</v>
      </c>
      <c r="O73" s="9">
        <v>4560.4859999999999</v>
      </c>
      <c r="P73" s="16">
        <v>6.11</v>
      </c>
    </row>
    <row r="74" spans="1:16" s="5" customFormat="1" ht="15.6" x14ac:dyDescent="0.3">
      <c r="A74" s="14">
        <v>73</v>
      </c>
      <c r="B74" s="6">
        <v>40908</v>
      </c>
      <c r="C74" s="9">
        <v>74699.701300000001</v>
      </c>
      <c r="D74" s="10">
        <v>8.0772999999999993</v>
      </c>
      <c r="E74" s="9">
        <v>45877.073700000001</v>
      </c>
      <c r="F74" s="10">
        <v>8.6547000000000001</v>
      </c>
      <c r="G74" s="9">
        <v>34832.801699999996</v>
      </c>
      <c r="H74" s="10">
        <v>7.156391487853818</v>
      </c>
      <c r="I74" s="9">
        <v>5734.3256000000001</v>
      </c>
      <c r="J74" s="10">
        <v>15.898400000000001</v>
      </c>
      <c r="K74" s="9">
        <v>2364.3573999999999</v>
      </c>
      <c r="L74" s="10">
        <v>9.3740000000000006</v>
      </c>
      <c r="M74" s="9">
        <v>2945.5889999999999</v>
      </c>
      <c r="N74" s="10">
        <v>11.744400000000001</v>
      </c>
      <c r="O74" s="9">
        <v>7167.8797000000004</v>
      </c>
      <c r="P74" s="16">
        <v>8.3516999999999992</v>
      </c>
    </row>
    <row r="75" spans="1:16" s="5" customFormat="1" ht="15.6" x14ac:dyDescent="0.3">
      <c r="A75" s="14">
        <v>74</v>
      </c>
      <c r="B75" s="6">
        <v>40939</v>
      </c>
      <c r="C75" s="9">
        <v>53913.221899999997</v>
      </c>
      <c r="D75" s="10">
        <v>7.2770000000000001</v>
      </c>
      <c r="E75" s="9">
        <v>30896.759300000002</v>
      </c>
      <c r="F75" s="10">
        <v>6.1505000000000001</v>
      </c>
      <c r="G75" s="9">
        <v>22602.3724</v>
      </c>
      <c r="H75" s="10">
        <v>3.6489378057818391</v>
      </c>
      <c r="I75" s="9">
        <v>5037.1908000000003</v>
      </c>
      <c r="J75" s="10">
        <v>15.0327</v>
      </c>
      <c r="K75" s="9">
        <v>1531.8336999999999</v>
      </c>
      <c r="L75" s="10">
        <v>10.594099999999999</v>
      </c>
      <c r="M75" s="9">
        <v>1725.3623</v>
      </c>
      <c r="N75" s="10">
        <v>9.0450999999999997</v>
      </c>
      <c r="O75" s="9">
        <v>1688.6909000000001</v>
      </c>
      <c r="P75" s="16">
        <v>10.1907</v>
      </c>
    </row>
    <row r="76" spans="1:16" s="5" customFormat="1" ht="15.6" x14ac:dyDescent="0.3">
      <c r="A76" s="14">
        <v>75</v>
      </c>
      <c r="B76" s="6">
        <v>40968</v>
      </c>
      <c r="C76" s="9">
        <v>53562.039199999999</v>
      </c>
      <c r="D76" s="10">
        <v>7.9402999999999997</v>
      </c>
      <c r="E76" s="9">
        <v>31572.649300000001</v>
      </c>
      <c r="F76" s="10">
        <v>6.8613999999999997</v>
      </c>
      <c r="G76" s="9">
        <v>21929.849699999999</v>
      </c>
      <c r="H76" s="10">
        <v>4.9796328692102252</v>
      </c>
      <c r="I76" s="9">
        <v>5801.8935000000001</v>
      </c>
      <c r="J76" s="10">
        <v>11.5541</v>
      </c>
      <c r="K76" s="9">
        <v>1791.2913000000001</v>
      </c>
      <c r="L76" s="10">
        <v>11.3422</v>
      </c>
      <c r="M76" s="9">
        <v>2049.6147000000001</v>
      </c>
      <c r="N76" s="10">
        <v>9.7958999999999996</v>
      </c>
      <c r="O76" s="9">
        <v>1843.6437000000001</v>
      </c>
      <c r="P76" s="16">
        <v>9.2250999999999994</v>
      </c>
    </row>
    <row r="77" spans="1:16" s="5" customFormat="1" ht="15.6" x14ac:dyDescent="0.3">
      <c r="A77" s="14">
        <v>76</v>
      </c>
      <c r="B77" s="6">
        <v>40999</v>
      </c>
      <c r="C77" s="9">
        <v>59974.139600000002</v>
      </c>
      <c r="D77" s="10">
        <v>6.2835000000000001</v>
      </c>
      <c r="E77" s="9">
        <v>33741.344600000004</v>
      </c>
      <c r="F77" s="10">
        <v>5.5370999999999997</v>
      </c>
      <c r="G77" s="9">
        <v>25401.069899999999</v>
      </c>
      <c r="H77" s="10">
        <v>3.595253643786477</v>
      </c>
      <c r="I77" s="9">
        <v>4569.7184000000007</v>
      </c>
      <c r="J77" s="10">
        <v>11.864800000000001</v>
      </c>
      <c r="K77" s="9">
        <v>1739.3023999999998</v>
      </c>
      <c r="L77" s="10">
        <v>9.4139999999999997</v>
      </c>
      <c r="M77" s="9">
        <v>2031.2538999999999</v>
      </c>
      <c r="N77" s="10">
        <v>12.2822</v>
      </c>
      <c r="O77" s="9">
        <v>4119.5284000000001</v>
      </c>
      <c r="P77" s="16">
        <v>4.4946000000000002</v>
      </c>
    </row>
    <row r="78" spans="1:16" s="5" customFormat="1" ht="15.6" x14ac:dyDescent="0.3">
      <c r="A78" s="14">
        <v>77</v>
      </c>
      <c r="B78" s="6">
        <v>41029</v>
      </c>
      <c r="C78" s="9">
        <v>52912.872199999998</v>
      </c>
      <c r="D78" s="10">
        <v>6.0804999999999998</v>
      </c>
      <c r="E78" s="9">
        <v>31155.4804</v>
      </c>
      <c r="F78" s="10">
        <v>4.9442000000000004</v>
      </c>
      <c r="G78" s="9">
        <v>21626.892399999997</v>
      </c>
      <c r="H78" s="10">
        <v>3.1971554321655575</v>
      </c>
      <c r="I78" s="9">
        <v>6394.5667000000003</v>
      </c>
      <c r="J78" s="10">
        <v>8.1518999999999995</v>
      </c>
      <c r="K78" s="9">
        <v>1366.9933000000001</v>
      </c>
      <c r="L78" s="10">
        <v>12.307600000000001</v>
      </c>
      <c r="M78" s="9">
        <v>1767.028</v>
      </c>
      <c r="N78" s="10">
        <v>9.0225000000000009</v>
      </c>
      <c r="O78" s="9">
        <v>2812.0704000000001</v>
      </c>
      <c r="P78" s="16">
        <v>9.0972000000000008</v>
      </c>
    </row>
    <row r="79" spans="1:16" s="5" customFormat="1" ht="15.6" x14ac:dyDescent="0.3">
      <c r="A79" s="14">
        <v>78</v>
      </c>
      <c r="B79" s="6">
        <v>41060</v>
      </c>
      <c r="C79" s="9">
        <v>55862.606800000001</v>
      </c>
      <c r="D79" s="10">
        <v>6.6515000000000004</v>
      </c>
      <c r="E79" s="9">
        <v>30888.414100000002</v>
      </c>
      <c r="F79" s="10">
        <v>5.3807999999999998</v>
      </c>
      <c r="G79" s="9">
        <v>23448.270199999999</v>
      </c>
      <c r="H79" s="10">
        <v>3.7364476458429756</v>
      </c>
      <c r="I79" s="9">
        <v>3343.7264</v>
      </c>
      <c r="J79" s="10">
        <v>11.2554</v>
      </c>
      <c r="K79" s="9">
        <v>1341.0758000000001</v>
      </c>
      <c r="L79" s="10">
        <v>11.6526</v>
      </c>
      <c r="M79" s="9">
        <v>2755.3416999999999</v>
      </c>
      <c r="N79" s="10">
        <v>9.1953999999999994</v>
      </c>
      <c r="O79" s="9">
        <v>3504.8332999999998</v>
      </c>
      <c r="P79" s="16">
        <v>9.0716999999999999</v>
      </c>
    </row>
    <row r="80" spans="1:16" s="5" customFormat="1" ht="15.6" x14ac:dyDescent="0.3">
      <c r="A80" s="14">
        <v>79</v>
      </c>
      <c r="B80" s="6">
        <v>41090</v>
      </c>
      <c r="C80" s="9">
        <v>69560.316699999996</v>
      </c>
      <c r="D80" s="10">
        <v>9.2502999999999993</v>
      </c>
      <c r="E80" s="9">
        <v>46413.507100000003</v>
      </c>
      <c r="F80" s="10">
        <v>9.8132000000000001</v>
      </c>
      <c r="G80" s="9">
        <v>36917.636899999998</v>
      </c>
      <c r="H80" s="10">
        <v>9.3249354843790133</v>
      </c>
      <c r="I80" s="9">
        <v>3723.4383000000003</v>
      </c>
      <c r="J80" s="10">
        <v>11.707599999999999</v>
      </c>
      <c r="K80" s="9">
        <v>1981.6377</v>
      </c>
      <c r="L80" s="10">
        <v>11.532</v>
      </c>
      <c r="M80" s="9">
        <v>3790.7941000000001</v>
      </c>
      <c r="N80" s="10">
        <v>11.8094</v>
      </c>
      <c r="O80" s="9">
        <v>2488.9708000000001</v>
      </c>
      <c r="P80" s="16">
        <v>10.851100000000001</v>
      </c>
    </row>
    <row r="81" spans="1:16" s="5" customFormat="1" ht="15.6" x14ac:dyDescent="0.3">
      <c r="A81" s="14">
        <v>80</v>
      </c>
      <c r="B81" s="6">
        <v>41121</v>
      </c>
      <c r="C81" s="9">
        <v>77019.443200000009</v>
      </c>
      <c r="D81" s="10">
        <v>10.519600000000001</v>
      </c>
      <c r="E81" s="9">
        <v>53706.252099999998</v>
      </c>
      <c r="F81" s="10">
        <v>11.8347</v>
      </c>
      <c r="G81" s="9">
        <v>43776.4254</v>
      </c>
      <c r="H81" s="10">
        <v>11.561896936951593</v>
      </c>
      <c r="I81" s="9">
        <v>5394.1271000000006</v>
      </c>
      <c r="J81" s="10">
        <v>13.4457</v>
      </c>
      <c r="K81" s="9">
        <v>1625.9843000000001</v>
      </c>
      <c r="L81" s="10">
        <v>11.127700000000001</v>
      </c>
      <c r="M81" s="9">
        <v>2909.7152999999998</v>
      </c>
      <c r="N81" s="10">
        <v>13.3477</v>
      </c>
      <c r="O81" s="9">
        <v>3457.6648</v>
      </c>
      <c r="P81" s="16">
        <v>6.5793999999999997</v>
      </c>
    </row>
    <row r="82" spans="1:16" s="5" customFormat="1" ht="15.6" x14ac:dyDescent="0.3">
      <c r="A82" s="14">
        <v>81</v>
      </c>
      <c r="B82" s="6">
        <v>41152</v>
      </c>
      <c r="C82" s="9">
        <v>80655.185199999993</v>
      </c>
      <c r="D82" s="10">
        <v>12.4064</v>
      </c>
      <c r="E82" s="9">
        <v>58038.6106</v>
      </c>
      <c r="F82" s="10">
        <v>14.188000000000001</v>
      </c>
      <c r="G82" s="9">
        <v>47579.429799999998</v>
      </c>
      <c r="H82" s="10">
        <v>13.9157218484512</v>
      </c>
      <c r="I82" s="9">
        <v>5540.4762000000001</v>
      </c>
      <c r="J82" s="10">
        <v>17.1343</v>
      </c>
      <c r="K82" s="9">
        <v>1177.2229</v>
      </c>
      <c r="L82" s="10">
        <v>11.985900000000001</v>
      </c>
      <c r="M82" s="9">
        <v>3741.4816000000001</v>
      </c>
      <c r="N82" s="10">
        <v>13.972300000000001</v>
      </c>
      <c r="O82" s="9">
        <v>2822.5491999999999</v>
      </c>
      <c r="P82" s="16">
        <v>8.6774000000000004</v>
      </c>
    </row>
    <row r="83" spans="1:16" s="5" customFormat="1" ht="15.6" x14ac:dyDescent="0.3">
      <c r="A83" s="14">
        <v>82</v>
      </c>
      <c r="B83" s="6">
        <v>41182</v>
      </c>
      <c r="C83" s="9">
        <v>71753.905500000008</v>
      </c>
      <c r="D83" s="10">
        <v>11.037599999999999</v>
      </c>
      <c r="E83" s="9">
        <v>48507.852699999996</v>
      </c>
      <c r="F83" s="10">
        <v>12.428599999999999</v>
      </c>
      <c r="G83" s="9">
        <v>39027.617299999991</v>
      </c>
      <c r="H83" s="10">
        <v>12.137174388698336</v>
      </c>
      <c r="I83" s="9">
        <v>5987.0797000000002</v>
      </c>
      <c r="J83" s="10">
        <v>14.066700000000001</v>
      </c>
      <c r="K83" s="9">
        <v>1024.2283</v>
      </c>
      <c r="L83" s="10">
        <v>15.5913</v>
      </c>
      <c r="M83" s="9">
        <v>2468.9274</v>
      </c>
      <c r="N83" s="10">
        <v>11.7264</v>
      </c>
      <c r="O83" s="9">
        <v>2489.2314999999999</v>
      </c>
      <c r="P83" s="16">
        <v>9.9465000000000003</v>
      </c>
    </row>
    <row r="84" spans="1:16" s="5" customFormat="1" ht="15.6" x14ac:dyDescent="0.3">
      <c r="A84" s="14">
        <v>83</v>
      </c>
      <c r="B84" s="6">
        <v>41213</v>
      </c>
      <c r="C84" s="9">
        <v>93450.108300000007</v>
      </c>
      <c r="D84" s="10">
        <v>15.4964</v>
      </c>
      <c r="E84" s="9">
        <v>66318.509000000005</v>
      </c>
      <c r="F84" s="10">
        <v>18.304600000000001</v>
      </c>
      <c r="G84" s="9">
        <v>55467.590999999993</v>
      </c>
      <c r="H84" s="10">
        <v>18.939115083728442</v>
      </c>
      <c r="I84" s="9">
        <v>5046.8262000000004</v>
      </c>
      <c r="J84" s="10">
        <v>17.447099999999999</v>
      </c>
      <c r="K84" s="9">
        <v>1901.5355999999999</v>
      </c>
      <c r="L84" s="10">
        <v>16.645399999999999</v>
      </c>
      <c r="M84" s="9">
        <v>3902.5560999999998</v>
      </c>
      <c r="N84" s="10">
        <v>11.1553</v>
      </c>
      <c r="O84" s="9">
        <v>4786.2422000000006</v>
      </c>
      <c r="P84" s="16">
        <v>7.4892000000000003</v>
      </c>
    </row>
    <row r="85" spans="1:16" s="5" customFormat="1" ht="15.6" x14ac:dyDescent="0.3">
      <c r="A85" s="14">
        <v>84</v>
      </c>
      <c r="B85" s="6">
        <v>41243</v>
      </c>
      <c r="C85" s="9">
        <v>86480.962400000004</v>
      </c>
      <c r="D85" s="10">
        <v>17.1371</v>
      </c>
      <c r="E85" s="9">
        <v>67294.508700000006</v>
      </c>
      <c r="F85" s="10">
        <v>19.339300000000001</v>
      </c>
      <c r="G85" s="9">
        <v>56210.418699999995</v>
      </c>
      <c r="H85" s="10">
        <v>20.147803017465872</v>
      </c>
      <c r="I85" s="9">
        <v>6949.2170999999998</v>
      </c>
      <c r="J85" s="10">
        <v>16.642800000000001</v>
      </c>
      <c r="K85" s="9">
        <v>1642.2467999999999</v>
      </c>
      <c r="L85" s="10">
        <v>11.8973</v>
      </c>
      <c r="M85" s="9">
        <v>2492.6262000000002</v>
      </c>
      <c r="N85" s="10">
        <v>13.411899999999999</v>
      </c>
      <c r="O85" s="9">
        <v>2374.6455999999998</v>
      </c>
      <c r="P85" s="16">
        <v>13.8184</v>
      </c>
    </row>
    <row r="86" spans="1:16" s="5" customFormat="1" ht="15.6" x14ac:dyDescent="0.3">
      <c r="A86" s="14">
        <v>85</v>
      </c>
      <c r="B86" s="6">
        <v>41274</v>
      </c>
      <c r="C86" s="9">
        <v>95234.954900000012</v>
      </c>
      <c r="D86" s="10">
        <v>9.2597000000000005</v>
      </c>
      <c r="E86" s="9">
        <v>59992.396999999997</v>
      </c>
      <c r="F86" s="10">
        <v>11.1904</v>
      </c>
      <c r="G86" s="9">
        <v>44999.287600000003</v>
      </c>
      <c r="H86" s="10">
        <v>9.7605447308956936</v>
      </c>
      <c r="I86" s="9">
        <v>10294.592699999999</v>
      </c>
      <c r="J86" s="10">
        <v>16.4239</v>
      </c>
      <c r="K86" s="9">
        <v>1442.7963999999999</v>
      </c>
      <c r="L86" s="10">
        <v>11.5463</v>
      </c>
      <c r="M86" s="9">
        <v>3255.7203</v>
      </c>
      <c r="N86" s="10">
        <v>14.1555</v>
      </c>
      <c r="O86" s="9">
        <v>5401.0218000000004</v>
      </c>
      <c r="P86" s="16">
        <v>8.6934000000000005</v>
      </c>
    </row>
    <row r="87" spans="1:16" s="5" customFormat="1" ht="15.6" x14ac:dyDescent="0.3">
      <c r="A87" s="14">
        <v>86</v>
      </c>
      <c r="B87" s="6">
        <v>41305</v>
      </c>
      <c r="C87" s="9">
        <v>66470.561600000001</v>
      </c>
      <c r="D87" s="10">
        <v>7.7473999999999998</v>
      </c>
      <c r="E87" s="9">
        <v>46565.691200000001</v>
      </c>
      <c r="F87" s="10">
        <v>7.3844000000000003</v>
      </c>
      <c r="G87" s="9">
        <v>34716.616799999996</v>
      </c>
      <c r="H87" s="10">
        <v>4.7372550104487727</v>
      </c>
      <c r="I87" s="9">
        <v>8318.4285999999993</v>
      </c>
      <c r="J87" s="10">
        <v>15.3675</v>
      </c>
      <c r="K87" s="9">
        <v>1786.1867999999999</v>
      </c>
      <c r="L87" s="10">
        <v>13.750999999999999</v>
      </c>
      <c r="M87" s="9">
        <v>1744.4591</v>
      </c>
      <c r="N87" s="10">
        <v>15.478400000000001</v>
      </c>
      <c r="O87" s="9">
        <v>1943.0762</v>
      </c>
      <c r="P87" s="16">
        <v>14.7364</v>
      </c>
    </row>
    <row r="88" spans="1:16" s="5" customFormat="1" ht="15.6" x14ac:dyDescent="0.3">
      <c r="A88" s="14">
        <v>87</v>
      </c>
      <c r="B88" s="6">
        <v>41333</v>
      </c>
      <c r="C88" s="9">
        <v>56955.357400000001</v>
      </c>
      <c r="D88" s="10">
        <v>6.3856999999999999</v>
      </c>
      <c r="E88" s="9">
        <v>39583.287700000001</v>
      </c>
      <c r="F88" s="10">
        <v>5.5903</v>
      </c>
      <c r="G88" s="9">
        <v>26687.457300000002</v>
      </c>
      <c r="H88" s="10">
        <v>2.1910925198062983</v>
      </c>
      <c r="I88" s="9">
        <v>8096.8708999999999</v>
      </c>
      <c r="J88" s="10">
        <v>12.3285</v>
      </c>
      <c r="K88" s="9">
        <v>1968.3551</v>
      </c>
      <c r="L88" s="10">
        <v>13.6282</v>
      </c>
      <c r="M88" s="9">
        <v>2830.6044000000002</v>
      </c>
      <c r="N88" s="10">
        <v>12.775399999999999</v>
      </c>
      <c r="O88" s="9">
        <v>2249.7429000000002</v>
      </c>
      <c r="P88" s="16">
        <v>11.9277</v>
      </c>
    </row>
    <row r="89" spans="1:16" s="5" customFormat="1" ht="15.6" x14ac:dyDescent="0.3">
      <c r="A89" s="14">
        <v>88</v>
      </c>
      <c r="B89" s="6">
        <v>41364</v>
      </c>
      <c r="C89" s="9">
        <v>60293.135399999999</v>
      </c>
      <c r="D89" s="10">
        <v>6.1543000000000001</v>
      </c>
      <c r="E89" s="9">
        <v>39894.710200000001</v>
      </c>
      <c r="F89" s="10">
        <v>5.1050000000000004</v>
      </c>
      <c r="G89" s="9">
        <v>26941.538800000002</v>
      </c>
      <c r="H89" s="10">
        <v>2.0797943090748774</v>
      </c>
      <c r="I89" s="9">
        <v>6781.3869000000004</v>
      </c>
      <c r="J89" s="10">
        <v>11.633900000000001</v>
      </c>
      <c r="K89" s="9">
        <v>2673.2159999999999</v>
      </c>
      <c r="L89" s="10">
        <v>11.1073</v>
      </c>
      <c r="M89" s="9">
        <v>3498.5686000000001</v>
      </c>
      <c r="N89" s="10">
        <v>11.159700000000001</v>
      </c>
      <c r="O89" s="9">
        <v>3664.7636000000002</v>
      </c>
      <c r="P89" s="16">
        <v>7.4894999999999996</v>
      </c>
    </row>
    <row r="90" spans="1:16" s="5" customFormat="1" ht="15.6" x14ac:dyDescent="0.3">
      <c r="A90" s="14">
        <v>89</v>
      </c>
      <c r="B90" s="6">
        <v>41394</v>
      </c>
      <c r="C90" s="9">
        <v>66957.958100000003</v>
      </c>
      <c r="D90" s="10">
        <v>6.1784999999999997</v>
      </c>
      <c r="E90" s="9">
        <v>42354.3531</v>
      </c>
      <c r="F90" s="10">
        <v>5.4553000000000003</v>
      </c>
      <c r="G90" s="9">
        <v>29375.080999999998</v>
      </c>
      <c r="H90" s="10">
        <v>2.6334947942836311</v>
      </c>
      <c r="I90" s="9">
        <v>9060.4233999999997</v>
      </c>
      <c r="J90" s="10">
        <v>11.4283</v>
      </c>
      <c r="K90" s="9">
        <v>2069.0151999999998</v>
      </c>
      <c r="L90" s="10">
        <v>13.7094</v>
      </c>
      <c r="M90" s="9">
        <v>1849.8335</v>
      </c>
      <c r="N90" s="10">
        <v>11.7773</v>
      </c>
      <c r="O90" s="9">
        <v>3508.6044999999999</v>
      </c>
      <c r="P90" s="16">
        <v>11.2029</v>
      </c>
    </row>
    <row r="91" spans="1:16" s="5" customFormat="1" ht="15.6" x14ac:dyDescent="0.3">
      <c r="A91" s="14">
        <v>90</v>
      </c>
      <c r="B91" s="6">
        <v>41425</v>
      </c>
      <c r="C91" s="9">
        <v>55846.192000000003</v>
      </c>
      <c r="D91" s="10">
        <v>6.1942000000000004</v>
      </c>
      <c r="E91" s="9">
        <v>37289.411599999999</v>
      </c>
      <c r="F91" s="10">
        <v>5.1749000000000001</v>
      </c>
      <c r="G91" s="9">
        <v>27973.710200000001</v>
      </c>
      <c r="H91" s="10">
        <v>2.9157877990610626</v>
      </c>
      <c r="I91" s="9">
        <v>6106.2169999999996</v>
      </c>
      <c r="J91" s="10">
        <v>11.6854</v>
      </c>
      <c r="K91" s="9">
        <v>1449.5514000000001</v>
      </c>
      <c r="L91" s="10">
        <v>12.712999999999999</v>
      </c>
      <c r="M91" s="9">
        <v>1759.9331</v>
      </c>
      <c r="N91" s="10">
        <v>12.285399999999999</v>
      </c>
      <c r="O91" s="9">
        <v>3132.9369000000002</v>
      </c>
      <c r="P91" s="16">
        <v>11.100300000000001</v>
      </c>
    </row>
    <row r="92" spans="1:16" s="5" customFormat="1" ht="15.6" x14ac:dyDescent="0.3">
      <c r="A92" s="14">
        <v>91</v>
      </c>
      <c r="B92" s="6">
        <v>41455</v>
      </c>
      <c r="C92" s="9">
        <v>53488.2762</v>
      </c>
      <c r="D92" s="10">
        <v>6.1894999999999998</v>
      </c>
      <c r="E92" s="9">
        <v>34970.050600000002</v>
      </c>
      <c r="F92" s="10">
        <v>5.2159000000000004</v>
      </c>
      <c r="G92" s="9">
        <v>24525.526600000001</v>
      </c>
      <c r="H92" s="10">
        <v>2.3584190306935144</v>
      </c>
      <c r="I92" s="9">
        <v>6428.6189000000004</v>
      </c>
      <c r="J92" s="10">
        <v>11.7112</v>
      </c>
      <c r="K92" s="9">
        <v>2340.4058</v>
      </c>
      <c r="L92" s="10">
        <v>12.919499999999999</v>
      </c>
      <c r="M92" s="9">
        <v>1675.4993999999999</v>
      </c>
      <c r="N92" s="10">
        <v>11.360799999999999</v>
      </c>
      <c r="O92" s="9">
        <v>2984.9173000000001</v>
      </c>
      <c r="P92" s="16">
        <v>10.477499999999999</v>
      </c>
    </row>
    <row r="93" spans="1:16" s="5" customFormat="1" ht="15.6" x14ac:dyDescent="0.3">
      <c r="A93" s="14">
        <v>92</v>
      </c>
      <c r="B93" s="6">
        <v>41486</v>
      </c>
      <c r="C93" s="9">
        <v>62611.394800000002</v>
      </c>
      <c r="D93" s="10">
        <v>5.2442000000000002</v>
      </c>
      <c r="E93" s="9">
        <v>40513.203600000001</v>
      </c>
      <c r="F93" s="10">
        <v>4.5624000000000002</v>
      </c>
      <c r="G93" s="9">
        <v>29097.262000000002</v>
      </c>
      <c r="H93" s="10">
        <v>2.0354031109813699</v>
      </c>
      <c r="I93" s="9">
        <v>7646.6013000000003</v>
      </c>
      <c r="J93" s="10">
        <v>11.0824</v>
      </c>
      <c r="K93" s="9">
        <v>1875.4395</v>
      </c>
      <c r="L93" s="10">
        <v>10.083299999999999</v>
      </c>
      <c r="M93" s="9">
        <v>1893.9007999999999</v>
      </c>
      <c r="N93" s="10">
        <v>11.5937</v>
      </c>
      <c r="O93" s="9">
        <v>3140.6304</v>
      </c>
      <c r="P93" s="16">
        <v>4.8548999999999998</v>
      </c>
    </row>
    <row r="94" spans="1:16" s="5" customFormat="1" ht="15.6" x14ac:dyDescent="0.3">
      <c r="A94" s="14">
        <v>93</v>
      </c>
      <c r="B94" s="6">
        <v>41517</v>
      </c>
      <c r="C94" s="9">
        <v>58373.090600000003</v>
      </c>
      <c r="D94" s="10">
        <v>6.0347</v>
      </c>
      <c r="E94" s="9">
        <v>36909.705900000001</v>
      </c>
      <c r="F94" s="10">
        <v>5.1006999999999998</v>
      </c>
      <c r="G94" s="9">
        <v>25488.669000000002</v>
      </c>
      <c r="H94" s="10">
        <v>2.006623046772666</v>
      </c>
      <c r="I94" s="9">
        <v>7203.9232000000002</v>
      </c>
      <c r="J94" s="10">
        <v>11.478400000000001</v>
      </c>
      <c r="K94" s="9">
        <v>1835.1448</v>
      </c>
      <c r="L94" s="10">
        <v>14.0428</v>
      </c>
      <c r="M94" s="9">
        <v>2381.9688000000001</v>
      </c>
      <c r="N94" s="10">
        <v>12.031499999999999</v>
      </c>
      <c r="O94" s="9">
        <v>2212.8188</v>
      </c>
      <c r="P94" s="16">
        <v>9.6926000000000005</v>
      </c>
    </row>
    <row r="95" spans="1:16" s="5" customFormat="1" ht="15.6" x14ac:dyDescent="0.3">
      <c r="A95" s="14">
        <v>94</v>
      </c>
      <c r="B95" s="6">
        <v>41547</v>
      </c>
      <c r="C95" s="9">
        <v>57353.870600000002</v>
      </c>
      <c r="D95" s="10">
        <v>6.5982000000000003</v>
      </c>
      <c r="E95" s="9">
        <v>35402.879000000001</v>
      </c>
      <c r="F95" s="10">
        <v>5.6654999999999998</v>
      </c>
      <c r="G95" s="9">
        <v>23232.717499999999</v>
      </c>
      <c r="H95" s="10">
        <v>2.2488004924520779</v>
      </c>
      <c r="I95" s="9">
        <v>6318.0783000000001</v>
      </c>
      <c r="J95" s="10">
        <v>11.928100000000001</v>
      </c>
      <c r="K95" s="9">
        <v>2877.0605</v>
      </c>
      <c r="L95" s="10">
        <v>12.553800000000001</v>
      </c>
      <c r="M95" s="9">
        <v>2975.0225999999998</v>
      </c>
      <c r="N95" s="10">
        <v>12.386200000000001</v>
      </c>
      <c r="O95" s="9">
        <v>4538.6701000000003</v>
      </c>
      <c r="P95" s="16">
        <v>12.526</v>
      </c>
    </row>
    <row r="96" spans="1:16" s="5" customFormat="1" ht="15.6" x14ac:dyDescent="0.3">
      <c r="A96" s="14">
        <v>95</v>
      </c>
      <c r="B96" s="6">
        <v>41578</v>
      </c>
      <c r="C96" s="9">
        <v>63569.457900000001</v>
      </c>
      <c r="D96" s="10">
        <v>5.7206000000000001</v>
      </c>
      <c r="E96" s="9">
        <v>40213.813099999999</v>
      </c>
      <c r="F96" s="10">
        <v>5.0800999999999998</v>
      </c>
      <c r="G96" s="9">
        <v>28444.169300000001</v>
      </c>
      <c r="H96" s="10">
        <v>2.3510229348645453</v>
      </c>
      <c r="I96" s="9">
        <v>6838.4894999999997</v>
      </c>
      <c r="J96" s="10">
        <v>11.8848</v>
      </c>
      <c r="K96" s="9">
        <v>2478.4596999999999</v>
      </c>
      <c r="L96" s="10">
        <v>12.177300000000001</v>
      </c>
      <c r="M96" s="9">
        <v>2452.6945999999998</v>
      </c>
      <c r="N96" s="10">
        <v>10.585000000000001</v>
      </c>
      <c r="O96" s="9">
        <v>2333.3054000000002</v>
      </c>
      <c r="P96" s="16">
        <v>10.4122</v>
      </c>
    </row>
    <row r="97" spans="1:16" s="5" customFormat="1" ht="15.6" x14ac:dyDescent="0.3">
      <c r="A97" s="14">
        <v>96</v>
      </c>
      <c r="B97" s="6">
        <v>41608</v>
      </c>
      <c r="C97" s="9">
        <v>57769.679199999999</v>
      </c>
      <c r="D97" s="10">
        <v>6.3307000000000002</v>
      </c>
      <c r="E97" s="9">
        <v>39180.609600000003</v>
      </c>
      <c r="F97" s="10">
        <v>5.9038000000000004</v>
      </c>
      <c r="G97" s="9">
        <v>28625.638800000001</v>
      </c>
      <c r="H97" s="10">
        <v>3.343300074535978</v>
      </c>
      <c r="I97" s="9">
        <v>6350.4246999999996</v>
      </c>
      <c r="J97" s="10">
        <v>12.8393</v>
      </c>
      <c r="K97" s="9">
        <v>2540.1482999999998</v>
      </c>
      <c r="L97" s="10">
        <v>12.4697</v>
      </c>
      <c r="M97" s="9">
        <v>1664.3978</v>
      </c>
      <c r="N97" s="10">
        <v>13.459199999999999</v>
      </c>
      <c r="O97" s="9">
        <v>1935.8114</v>
      </c>
      <c r="P97" s="16">
        <v>9.9672000000000001</v>
      </c>
    </row>
    <row r="98" spans="1:16" s="5" customFormat="1" ht="15.6" x14ac:dyDescent="0.3">
      <c r="A98" s="14">
        <v>97</v>
      </c>
      <c r="B98" s="6">
        <v>41639</v>
      </c>
      <c r="C98" s="9">
        <v>82711.608099999998</v>
      </c>
      <c r="D98" s="10">
        <v>9.8370999999999995</v>
      </c>
      <c r="E98" s="9">
        <v>61269.008999999998</v>
      </c>
      <c r="F98" s="10">
        <v>10.2318</v>
      </c>
      <c r="G98" s="9">
        <v>43656.800000000003</v>
      </c>
      <c r="H98" s="10">
        <v>8.6089544845833856</v>
      </c>
      <c r="I98" s="9">
        <v>11966.771199999999</v>
      </c>
      <c r="J98" s="10">
        <v>14.414199999999999</v>
      </c>
      <c r="K98" s="9">
        <v>2821.6107000000002</v>
      </c>
      <c r="L98" s="10">
        <v>13.724</v>
      </c>
      <c r="M98" s="9">
        <v>2823.8270000000002</v>
      </c>
      <c r="N98" s="10">
        <v>14.108499999999999</v>
      </c>
      <c r="O98" s="9">
        <v>4542.9294</v>
      </c>
      <c r="P98" s="16">
        <v>13.170199999999999</v>
      </c>
    </row>
    <row r="99" spans="1:16" s="5" customFormat="1" ht="15.6" x14ac:dyDescent="0.3">
      <c r="A99" s="14">
        <v>98</v>
      </c>
      <c r="B99" s="6">
        <v>41670</v>
      </c>
      <c r="C99" s="9">
        <v>69331.350600000005</v>
      </c>
      <c r="D99" s="10">
        <v>8.1034000000000006</v>
      </c>
      <c r="E99" s="9">
        <v>49131.523699999998</v>
      </c>
      <c r="F99" s="10">
        <v>8.1036999999999999</v>
      </c>
      <c r="G99" s="9">
        <v>32248.787700000001</v>
      </c>
      <c r="H99" s="10">
        <v>4.9820984060572915</v>
      </c>
      <c r="I99" s="9">
        <v>10925.4036</v>
      </c>
      <c r="J99" s="10">
        <v>13.373100000000001</v>
      </c>
      <c r="K99" s="9">
        <v>2116.8121999999998</v>
      </c>
      <c r="L99" s="10">
        <v>12.5358</v>
      </c>
      <c r="M99" s="9">
        <v>3840.5203000000001</v>
      </c>
      <c r="N99" s="10">
        <v>16.882300000000001</v>
      </c>
      <c r="O99" s="9">
        <v>3875.9902000000002</v>
      </c>
      <c r="P99" s="16">
        <v>12.41</v>
      </c>
    </row>
    <row r="100" spans="1:16" s="5" customFormat="1" ht="15.6" x14ac:dyDescent="0.3">
      <c r="A100" s="14">
        <v>99</v>
      </c>
      <c r="B100" s="6">
        <v>41698</v>
      </c>
      <c r="C100" s="9">
        <v>42315.659200000002</v>
      </c>
      <c r="D100" s="10">
        <v>11.6007</v>
      </c>
      <c r="E100" s="9">
        <v>29291.007900000001</v>
      </c>
      <c r="F100" s="10">
        <v>12.759499999999999</v>
      </c>
      <c r="G100" s="9">
        <v>19798.312699999999</v>
      </c>
      <c r="H100" s="10">
        <v>11.829186368942947</v>
      </c>
      <c r="I100" s="9">
        <v>6750.9745000000003</v>
      </c>
      <c r="J100" s="10">
        <v>15.2536</v>
      </c>
      <c r="K100" s="9">
        <v>1434.4862000000001</v>
      </c>
      <c r="L100" s="10">
        <v>14.635400000000001</v>
      </c>
      <c r="M100" s="9">
        <v>1307.2345</v>
      </c>
      <c r="N100" s="10">
        <v>11.9099</v>
      </c>
      <c r="O100" s="9">
        <v>3837.5781999999999</v>
      </c>
      <c r="P100" s="16">
        <v>16.793199999999999</v>
      </c>
    </row>
    <row r="101" spans="1:16" s="5" customFormat="1" ht="15.6" x14ac:dyDescent="0.3">
      <c r="A101" s="14">
        <v>100</v>
      </c>
      <c r="B101" s="6">
        <v>41729</v>
      </c>
      <c r="C101" s="9">
        <v>65641.835399999996</v>
      </c>
      <c r="D101" s="10">
        <v>8.8165999999999993</v>
      </c>
      <c r="E101" s="9">
        <v>48973.951300000001</v>
      </c>
      <c r="F101" s="10">
        <v>9.4285999999999994</v>
      </c>
      <c r="G101" s="9">
        <v>39673.769799999995</v>
      </c>
      <c r="H101" s="10">
        <v>8.1921816660427371</v>
      </c>
      <c r="I101" s="9">
        <v>5327.4011</v>
      </c>
      <c r="J101" s="10">
        <v>14.3819</v>
      </c>
      <c r="K101" s="9">
        <v>959.86860000000001</v>
      </c>
      <c r="L101" s="10">
        <v>16.0745</v>
      </c>
      <c r="M101" s="9">
        <v>3012.9117999999999</v>
      </c>
      <c r="N101" s="10">
        <v>14.833600000000001</v>
      </c>
      <c r="O101" s="9">
        <v>1772.6083000000001</v>
      </c>
      <c r="P101" s="16">
        <v>14.265000000000001</v>
      </c>
    </row>
    <row r="102" spans="1:16" s="5" customFormat="1" ht="15.6" x14ac:dyDescent="0.3">
      <c r="A102" s="14">
        <v>101</v>
      </c>
      <c r="B102" s="6">
        <v>41759</v>
      </c>
      <c r="C102" s="9">
        <v>82154.265400000004</v>
      </c>
      <c r="D102" s="10">
        <v>8.5684000000000005</v>
      </c>
      <c r="E102" s="9">
        <v>60738.885499999997</v>
      </c>
      <c r="F102" s="10">
        <v>8.8666999999999998</v>
      </c>
      <c r="G102" s="9">
        <v>45482.188399999999</v>
      </c>
      <c r="H102" s="10">
        <v>7.0889135192092034</v>
      </c>
      <c r="I102" s="9">
        <v>9994.9187000000002</v>
      </c>
      <c r="J102" s="10">
        <v>15.3147</v>
      </c>
      <c r="K102" s="9">
        <v>1754.4295</v>
      </c>
      <c r="L102" s="10">
        <v>12.5749</v>
      </c>
      <c r="M102" s="9">
        <v>3507.3489</v>
      </c>
      <c r="N102" s="10">
        <v>11.6914</v>
      </c>
      <c r="O102" s="9">
        <v>4134.1508000000003</v>
      </c>
      <c r="P102" s="16">
        <v>8.7117000000000004</v>
      </c>
    </row>
    <row r="103" spans="1:16" s="5" customFormat="1" ht="15.6" x14ac:dyDescent="0.3">
      <c r="A103" s="14">
        <v>102</v>
      </c>
      <c r="B103" s="6">
        <v>41790</v>
      </c>
      <c r="C103" s="9">
        <v>73198.335099999997</v>
      </c>
      <c r="D103" s="10">
        <v>8.7936999999999994</v>
      </c>
      <c r="E103" s="9">
        <v>56061.183400000002</v>
      </c>
      <c r="F103" s="10">
        <v>9.0853999999999999</v>
      </c>
      <c r="G103" s="9">
        <v>43366.431599999996</v>
      </c>
      <c r="H103" s="10">
        <v>7.6767812787806129</v>
      </c>
      <c r="I103" s="9">
        <v>9051.6479999999992</v>
      </c>
      <c r="J103" s="10">
        <v>14.913500000000001</v>
      </c>
      <c r="K103" s="9">
        <v>1479.5763999999999</v>
      </c>
      <c r="L103" s="10">
        <v>14.9251</v>
      </c>
      <c r="M103" s="9">
        <v>2163.5273999999999</v>
      </c>
      <c r="N103" s="10">
        <v>8.9417000000000009</v>
      </c>
      <c r="O103" s="9">
        <v>3381.6347999999998</v>
      </c>
      <c r="P103" s="16">
        <v>9.4168000000000003</v>
      </c>
    </row>
    <row r="104" spans="1:16" s="5" customFormat="1" ht="15.6" x14ac:dyDescent="0.3">
      <c r="A104" s="14">
        <v>103</v>
      </c>
      <c r="B104" s="6">
        <v>41820</v>
      </c>
      <c r="C104" s="9">
        <v>74997.291899999997</v>
      </c>
      <c r="D104" s="10">
        <v>8.9596999999999998</v>
      </c>
      <c r="E104" s="9">
        <v>57012.284299999999</v>
      </c>
      <c r="F104" s="10">
        <v>9.4400999999999993</v>
      </c>
      <c r="G104" s="9">
        <v>41195.605600000003</v>
      </c>
      <c r="H104" s="10">
        <v>7.9246673541573092</v>
      </c>
      <c r="I104" s="9">
        <v>10143.605100000001</v>
      </c>
      <c r="J104" s="10">
        <v>14.6021</v>
      </c>
      <c r="K104" s="9">
        <v>2200.5122999999999</v>
      </c>
      <c r="L104" s="10">
        <v>12.589499999999999</v>
      </c>
      <c r="M104" s="9">
        <v>3472.5612999999998</v>
      </c>
      <c r="N104" s="10">
        <v>10.3436</v>
      </c>
      <c r="O104" s="9">
        <v>4176.8486000000003</v>
      </c>
      <c r="P104" s="16">
        <v>9.1769999999999996</v>
      </c>
    </row>
    <row r="105" spans="1:16" s="5" customFormat="1" ht="15.6" x14ac:dyDescent="0.3">
      <c r="A105" s="14">
        <v>104</v>
      </c>
      <c r="B105" s="6">
        <v>41851</v>
      </c>
      <c r="C105" s="9">
        <v>89085.330300000001</v>
      </c>
      <c r="D105" s="10">
        <v>8.0687999999999995</v>
      </c>
      <c r="E105" s="9">
        <v>67652.962599999999</v>
      </c>
      <c r="F105" s="10">
        <v>8.3866999999999994</v>
      </c>
      <c r="G105" s="9">
        <v>50399.127500000002</v>
      </c>
      <c r="H105" s="10">
        <v>6.5450334748652157</v>
      </c>
      <c r="I105" s="9">
        <v>10979.204299999999</v>
      </c>
      <c r="J105" s="10">
        <v>15.332100000000001</v>
      </c>
      <c r="K105" s="9">
        <v>2970.7057</v>
      </c>
      <c r="L105" s="10">
        <v>13.0985</v>
      </c>
      <c r="M105" s="9">
        <v>3303.9252000000001</v>
      </c>
      <c r="N105" s="10">
        <v>9.1630000000000003</v>
      </c>
      <c r="O105" s="9">
        <v>3308.8914</v>
      </c>
      <c r="P105" s="16">
        <v>8.8033000000000001</v>
      </c>
    </row>
    <row r="106" spans="1:16" s="5" customFormat="1" ht="15.6" x14ac:dyDescent="0.3">
      <c r="A106" s="14">
        <v>105</v>
      </c>
      <c r="B106" s="6">
        <v>41882</v>
      </c>
      <c r="C106" s="9">
        <v>89263.193799999994</v>
      </c>
      <c r="D106" s="10">
        <v>7.8148999999999997</v>
      </c>
      <c r="E106" s="9">
        <v>68206.678199999995</v>
      </c>
      <c r="F106" s="10">
        <v>8.0248000000000008</v>
      </c>
      <c r="G106" s="9">
        <v>53570.044699999999</v>
      </c>
      <c r="H106" s="10">
        <v>6.5902359921764262</v>
      </c>
      <c r="I106" s="9">
        <v>7025.3581000000004</v>
      </c>
      <c r="J106" s="10">
        <v>14.8803</v>
      </c>
      <c r="K106" s="9">
        <v>2651.8085999999998</v>
      </c>
      <c r="L106" s="10">
        <v>15.7011</v>
      </c>
      <c r="M106" s="9">
        <v>4959.4669000000004</v>
      </c>
      <c r="N106" s="10">
        <v>9.7051999999999996</v>
      </c>
      <c r="O106" s="9">
        <v>3684.4189999999999</v>
      </c>
      <c r="P106" s="16">
        <v>7.7533000000000003</v>
      </c>
    </row>
    <row r="107" spans="1:16" s="5" customFormat="1" ht="15.6" x14ac:dyDescent="0.3">
      <c r="A107" s="14">
        <v>106</v>
      </c>
      <c r="B107" s="6">
        <v>41912</v>
      </c>
      <c r="C107" s="9">
        <v>97760.041800000006</v>
      </c>
      <c r="D107" s="10">
        <v>7.8879999999999999</v>
      </c>
      <c r="E107" s="9">
        <v>76352.573499999999</v>
      </c>
      <c r="F107" s="10">
        <v>7.9965000000000002</v>
      </c>
      <c r="G107" s="9">
        <v>61222.122600000002</v>
      </c>
      <c r="H107" s="10">
        <v>7.0408371685803006</v>
      </c>
      <c r="I107" s="9">
        <v>7824.8608000000004</v>
      </c>
      <c r="J107" s="10">
        <v>13.4903</v>
      </c>
      <c r="K107" s="9">
        <v>1787.1945000000001</v>
      </c>
      <c r="L107" s="10">
        <v>8.9049999999999994</v>
      </c>
      <c r="M107" s="9">
        <v>5518.3957</v>
      </c>
      <c r="N107" s="10">
        <v>10.5152</v>
      </c>
      <c r="O107" s="9">
        <v>5435.9492</v>
      </c>
      <c r="P107" s="16">
        <v>7.6390000000000002</v>
      </c>
    </row>
    <row r="108" spans="1:16" s="5" customFormat="1" ht="15.6" x14ac:dyDescent="0.3">
      <c r="A108" s="14">
        <v>107</v>
      </c>
      <c r="B108" s="6">
        <v>41943</v>
      </c>
      <c r="C108" s="9">
        <v>94438.305099999998</v>
      </c>
      <c r="D108" s="10">
        <v>7.9157000000000002</v>
      </c>
      <c r="E108" s="9">
        <v>72986.468599999993</v>
      </c>
      <c r="F108" s="10">
        <v>8.0823</v>
      </c>
      <c r="G108" s="9">
        <v>57634.515599999999</v>
      </c>
      <c r="H108" s="10">
        <v>6.7226076725955863</v>
      </c>
      <c r="I108" s="9">
        <v>8561.4086000000007</v>
      </c>
      <c r="J108" s="10">
        <v>14.432</v>
      </c>
      <c r="K108" s="9">
        <v>1914.079</v>
      </c>
      <c r="L108" s="10">
        <v>12.629200000000001</v>
      </c>
      <c r="M108" s="9">
        <v>4876.4654</v>
      </c>
      <c r="N108" s="10">
        <v>11.22</v>
      </c>
      <c r="O108" s="9">
        <v>4026.4108000000001</v>
      </c>
      <c r="P108" s="16">
        <v>8.7348999999999997</v>
      </c>
    </row>
    <row r="109" spans="1:16" s="5" customFormat="1" ht="15.6" x14ac:dyDescent="0.3">
      <c r="A109" s="14">
        <v>108</v>
      </c>
      <c r="B109" s="6">
        <v>41973</v>
      </c>
      <c r="C109" s="9">
        <v>83539.854399999997</v>
      </c>
      <c r="D109" s="10">
        <v>7.8320999999999996</v>
      </c>
      <c r="E109" s="9">
        <v>63949.0003</v>
      </c>
      <c r="F109" s="10">
        <v>7.9496000000000002</v>
      </c>
      <c r="G109" s="9">
        <v>51337.154800000004</v>
      </c>
      <c r="H109" s="10">
        <v>6.9684688334967859</v>
      </c>
      <c r="I109" s="9">
        <v>5580.4749000000002</v>
      </c>
      <c r="J109" s="10">
        <v>13.257</v>
      </c>
      <c r="K109" s="9">
        <v>1526.0938000000001</v>
      </c>
      <c r="L109" s="10">
        <v>13.831300000000001</v>
      </c>
      <c r="M109" s="9">
        <v>5505.2767000000003</v>
      </c>
      <c r="N109" s="10">
        <v>10.088100000000001</v>
      </c>
      <c r="O109" s="9">
        <v>3347.9850999999999</v>
      </c>
      <c r="P109" s="16">
        <v>8.4822000000000006</v>
      </c>
    </row>
    <row r="110" spans="1:16" s="5" customFormat="1" ht="15.6" x14ac:dyDescent="0.3">
      <c r="A110" s="14">
        <v>109</v>
      </c>
      <c r="B110" s="6">
        <v>42004</v>
      </c>
      <c r="C110" s="9">
        <v>129598.50260000001</v>
      </c>
      <c r="D110" s="10">
        <v>7.6616999999999997</v>
      </c>
      <c r="E110" s="9">
        <v>105124.2176</v>
      </c>
      <c r="F110" s="10">
        <v>7.5456000000000003</v>
      </c>
      <c r="G110" s="9">
        <v>86423.32</v>
      </c>
      <c r="H110" s="10">
        <v>6.405449451951279</v>
      </c>
      <c r="I110" s="9">
        <v>11266.7289</v>
      </c>
      <c r="J110" s="10">
        <v>14.4025</v>
      </c>
      <c r="K110" s="9">
        <v>1277.5698</v>
      </c>
      <c r="L110" s="10">
        <v>14.966699999999999</v>
      </c>
      <c r="M110" s="9">
        <v>6156.5987999999998</v>
      </c>
      <c r="N110" s="10">
        <v>9.4634999999999998</v>
      </c>
      <c r="O110" s="9">
        <v>4974.2392</v>
      </c>
      <c r="P110" s="16">
        <v>8.9046000000000003</v>
      </c>
    </row>
    <row r="111" spans="1:16" s="5" customFormat="1" ht="15.6" x14ac:dyDescent="0.3">
      <c r="A111" s="14">
        <v>110</v>
      </c>
      <c r="B111" s="6">
        <v>42035</v>
      </c>
      <c r="C111" s="9">
        <v>114685.41959999999</v>
      </c>
      <c r="D111" s="10">
        <v>6.0303000000000004</v>
      </c>
      <c r="E111" s="9">
        <v>93392.919500000004</v>
      </c>
      <c r="F111" s="10">
        <v>5.6372</v>
      </c>
      <c r="G111" s="9">
        <v>82611.493499999997</v>
      </c>
      <c r="H111" s="10">
        <v>4.5957333970151506</v>
      </c>
      <c r="I111" s="9">
        <v>6305.6692000000003</v>
      </c>
      <c r="J111" s="10">
        <v>14.5367</v>
      </c>
      <c r="K111" s="9">
        <v>1073.9662000000001</v>
      </c>
      <c r="L111" s="10">
        <v>13.5288</v>
      </c>
      <c r="M111" s="9">
        <v>3401.7907</v>
      </c>
      <c r="N111" s="10">
        <v>11.943099999999999</v>
      </c>
      <c r="O111" s="9">
        <v>6250.6810999999998</v>
      </c>
      <c r="P111" s="16">
        <v>9.2627000000000006</v>
      </c>
    </row>
    <row r="112" spans="1:16" s="5" customFormat="1" ht="15.6" x14ac:dyDescent="0.3">
      <c r="A112" s="14">
        <v>111</v>
      </c>
      <c r="B112" s="6">
        <v>42063</v>
      </c>
      <c r="C112" s="9">
        <v>119997.3654</v>
      </c>
      <c r="D112" s="10">
        <v>6.9762000000000004</v>
      </c>
      <c r="E112" s="9">
        <v>92209.950599999996</v>
      </c>
      <c r="F112" s="10">
        <v>6.4226000000000001</v>
      </c>
      <c r="G112" s="9">
        <v>84839.35990000001</v>
      </c>
      <c r="H112" s="10">
        <v>5.7580903821558644</v>
      </c>
      <c r="I112" s="9">
        <v>4631.0225</v>
      </c>
      <c r="J112" s="10">
        <v>13.652799999999999</v>
      </c>
      <c r="K112" s="9">
        <v>1386.3242</v>
      </c>
      <c r="L112" s="10">
        <v>14.1282</v>
      </c>
      <c r="M112" s="9">
        <v>1353.2439999999999</v>
      </c>
      <c r="N112" s="10">
        <v>15.4499</v>
      </c>
      <c r="O112" s="9">
        <v>9779.8492000000006</v>
      </c>
      <c r="P112" s="16">
        <v>10.5318</v>
      </c>
    </row>
    <row r="113" spans="1:16" s="5" customFormat="1" ht="15.6" x14ac:dyDescent="0.3">
      <c r="A113" s="14">
        <v>112</v>
      </c>
      <c r="B113" s="6">
        <v>42094</v>
      </c>
      <c r="C113" s="9">
        <v>147640.6305</v>
      </c>
      <c r="D113" s="10">
        <v>10.036</v>
      </c>
      <c r="E113" s="9">
        <v>116703.397</v>
      </c>
      <c r="F113" s="10">
        <v>10.2784</v>
      </c>
      <c r="G113" s="9">
        <v>105275.5196</v>
      </c>
      <c r="H113" s="10">
        <v>10.009860477118652</v>
      </c>
      <c r="I113" s="9">
        <v>7157.3243000000002</v>
      </c>
      <c r="J113" s="10">
        <v>13.9183</v>
      </c>
      <c r="K113" s="9">
        <v>1529.8300999999999</v>
      </c>
      <c r="L113" s="10">
        <v>15.953200000000001</v>
      </c>
      <c r="M113" s="9">
        <v>2740.723</v>
      </c>
      <c r="N113" s="10">
        <v>7.9212999999999996</v>
      </c>
      <c r="O113" s="9">
        <v>11529.5016</v>
      </c>
      <c r="P113" s="16">
        <v>10.1106</v>
      </c>
    </row>
    <row r="114" spans="1:16" s="5" customFormat="1" ht="15.6" x14ac:dyDescent="0.3">
      <c r="A114" s="14">
        <v>113</v>
      </c>
      <c r="B114" s="6">
        <v>42124</v>
      </c>
      <c r="C114" s="9">
        <v>125925.73420000001</v>
      </c>
      <c r="D114" s="10">
        <v>12.9002</v>
      </c>
      <c r="E114" s="9">
        <v>96742.087499999994</v>
      </c>
      <c r="F114" s="10">
        <v>13.888400000000001</v>
      </c>
      <c r="G114" s="9">
        <v>86433.448999999993</v>
      </c>
      <c r="H114" s="10">
        <v>13.770211091777213</v>
      </c>
      <c r="I114" s="9">
        <v>8172.6743999999999</v>
      </c>
      <c r="J114" s="10">
        <v>15.713200000000001</v>
      </c>
      <c r="K114" s="9">
        <v>1026.4199000000001</v>
      </c>
      <c r="L114" s="10">
        <v>12.774900000000001</v>
      </c>
      <c r="M114" s="9">
        <v>1109.5443</v>
      </c>
      <c r="N114" s="10">
        <v>10.681800000000001</v>
      </c>
      <c r="O114" s="9">
        <v>8418.7625000000007</v>
      </c>
      <c r="P114" s="16">
        <v>12.2896</v>
      </c>
    </row>
    <row r="115" spans="1:16" s="5" customFormat="1" ht="15.6" x14ac:dyDescent="0.3">
      <c r="A115" s="14">
        <v>114</v>
      </c>
      <c r="B115" s="6">
        <v>42155</v>
      </c>
      <c r="C115" s="9">
        <v>110070.86</v>
      </c>
      <c r="D115" s="10">
        <v>13.789099999999999</v>
      </c>
      <c r="E115" s="9">
        <v>87867.34</v>
      </c>
      <c r="F115" s="10">
        <v>14.5137</v>
      </c>
      <c r="G115" s="9">
        <v>78637.040000000008</v>
      </c>
      <c r="H115" s="10">
        <v>14.514242716218718</v>
      </c>
      <c r="I115" s="9">
        <v>7170.66</v>
      </c>
      <c r="J115" s="10">
        <v>14.906000000000001</v>
      </c>
      <c r="K115" s="9">
        <v>983.78</v>
      </c>
      <c r="L115" s="10">
        <v>15.285</v>
      </c>
      <c r="M115" s="9">
        <v>1075.8599999999999</v>
      </c>
      <c r="N115" s="10">
        <v>11.1562</v>
      </c>
      <c r="O115" s="9">
        <v>6430.63</v>
      </c>
      <c r="P115" s="16">
        <v>12.0191</v>
      </c>
    </row>
    <row r="116" spans="1:16" s="5" customFormat="1" ht="15.6" x14ac:dyDescent="0.3">
      <c r="A116" s="14">
        <v>115</v>
      </c>
      <c r="B116" s="6">
        <v>42185</v>
      </c>
      <c r="C116" s="9">
        <v>118145.3573</v>
      </c>
      <c r="D116" s="10">
        <v>13.5656</v>
      </c>
      <c r="E116" s="9">
        <v>95535.212100000004</v>
      </c>
      <c r="F116" s="10">
        <v>14.243600000000001</v>
      </c>
      <c r="G116" s="9">
        <v>85289.881599999993</v>
      </c>
      <c r="H116" s="10">
        <v>14.122862880803316</v>
      </c>
      <c r="I116" s="9">
        <v>7383.4605000000001</v>
      </c>
      <c r="J116" s="10">
        <v>15.283300000000001</v>
      </c>
      <c r="K116" s="9">
        <v>852.88959999999997</v>
      </c>
      <c r="L116" s="10">
        <v>15.311</v>
      </c>
      <c r="M116" s="9">
        <v>2008.9802999999999</v>
      </c>
      <c r="N116" s="10">
        <v>15.094799999999999</v>
      </c>
      <c r="O116" s="9">
        <v>5543.5784000000003</v>
      </c>
      <c r="P116" s="16">
        <v>11.021599999999999</v>
      </c>
    </row>
    <row r="117" spans="1:16" s="5" customFormat="1" ht="15.6" x14ac:dyDescent="0.3">
      <c r="A117" s="14">
        <v>116</v>
      </c>
      <c r="B117" s="6">
        <v>42216</v>
      </c>
      <c r="C117" s="9">
        <v>148170.2138</v>
      </c>
      <c r="D117" s="10">
        <v>13.252000000000001</v>
      </c>
      <c r="E117" s="9">
        <v>118004.98330000001</v>
      </c>
      <c r="F117" s="10">
        <v>13.9284</v>
      </c>
      <c r="G117" s="9">
        <v>104125.541</v>
      </c>
      <c r="H117" s="10">
        <v>13.770706668503744</v>
      </c>
      <c r="I117" s="9">
        <v>10646.2534</v>
      </c>
      <c r="J117" s="10">
        <v>15.657400000000001</v>
      </c>
      <c r="K117" s="9">
        <v>2066.2269000000001</v>
      </c>
      <c r="L117" s="10">
        <v>15.121600000000001</v>
      </c>
      <c r="M117" s="9">
        <v>1166.9619</v>
      </c>
      <c r="N117" s="10">
        <v>10.112500000000001</v>
      </c>
      <c r="O117" s="9">
        <v>8570.0913999999993</v>
      </c>
      <c r="P117" s="16">
        <v>10.0342</v>
      </c>
    </row>
    <row r="118" spans="1:16" s="5" customFormat="1" ht="15.6" x14ac:dyDescent="0.3">
      <c r="A118" s="14">
        <v>117</v>
      </c>
      <c r="B118" s="6">
        <v>42247</v>
      </c>
      <c r="C118" s="9">
        <v>135708.63889999999</v>
      </c>
      <c r="D118" s="10">
        <v>12.122999999999999</v>
      </c>
      <c r="E118" s="9">
        <v>111504.88740000001</v>
      </c>
      <c r="F118" s="10">
        <v>12.4696</v>
      </c>
      <c r="G118" s="9">
        <v>98435.246500000008</v>
      </c>
      <c r="H118" s="10">
        <v>12.174122031413106</v>
      </c>
      <c r="I118" s="9">
        <v>10566.916999999999</v>
      </c>
      <c r="J118" s="10">
        <v>16.368500000000001</v>
      </c>
      <c r="K118" s="9">
        <v>847.94320000000005</v>
      </c>
      <c r="L118" s="10">
        <v>13.6471</v>
      </c>
      <c r="M118" s="9">
        <v>1654.7807</v>
      </c>
      <c r="N118" s="10">
        <v>4.5465999999999998</v>
      </c>
      <c r="O118" s="9">
        <v>6433.5958000000001</v>
      </c>
      <c r="P118" s="16">
        <v>9.1419999999999995</v>
      </c>
    </row>
    <row r="119" spans="1:16" s="5" customFormat="1" ht="15.6" x14ac:dyDescent="0.3">
      <c r="A119" s="14">
        <v>118</v>
      </c>
      <c r="B119" s="6">
        <v>42277</v>
      </c>
      <c r="C119" s="9">
        <v>150615.52679999999</v>
      </c>
      <c r="D119" s="10">
        <v>12.2712</v>
      </c>
      <c r="E119" s="9">
        <v>122494.8936</v>
      </c>
      <c r="F119" s="10">
        <v>12.7135</v>
      </c>
      <c r="G119" s="9">
        <v>110928.9172</v>
      </c>
      <c r="H119" s="10">
        <v>12.497545731436293</v>
      </c>
      <c r="I119" s="9">
        <v>8508.7690000000002</v>
      </c>
      <c r="J119" s="10">
        <v>15.6996</v>
      </c>
      <c r="K119" s="9">
        <v>1825.9831999999999</v>
      </c>
      <c r="L119" s="10">
        <v>14.8736</v>
      </c>
      <c r="M119" s="9">
        <v>1231.2240999999999</v>
      </c>
      <c r="N119" s="10">
        <v>8.3285999999999998</v>
      </c>
      <c r="O119" s="9">
        <v>7673.6646000000001</v>
      </c>
      <c r="P119" s="16">
        <v>9.1953999999999994</v>
      </c>
    </row>
    <row r="120" spans="1:16" s="5" customFormat="1" ht="15.6" x14ac:dyDescent="0.3">
      <c r="A120" s="14">
        <v>119</v>
      </c>
      <c r="B120" s="6">
        <v>42308</v>
      </c>
      <c r="C120" s="9">
        <v>165111.92389999999</v>
      </c>
      <c r="D120" s="10">
        <v>11.8207</v>
      </c>
      <c r="E120" s="9">
        <v>134627.41889999999</v>
      </c>
      <c r="F120" s="10">
        <v>12.172000000000001</v>
      </c>
      <c r="G120" s="9">
        <v>122716.7929</v>
      </c>
      <c r="H120" s="10">
        <v>12.05237896689867</v>
      </c>
      <c r="I120" s="9">
        <v>8833.8860000000004</v>
      </c>
      <c r="J120" s="10">
        <v>14.122299999999999</v>
      </c>
      <c r="K120" s="9">
        <v>1703.7365</v>
      </c>
      <c r="L120" s="10">
        <v>12.995100000000001</v>
      </c>
      <c r="M120" s="9">
        <v>1373.0035</v>
      </c>
      <c r="N120" s="10">
        <v>9.2947000000000006</v>
      </c>
      <c r="O120" s="9">
        <v>8249.6998999999996</v>
      </c>
      <c r="P120" s="16">
        <v>8.6959</v>
      </c>
    </row>
    <row r="121" spans="1:16" s="5" customFormat="1" ht="15.6" x14ac:dyDescent="0.3">
      <c r="A121" s="14">
        <v>120</v>
      </c>
      <c r="B121" s="6">
        <v>42338</v>
      </c>
      <c r="C121" s="9">
        <v>162349.52609999999</v>
      </c>
      <c r="D121" s="10">
        <v>11.3507</v>
      </c>
      <c r="E121" s="9">
        <v>134000.8493</v>
      </c>
      <c r="F121" s="10">
        <v>11.700799999999999</v>
      </c>
      <c r="G121" s="9">
        <v>123493.4748</v>
      </c>
      <c r="H121" s="10">
        <v>11.481803580223332</v>
      </c>
      <c r="I121" s="9">
        <v>7588.4337999999998</v>
      </c>
      <c r="J121" s="10">
        <v>15.417</v>
      </c>
      <c r="K121" s="9">
        <v>1522.7040999999999</v>
      </c>
      <c r="L121" s="10">
        <v>13.2118</v>
      </c>
      <c r="M121" s="9">
        <v>1396.2365</v>
      </c>
      <c r="N121" s="10">
        <v>9.2261000000000006</v>
      </c>
      <c r="O121" s="9">
        <v>7337.3288000000002</v>
      </c>
      <c r="P121" s="16">
        <v>8.6189</v>
      </c>
    </row>
    <row r="122" spans="1:16" s="5" customFormat="1" ht="15.6" x14ac:dyDescent="0.3">
      <c r="A122" s="14">
        <v>121</v>
      </c>
      <c r="B122" s="6">
        <v>42369</v>
      </c>
      <c r="C122" s="9">
        <v>200166.1826</v>
      </c>
      <c r="D122" s="10">
        <v>10.2547</v>
      </c>
      <c r="E122" s="9">
        <v>162974.26060000001</v>
      </c>
      <c r="F122" s="10">
        <v>10.396800000000001</v>
      </c>
      <c r="G122" s="9">
        <v>140316.58840000001</v>
      </c>
      <c r="H122" s="10">
        <v>9.8379415870579994</v>
      </c>
      <c r="I122" s="9">
        <v>15019.2587</v>
      </c>
      <c r="J122" s="10">
        <v>14.753500000000001</v>
      </c>
      <c r="K122" s="9">
        <v>3743.5454</v>
      </c>
      <c r="L122" s="10">
        <v>11.734500000000001</v>
      </c>
      <c r="M122" s="9">
        <v>3894.8681000000001</v>
      </c>
      <c r="N122" s="10">
        <v>12.444800000000001</v>
      </c>
      <c r="O122" s="9">
        <v>9891.7356</v>
      </c>
      <c r="P122" s="16">
        <v>8.7352000000000007</v>
      </c>
    </row>
    <row r="123" spans="1:16" s="5" customFormat="1" ht="15.6" x14ac:dyDescent="0.3">
      <c r="A123" s="14">
        <v>122</v>
      </c>
      <c r="B123" s="6">
        <v>42400</v>
      </c>
      <c r="C123" s="9">
        <v>158074.30910000001</v>
      </c>
      <c r="D123" s="10">
        <v>9.7041000000000004</v>
      </c>
      <c r="E123" s="9">
        <v>134670.73069999999</v>
      </c>
      <c r="F123" s="10">
        <v>9.7944999999999993</v>
      </c>
      <c r="G123" s="9">
        <v>123106.58619999999</v>
      </c>
      <c r="H123" s="10">
        <v>9.5460108201835592</v>
      </c>
      <c r="I123" s="9">
        <v>9138.4408999999996</v>
      </c>
      <c r="J123" s="10">
        <v>12.5623</v>
      </c>
      <c r="K123" s="9">
        <v>1619.2097000000001</v>
      </c>
      <c r="L123" s="10">
        <v>13.527900000000001</v>
      </c>
      <c r="M123" s="9">
        <v>806.49390000000005</v>
      </c>
      <c r="N123" s="10">
        <v>8.8690999999999995</v>
      </c>
      <c r="O123" s="9">
        <v>5587.2705999999998</v>
      </c>
      <c r="P123" s="16">
        <v>9.0937000000000001</v>
      </c>
    </row>
    <row r="124" spans="1:16" s="5" customFormat="1" ht="15.6" x14ac:dyDescent="0.3">
      <c r="A124" s="14">
        <v>123</v>
      </c>
      <c r="B124" s="6">
        <v>42429</v>
      </c>
      <c r="C124" s="9">
        <v>183840.02989999999</v>
      </c>
      <c r="D124" s="10">
        <v>10.163399999999999</v>
      </c>
      <c r="E124" s="9">
        <v>156992.69089999999</v>
      </c>
      <c r="F124" s="10">
        <v>10.257999999999999</v>
      </c>
      <c r="G124" s="9">
        <v>145766.8762</v>
      </c>
      <c r="H124" s="10">
        <v>10.034038778123243</v>
      </c>
      <c r="I124" s="9">
        <v>8890.9853999999996</v>
      </c>
      <c r="J124" s="10">
        <v>13.8294</v>
      </c>
      <c r="K124" s="9">
        <v>1436.1736000000001</v>
      </c>
      <c r="L124" s="10">
        <v>11.542</v>
      </c>
      <c r="M124" s="9">
        <v>898.65560000000005</v>
      </c>
      <c r="N124" s="10">
        <v>9.1973000000000003</v>
      </c>
      <c r="O124" s="9">
        <v>6749.5653000000002</v>
      </c>
      <c r="P124" s="16">
        <v>8.9793000000000003</v>
      </c>
    </row>
    <row r="125" spans="1:16" s="5" customFormat="1" ht="15.6" x14ac:dyDescent="0.3">
      <c r="A125" s="14">
        <v>124</v>
      </c>
      <c r="B125" s="6">
        <v>42460</v>
      </c>
      <c r="C125" s="9">
        <v>182787.47289999999</v>
      </c>
      <c r="D125" s="10">
        <v>11.5405</v>
      </c>
      <c r="E125" s="9">
        <v>152716.6765</v>
      </c>
      <c r="F125" s="10">
        <v>11.880699999999999</v>
      </c>
      <c r="G125" s="9">
        <v>136413.94399999999</v>
      </c>
      <c r="H125" s="10">
        <v>11.716153013401696</v>
      </c>
      <c r="I125" s="9">
        <v>10209.7395</v>
      </c>
      <c r="J125" s="10">
        <v>13.5687</v>
      </c>
      <c r="K125" s="9">
        <v>4339.5537000000004</v>
      </c>
      <c r="L125" s="10">
        <v>12.791</v>
      </c>
      <c r="M125" s="9">
        <v>1753.4393</v>
      </c>
      <c r="N125" s="10">
        <v>12.601100000000001</v>
      </c>
      <c r="O125" s="9">
        <v>7298.1697999999997</v>
      </c>
      <c r="P125" s="16">
        <v>9.3238000000000003</v>
      </c>
    </row>
    <row r="126" spans="1:16" s="5" customFormat="1" ht="15.6" x14ac:dyDescent="0.3">
      <c r="A126" s="14">
        <v>125</v>
      </c>
      <c r="B126" s="6">
        <v>42490</v>
      </c>
      <c r="C126" s="9">
        <v>170024.64670000001</v>
      </c>
      <c r="D126" s="10">
        <v>12.246</v>
      </c>
      <c r="E126" s="9">
        <v>140049.65090000001</v>
      </c>
      <c r="F126" s="10">
        <v>12.7803</v>
      </c>
      <c r="G126" s="9">
        <v>122767.0442</v>
      </c>
      <c r="H126" s="10">
        <v>12.793110572428686</v>
      </c>
      <c r="I126" s="9">
        <v>12100.7093</v>
      </c>
      <c r="J126" s="10">
        <v>13.6523</v>
      </c>
      <c r="K126" s="9">
        <v>3241.8528999999999</v>
      </c>
      <c r="L126" s="10">
        <v>11.1516</v>
      </c>
      <c r="M126" s="9">
        <v>1940.0445</v>
      </c>
      <c r="N126" s="10">
        <v>9.2492000000000001</v>
      </c>
      <c r="O126" s="9">
        <v>6946.0762999999997</v>
      </c>
      <c r="P126" s="16">
        <v>9.0791000000000004</v>
      </c>
    </row>
    <row r="127" spans="1:16" s="5" customFormat="1" ht="15.6" x14ac:dyDescent="0.3">
      <c r="A127" s="14">
        <v>126</v>
      </c>
      <c r="B127" s="6">
        <v>42521</v>
      </c>
      <c r="C127" s="9">
        <v>170736.27009999999</v>
      </c>
      <c r="D127" s="10">
        <v>12.4651</v>
      </c>
      <c r="E127" s="9">
        <v>141255.74830000001</v>
      </c>
      <c r="F127" s="10">
        <v>13.0296</v>
      </c>
      <c r="G127" s="9">
        <v>126212.2855</v>
      </c>
      <c r="H127" s="10">
        <v>12.980256998409319</v>
      </c>
      <c r="I127" s="9">
        <v>11229.015799999999</v>
      </c>
      <c r="J127" s="10">
        <v>14.1867</v>
      </c>
      <c r="K127" s="9">
        <v>2213.8789000000002</v>
      </c>
      <c r="L127" s="10">
        <v>11.983700000000001</v>
      </c>
      <c r="M127" s="9">
        <v>1600.5681999999999</v>
      </c>
      <c r="N127" s="10">
        <v>10.2445</v>
      </c>
      <c r="O127" s="9">
        <v>7039.4371000000001</v>
      </c>
      <c r="P127" s="16">
        <v>8.8354999999999997</v>
      </c>
    </row>
    <row r="128" spans="1:16" s="5" customFormat="1" ht="15.6" x14ac:dyDescent="0.3">
      <c r="A128" s="14">
        <v>127</v>
      </c>
      <c r="B128" s="6">
        <v>42551</v>
      </c>
      <c r="C128" s="9">
        <v>191081.2303</v>
      </c>
      <c r="D128" s="10">
        <v>11.612299999999999</v>
      </c>
      <c r="E128" s="9">
        <v>161966.0275</v>
      </c>
      <c r="F128" s="10">
        <v>12.0016</v>
      </c>
      <c r="G128" s="9">
        <v>147398.38890000002</v>
      </c>
      <c r="H128" s="10">
        <v>11.805375907447113</v>
      </c>
      <c r="I128" s="9">
        <v>10021.5985</v>
      </c>
      <c r="J128" s="10">
        <v>15.1214</v>
      </c>
      <c r="K128" s="9">
        <v>3516.6601000000001</v>
      </c>
      <c r="L128" s="10">
        <v>11.439299999999999</v>
      </c>
      <c r="M128" s="9">
        <v>1029.3798999999999</v>
      </c>
      <c r="N128" s="10">
        <v>11.648099999999999</v>
      </c>
      <c r="O128" s="9">
        <v>6531.2785999999996</v>
      </c>
      <c r="P128" s="16">
        <v>8.4596</v>
      </c>
    </row>
    <row r="129" spans="1:16" s="5" customFormat="1" ht="15.6" x14ac:dyDescent="0.3">
      <c r="A129" s="14">
        <v>128</v>
      </c>
      <c r="B129" s="6">
        <v>42582</v>
      </c>
      <c r="C129" s="9">
        <v>198103.2451</v>
      </c>
      <c r="D129" s="10">
        <v>10.443300000000001</v>
      </c>
      <c r="E129" s="9">
        <v>165478.89309999999</v>
      </c>
      <c r="F129" s="10">
        <v>10.696199999999999</v>
      </c>
      <c r="G129" s="9">
        <v>146471.51909999998</v>
      </c>
      <c r="H129" s="10">
        <v>10.478905302096305</v>
      </c>
      <c r="I129" s="9">
        <v>14519.7682</v>
      </c>
      <c r="J129" s="10">
        <v>12.4825</v>
      </c>
      <c r="K129" s="9">
        <v>2829.0632000000001</v>
      </c>
      <c r="L129" s="10">
        <v>12.6669</v>
      </c>
      <c r="M129" s="9">
        <v>1658.5425</v>
      </c>
      <c r="N129" s="10">
        <v>10.887499999999999</v>
      </c>
      <c r="O129" s="9">
        <v>6997.5931</v>
      </c>
      <c r="P129" s="16">
        <v>7.8143000000000002</v>
      </c>
    </row>
    <row r="130" spans="1:16" s="5" customFormat="1" ht="15.6" x14ac:dyDescent="0.3">
      <c r="A130" s="14">
        <v>129</v>
      </c>
      <c r="B130" s="6">
        <v>42613</v>
      </c>
      <c r="C130" s="9">
        <v>186042.0331</v>
      </c>
      <c r="D130" s="10">
        <v>9.2065999999999999</v>
      </c>
      <c r="E130" s="9">
        <v>152968.31649999999</v>
      </c>
      <c r="F130" s="10">
        <v>9.2141000000000002</v>
      </c>
      <c r="G130" s="9">
        <v>137546.2476</v>
      </c>
      <c r="H130" s="10">
        <v>8.817132662657313</v>
      </c>
      <c r="I130" s="9">
        <v>11976.604799999999</v>
      </c>
      <c r="J130" s="10">
        <v>12.807700000000001</v>
      </c>
      <c r="K130" s="9">
        <v>2102.2296999999999</v>
      </c>
      <c r="L130" s="10">
        <v>13.651300000000001</v>
      </c>
      <c r="M130" s="9">
        <v>1343.2345</v>
      </c>
      <c r="N130" s="10">
        <v>10.877800000000001</v>
      </c>
      <c r="O130" s="9">
        <v>7191.1511</v>
      </c>
      <c r="P130" s="16">
        <v>7.6894999999999998</v>
      </c>
    </row>
    <row r="131" spans="1:16" s="5" customFormat="1" ht="15.6" x14ac:dyDescent="0.3">
      <c r="A131" s="14">
        <v>130</v>
      </c>
      <c r="B131" s="6">
        <v>42643</v>
      </c>
      <c r="C131" s="9">
        <v>190883.24220000001</v>
      </c>
      <c r="D131" s="10">
        <v>9.7651000000000003</v>
      </c>
      <c r="E131" s="9">
        <v>157697.6967</v>
      </c>
      <c r="F131" s="10">
        <v>9.9703999999999997</v>
      </c>
      <c r="G131" s="9">
        <v>140182.0404</v>
      </c>
      <c r="H131" s="10">
        <v>9.7354421598090841</v>
      </c>
      <c r="I131" s="9">
        <v>11972.956899999999</v>
      </c>
      <c r="J131" s="10">
        <v>12.772600000000001</v>
      </c>
      <c r="K131" s="9">
        <v>4031.1084999999998</v>
      </c>
      <c r="L131" s="10">
        <v>10.034599999999999</v>
      </c>
      <c r="M131" s="9">
        <v>1511.5909999999999</v>
      </c>
      <c r="N131" s="10">
        <v>9.3917999999999999</v>
      </c>
      <c r="O131" s="9">
        <v>7276.4453000000003</v>
      </c>
      <c r="P131" s="16">
        <v>7.5730000000000004</v>
      </c>
    </row>
    <row r="132" spans="1:16" s="5" customFormat="1" ht="15.6" x14ac:dyDescent="0.3">
      <c r="A132" s="14">
        <v>131</v>
      </c>
      <c r="B132" s="6">
        <v>42674</v>
      </c>
      <c r="C132" s="9">
        <v>188330.6146</v>
      </c>
      <c r="D132" s="10">
        <v>9.8322000000000003</v>
      </c>
      <c r="E132" s="9">
        <v>156722.0821</v>
      </c>
      <c r="F132" s="10">
        <v>10.059200000000001</v>
      </c>
      <c r="G132" s="9">
        <v>141098.90429999999</v>
      </c>
      <c r="H132" s="10">
        <v>9.7346814993611552</v>
      </c>
      <c r="I132" s="9">
        <v>11961.656800000001</v>
      </c>
      <c r="J132" s="10">
        <v>12.928699999999999</v>
      </c>
      <c r="K132" s="9">
        <v>2724.0565999999999</v>
      </c>
      <c r="L132" s="10">
        <v>14.1287</v>
      </c>
      <c r="M132" s="9">
        <v>937.46429999999998</v>
      </c>
      <c r="N132" s="10">
        <v>10.456</v>
      </c>
      <c r="O132" s="9">
        <v>6681.0825000000004</v>
      </c>
      <c r="P132" s="16">
        <v>7.3720999999999997</v>
      </c>
    </row>
    <row r="133" spans="1:16" s="5" customFormat="1" ht="15.6" x14ac:dyDescent="0.3">
      <c r="A133" s="14">
        <v>132</v>
      </c>
      <c r="B133" s="6">
        <v>42704</v>
      </c>
      <c r="C133" s="9">
        <v>202091.49340000001</v>
      </c>
      <c r="D133" s="10">
        <v>9.0198999999999998</v>
      </c>
      <c r="E133" s="9">
        <v>169129.78</v>
      </c>
      <c r="F133" s="10">
        <v>9.0488999999999997</v>
      </c>
      <c r="G133" s="9">
        <v>153306.28820000001</v>
      </c>
      <c r="H133" s="10">
        <v>8.7239681285409922</v>
      </c>
      <c r="I133" s="9">
        <v>9917.8343000000004</v>
      </c>
      <c r="J133" s="10">
        <v>12.0115</v>
      </c>
      <c r="K133" s="9">
        <v>5268.1958000000004</v>
      </c>
      <c r="L133" s="10">
        <v>13.012499999999999</v>
      </c>
      <c r="M133" s="9">
        <v>637.46169999999995</v>
      </c>
      <c r="N133" s="10">
        <v>8.3445999999999998</v>
      </c>
      <c r="O133" s="9">
        <v>7559.5104000000001</v>
      </c>
      <c r="P133" s="16">
        <v>7.1532</v>
      </c>
    </row>
    <row r="134" spans="1:16" s="5" customFormat="1" ht="15.6" x14ac:dyDescent="0.3">
      <c r="A134" s="14">
        <v>133</v>
      </c>
      <c r="B134" s="6">
        <v>42735</v>
      </c>
      <c r="C134" s="9">
        <v>219566.79449999999</v>
      </c>
      <c r="D134" s="10">
        <v>8.9809000000000001</v>
      </c>
      <c r="E134" s="9">
        <v>180214.21900000001</v>
      </c>
      <c r="F134" s="10">
        <v>9.2490000000000006</v>
      </c>
      <c r="G134" s="9">
        <v>162126.3003</v>
      </c>
      <c r="H134" s="10">
        <v>8.959320848115782</v>
      </c>
      <c r="I134" s="9">
        <v>12988.110699999999</v>
      </c>
      <c r="J134" s="10">
        <v>13.167400000000001</v>
      </c>
      <c r="K134" s="9">
        <v>2235.8425000000002</v>
      </c>
      <c r="L134" s="10">
        <v>12.564299999999999</v>
      </c>
      <c r="M134" s="9">
        <v>2863.9654999999998</v>
      </c>
      <c r="N134" s="10">
        <v>5.2872000000000003</v>
      </c>
      <c r="O134" s="9">
        <v>8921.3544000000002</v>
      </c>
      <c r="P134" s="16">
        <v>7.5266000000000002</v>
      </c>
    </row>
    <row r="135" spans="1:16" s="5" customFormat="1" ht="15.6" x14ac:dyDescent="0.3">
      <c r="A135" s="14">
        <v>134</v>
      </c>
      <c r="B135" s="6">
        <v>42766</v>
      </c>
      <c r="C135" s="9">
        <v>178804.27280000001</v>
      </c>
      <c r="D135" s="10">
        <v>8.4543999999999997</v>
      </c>
      <c r="E135" s="9">
        <v>153003.34820000001</v>
      </c>
      <c r="F135" s="10">
        <v>8.6567000000000007</v>
      </c>
      <c r="G135" s="9">
        <v>136879.53769999999</v>
      </c>
      <c r="H135" s="10">
        <v>8.2995613939187063</v>
      </c>
      <c r="I135" s="9">
        <v>11230.5651</v>
      </c>
      <c r="J135" s="10">
        <v>11.5596</v>
      </c>
      <c r="K135" s="9">
        <v>3315.5353</v>
      </c>
      <c r="L135" s="10">
        <v>12.112</v>
      </c>
      <c r="M135" s="9">
        <v>1577.7101</v>
      </c>
      <c r="N135" s="10">
        <v>11.713100000000001</v>
      </c>
      <c r="O135" s="9">
        <v>7342.6882999999998</v>
      </c>
      <c r="P135" s="16">
        <v>7.1933999999999996</v>
      </c>
    </row>
    <row r="136" spans="1:16" s="5" customFormat="1" ht="15.6" x14ac:dyDescent="0.3">
      <c r="A136" s="14">
        <v>135</v>
      </c>
      <c r="B136" s="6">
        <v>42794</v>
      </c>
      <c r="C136" s="9">
        <v>177217.44260000001</v>
      </c>
      <c r="D136" s="10">
        <v>8.5363000000000007</v>
      </c>
      <c r="E136" s="9">
        <v>150392.54990000001</v>
      </c>
      <c r="F136" s="10">
        <v>8.7134999999999998</v>
      </c>
      <c r="G136" s="9">
        <v>135393.5606</v>
      </c>
      <c r="H136" s="10">
        <v>8.3892141926399706</v>
      </c>
      <c r="I136" s="9">
        <v>9909.2788999999993</v>
      </c>
      <c r="J136" s="10">
        <v>12.1242</v>
      </c>
      <c r="K136" s="9">
        <v>4072.0196999999998</v>
      </c>
      <c r="L136" s="10">
        <v>10.6943</v>
      </c>
      <c r="M136" s="9">
        <v>1017.6907</v>
      </c>
      <c r="N136" s="10">
        <v>10.722200000000001</v>
      </c>
      <c r="O136" s="9">
        <v>8746.9971000000005</v>
      </c>
      <c r="P136" s="16">
        <v>7.3087</v>
      </c>
    </row>
    <row r="137" spans="1:16" s="5" customFormat="1" ht="15.6" x14ac:dyDescent="0.3">
      <c r="A137" s="14">
        <v>136</v>
      </c>
      <c r="B137" s="6">
        <v>42825</v>
      </c>
      <c r="C137" s="9">
        <v>203363.41519999999</v>
      </c>
      <c r="D137" s="10">
        <v>9.1259999999999994</v>
      </c>
      <c r="E137" s="9">
        <v>169754.3591</v>
      </c>
      <c r="F137" s="10">
        <v>9.4643999999999995</v>
      </c>
      <c r="G137" s="9">
        <v>153300.24170000001</v>
      </c>
      <c r="H137" s="10">
        <v>9.2452260457734159</v>
      </c>
      <c r="I137" s="9">
        <v>10470.093800000001</v>
      </c>
      <c r="J137" s="10">
        <v>11.9457</v>
      </c>
      <c r="K137" s="9">
        <v>4169.8028999999997</v>
      </c>
      <c r="L137" s="10">
        <v>10.8489</v>
      </c>
      <c r="M137" s="9">
        <v>1814.2206000000001</v>
      </c>
      <c r="N137" s="10">
        <v>10.482900000000001</v>
      </c>
      <c r="O137" s="9">
        <v>10125.217500000001</v>
      </c>
      <c r="P137" s="16">
        <v>7.0515999999999996</v>
      </c>
    </row>
    <row r="138" spans="1:16" s="5" customFormat="1" ht="15.6" x14ac:dyDescent="0.3">
      <c r="A138" s="14">
        <v>137</v>
      </c>
      <c r="B138" s="6">
        <v>42855</v>
      </c>
      <c r="C138" s="9">
        <v>170902.2838</v>
      </c>
      <c r="D138" s="10">
        <v>8.7590000000000003</v>
      </c>
      <c r="E138" s="9">
        <v>141035.08929999999</v>
      </c>
      <c r="F138" s="10">
        <v>9.0609999999999999</v>
      </c>
      <c r="G138" s="9">
        <v>123605.99680000001</v>
      </c>
      <c r="H138" s="10">
        <v>8.9282799510998316</v>
      </c>
      <c r="I138" s="9">
        <v>12727.7356</v>
      </c>
      <c r="J138" s="10">
        <v>9.6472999999999995</v>
      </c>
      <c r="K138" s="9">
        <v>3192.8609000000001</v>
      </c>
      <c r="L138" s="10">
        <v>11.23</v>
      </c>
      <c r="M138" s="9">
        <v>1508.4960000000001</v>
      </c>
      <c r="N138" s="10">
        <v>10.3964</v>
      </c>
      <c r="O138" s="9">
        <v>9330.8848999999991</v>
      </c>
      <c r="P138" s="16">
        <v>7.5747999999999998</v>
      </c>
    </row>
    <row r="139" spans="1:16" s="5" customFormat="1" ht="15.6" x14ac:dyDescent="0.3">
      <c r="A139" s="14">
        <v>138</v>
      </c>
      <c r="B139" s="6">
        <v>42886</v>
      </c>
      <c r="C139" s="9">
        <v>173234.24479999999</v>
      </c>
      <c r="D139" s="10">
        <v>8.3841999999999999</v>
      </c>
      <c r="E139" s="9">
        <v>140148.50090000001</v>
      </c>
      <c r="F139" s="10">
        <v>8.8000000000000007</v>
      </c>
      <c r="G139" s="9">
        <v>125944.98909999999</v>
      </c>
      <c r="H139" s="10">
        <v>8.5314149899048282</v>
      </c>
      <c r="I139" s="9">
        <v>9715.8971000000001</v>
      </c>
      <c r="J139" s="10">
        <v>11.653700000000001</v>
      </c>
      <c r="K139" s="9">
        <v>2812.2966000000001</v>
      </c>
      <c r="L139" s="10">
        <v>10.7766</v>
      </c>
      <c r="M139" s="9">
        <v>1675.3181</v>
      </c>
      <c r="N139" s="10">
        <v>9.1220999999999997</v>
      </c>
      <c r="O139" s="9">
        <v>10800.2641</v>
      </c>
      <c r="P139" s="16">
        <v>7.3135000000000003</v>
      </c>
    </row>
    <row r="140" spans="1:16" s="5" customFormat="1" ht="15.6" x14ac:dyDescent="0.3">
      <c r="A140" s="14">
        <v>139</v>
      </c>
      <c r="B140" s="6">
        <v>42916</v>
      </c>
      <c r="C140" s="9">
        <v>168212.6673</v>
      </c>
      <c r="D140" s="10">
        <v>7.9032999999999998</v>
      </c>
      <c r="E140" s="9">
        <v>126366.0309</v>
      </c>
      <c r="F140" s="10">
        <v>8.2207000000000008</v>
      </c>
      <c r="G140" s="9">
        <v>108984.29120000001</v>
      </c>
      <c r="H140" s="10">
        <v>8.0564302418520466</v>
      </c>
      <c r="I140" s="9">
        <v>10501.1173</v>
      </c>
      <c r="J140" s="10">
        <v>10.033099999999999</v>
      </c>
      <c r="K140" s="9">
        <v>5777.9533000000001</v>
      </c>
      <c r="L140" s="10">
        <v>7.7489999999999997</v>
      </c>
      <c r="M140" s="9">
        <v>1102.6691000000001</v>
      </c>
      <c r="N140" s="10">
        <v>9.6646999999999998</v>
      </c>
      <c r="O140" s="9">
        <v>19711.524099999999</v>
      </c>
      <c r="P140" s="16">
        <v>7.3658000000000001</v>
      </c>
    </row>
    <row r="141" spans="1:16" s="5" customFormat="1" ht="15.6" x14ac:dyDescent="0.3">
      <c r="A141" s="14">
        <v>140</v>
      </c>
      <c r="B141" s="6">
        <v>42947</v>
      </c>
      <c r="C141" s="9">
        <v>172161.61799999999</v>
      </c>
      <c r="D141" s="10">
        <v>7.7527999999999997</v>
      </c>
      <c r="E141" s="9">
        <v>138805.1747</v>
      </c>
      <c r="F141" s="10">
        <v>8.1577999999999999</v>
      </c>
      <c r="G141" s="9">
        <v>121814.223</v>
      </c>
      <c r="H141" s="10">
        <v>7.867123007478364</v>
      </c>
      <c r="I141" s="9">
        <v>11440.8225</v>
      </c>
      <c r="J141" s="10">
        <v>10.883800000000001</v>
      </c>
      <c r="K141" s="9">
        <v>3161.1626000000001</v>
      </c>
      <c r="L141" s="10">
        <v>11.223800000000001</v>
      </c>
      <c r="M141" s="9">
        <v>2388.9666000000002</v>
      </c>
      <c r="N141" s="10">
        <v>5.8693999999999997</v>
      </c>
      <c r="O141" s="9">
        <v>11463.1432</v>
      </c>
      <c r="P141" s="16">
        <v>6.8630000000000004</v>
      </c>
    </row>
    <row r="142" spans="1:16" s="5" customFormat="1" ht="15.6" x14ac:dyDescent="0.3">
      <c r="A142" s="14">
        <v>141</v>
      </c>
      <c r="B142" s="6">
        <v>42978</v>
      </c>
      <c r="C142" s="9">
        <v>187229.55600000001</v>
      </c>
      <c r="D142" s="10">
        <v>7.9836999999999998</v>
      </c>
      <c r="E142" s="9">
        <v>154753.5183</v>
      </c>
      <c r="F142" s="10">
        <v>8.3848000000000003</v>
      </c>
      <c r="G142" s="9">
        <v>137432.25570000001</v>
      </c>
      <c r="H142" s="10">
        <v>8.2217679670754329</v>
      </c>
      <c r="I142" s="9">
        <v>10328.4935</v>
      </c>
      <c r="J142" s="10">
        <v>10.068199999999999</v>
      </c>
      <c r="K142" s="9">
        <v>4856.9584999999997</v>
      </c>
      <c r="L142" s="10">
        <v>9.9848999999999997</v>
      </c>
      <c r="M142" s="9">
        <v>2135.8105999999998</v>
      </c>
      <c r="N142" s="10">
        <v>7.0987999999999998</v>
      </c>
      <c r="O142" s="9">
        <v>10361.248</v>
      </c>
      <c r="P142" s="16">
        <v>6.7453000000000003</v>
      </c>
    </row>
    <row r="143" spans="1:16" s="5" customFormat="1" ht="15.6" x14ac:dyDescent="0.3">
      <c r="A143" s="14">
        <v>142</v>
      </c>
      <c r="B143" s="6">
        <v>43008</v>
      </c>
      <c r="C143" s="9">
        <v>175182.61660000001</v>
      </c>
      <c r="D143" s="10">
        <v>7.8836000000000004</v>
      </c>
      <c r="E143" s="9">
        <v>143791.33970000001</v>
      </c>
      <c r="F143" s="10">
        <v>8.2813999999999997</v>
      </c>
      <c r="G143" s="9">
        <v>127742.2199</v>
      </c>
      <c r="H143" s="10">
        <v>8.1068280575392606</v>
      </c>
      <c r="I143" s="9">
        <v>12018.028899999999</v>
      </c>
      <c r="J143" s="10">
        <v>9.9560999999999993</v>
      </c>
      <c r="K143" s="9">
        <v>2782.7752999999998</v>
      </c>
      <c r="L143" s="10">
        <v>8.9876000000000005</v>
      </c>
      <c r="M143" s="9">
        <v>1248.3155999999999</v>
      </c>
      <c r="N143" s="10">
        <v>8.4451000000000001</v>
      </c>
      <c r="O143" s="9">
        <v>8891.9570000000003</v>
      </c>
      <c r="P143" s="16">
        <v>6.8247</v>
      </c>
    </row>
    <row r="144" spans="1:16" s="5" customFormat="1" ht="15.6" x14ac:dyDescent="0.3">
      <c r="A144" s="14">
        <v>143</v>
      </c>
      <c r="B144" s="6">
        <v>43039</v>
      </c>
      <c r="C144" s="9">
        <v>182670.47279999999</v>
      </c>
      <c r="D144" s="10">
        <v>7.8384</v>
      </c>
      <c r="E144" s="9">
        <v>150883.98749999999</v>
      </c>
      <c r="F144" s="10">
        <v>8.2286999999999999</v>
      </c>
      <c r="G144" s="9">
        <v>134302.75029999999</v>
      </c>
      <c r="H144" s="10">
        <v>8.0207857115492001</v>
      </c>
      <c r="I144" s="9">
        <v>9159.2656000000006</v>
      </c>
      <c r="J144" s="10">
        <v>10.4452</v>
      </c>
      <c r="K144" s="9">
        <v>4343.7267000000002</v>
      </c>
      <c r="L144" s="10">
        <v>11.464600000000001</v>
      </c>
      <c r="M144" s="9">
        <v>3078.2451000000001</v>
      </c>
      <c r="N144" s="10">
        <v>6.1387999999999998</v>
      </c>
      <c r="O144" s="9">
        <v>10140.482400000001</v>
      </c>
      <c r="P144" s="16">
        <v>6.9743000000000004</v>
      </c>
    </row>
    <row r="145" spans="1:16" s="5" customFormat="1" ht="15.6" x14ac:dyDescent="0.3">
      <c r="A145" s="14">
        <v>144</v>
      </c>
      <c r="B145" s="6">
        <v>43069</v>
      </c>
      <c r="C145" s="9">
        <v>189242.67720000001</v>
      </c>
      <c r="D145" s="10">
        <v>8.4593000000000007</v>
      </c>
      <c r="E145" s="9">
        <v>157946.52420000001</v>
      </c>
      <c r="F145" s="10">
        <v>8.9430999999999994</v>
      </c>
      <c r="G145" s="9">
        <v>141982.99669999999</v>
      </c>
      <c r="H145" s="10">
        <v>8.7989753446635781</v>
      </c>
      <c r="I145" s="9">
        <v>9252.2801999999992</v>
      </c>
      <c r="J145" s="10">
        <v>11.516</v>
      </c>
      <c r="K145" s="9">
        <v>4530.098</v>
      </c>
      <c r="L145" s="10">
        <v>9.5349000000000004</v>
      </c>
      <c r="M145" s="9">
        <v>2181.1493999999998</v>
      </c>
      <c r="N145" s="10">
        <v>6.1821999999999999</v>
      </c>
      <c r="O145" s="9">
        <v>9046.9</v>
      </c>
      <c r="P145" s="16">
        <v>7.6577000000000002</v>
      </c>
    </row>
    <row r="146" spans="1:16" s="5" customFormat="1" ht="15.6" x14ac:dyDescent="0.3">
      <c r="A146" s="14">
        <v>145</v>
      </c>
      <c r="B146" s="6">
        <v>43100</v>
      </c>
      <c r="C146" s="9">
        <v>191261.43460000001</v>
      </c>
      <c r="D146" s="10">
        <v>8.9183000000000003</v>
      </c>
      <c r="E146" s="9">
        <v>157849.1556</v>
      </c>
      <c r="F146" s="10">
        <v>9.4705999999999992</v>
      </c>
      <c r="G146" s="9">
        <v>136800.28580000001</v>
      </c>
      <c r="H146" s="10">
        <v>9.3173781853275912</v>
      </c>
      <c r="I146" s="9">
        <v>13721.7898</v>
      </c>
      <c r="J146" s="10">
        <v>12.2372</v>
      </c>
      <c r="K146" s="9">
        <v>4213.0771999999997</v>
      </c>
      <c r="L146" s="10">
        <v>8.8043999999999993</v>
      </c>
      <c r="M146" s="9">
        <v>3114.0028000000002</v>
      </c>
      <c r="N146" s="10">
        <v>4.9100999999999999</v>
      </c>
      <c r="O146" s="9">
        <v>9693.4879999999994</v>
      </c>
      <c r="P146" s="16">
        <v>7.6935000000000002</v>
      </c>
    </row>
    <row r="147" spans="1:16" s="5" customFormat="1" ht="15.6" x14ac:dyDescent="0.3">
      <c r="A147" s="14">
        <v>146</v>
      </c>
      <c r="B147" s="6">
        <v>43131</v>
      </c>
      <c r="C147" s="9">
        <v>191335.82130000001</v>
      </c>
      <c r="D147" s="10">
        <v>9.2894000000000005</v>
      </c>
      <c r="E147" s="9">
        <v>164689.5681</v>
      </c>
      <c r="F147" s="10">
        <v>9.7242999999999995</v>
      </c>
      <c r="G147" s="9">
        <v>147122.9123</v>
      </c>
      <c r="H147" s="10">
        <v>9.5478544351865029</v>
      </c>
      <c r="I147" s="9">
        <v>12968.4123</v>
      </c>
      <c r="J147" s="10">
        <v>11.8964</v>
      </c>
      <c r="K147" s="9">
        <v>3070.9079000000002</v>
      </c>
      <c r="L147" s="10">
        <v>11.268800000000001</v>
      </c>
      <c r="M147" s="9">
        <v>1527.3354999999999</v>
      </c>
      <c r="N147" s="10">
        <v>5.1779000000000002</v>
      </c>
      <c r="O147" s="9">
        <v>10738.920899999999</v>
      </c>
      <c r="P147" s="16">
        <v>7.7359</v>
      </c>
    </row>
    <row r="148" spans="1:16" s="5" customFormat="1" ht="15.6" x14ac:dyDescent="0.3">
      <c r="A148" s="14">
        <v>147</v>
      </c>
      <c r="B148" s="6">
        <v>43159</v>
      </c>
      <c r="C148" s="9">
        <v>168730.8701</v>
      </c>
      <c r="D148" s="10">
        <v>9.9305000000000003</v>
      </c>
      <c r="E148" s="9">
        <v>143495.91250000001</v>
      </c>
      <c r="F148" s="10">
        <v>10.4872</v>
      </c>
      <c r="G148" s="9">
        <v>129586.9485</v>
      </c>
      <c r="H148" s="10">
        <v>10.426234005813864</v>
      </c>
      <c r="I148" s="9">
        <v>10241.2312</v>
      </c>
      <c r="J148" s="10">
        <v>11.749000000000001</v>
      </c>
      <c r="K148" s="9">
        <v>2697.9661000000001</v>
      </c>
      <c r="L148" s="10">
        <v>9.6805000000000003</v>
      </c>
      <c r="M148" s="9">
        <v>969.76670000000001</v>
      </c>
      <c r="N148" s="10">
        <v>7.5473999999999997</v>
      </c>
      <c r="O148" s="9">
        <v>11733.0201</v>
      </c>
      <c r="P148" s="16">
        <v>8.2530999999999999</v>
      </c>
    </row>
    <row r="149" spans="1:16" s="5" customFormat="1" ht="15.6" x14ac:dyDescent="0.3">
      <c r="A149" s="14">
        <v>148</v>
      </c>
      <c r="B149" s="6">
        <v>43190</v>
      </c>
      <c r="C149" s="9">
        <v>209251.649</v>
      </c>
      <c r="D149" s="10">
        <v>10.770799999999999</v>
      </c>
      <c r="E149" s="9">
        <v>181397.8345</v>
      </c>
      <c r="F149" s="10">
        <v>11.318899999999999</v>
      </c>
      <c r="G149" s="9">
        <v>165848.266</v>
      </c>
      <c r="H149" s="10">
        <v>11.330077186757865</v>
      </c>
      <c r="I149" s="9">
        <v>11020.248</v>
      </c>
      <c r="J149" s="10">
        <v>11.812099999999999</v>
      </c>
      <c r="K149" s="9">
        <v>2475.9645</v>
      </c>
      <c r="L149" s="10">
        <v>9.9831000000000003</v>
      </c>
      <c r="M149" s="9">
        <v>2053.3560000000002</v>
      </c>
      <c r="N149" s="10">
        <v>9.3811</v>
      </c>
      <c r="O149" s="9">
        <v>11559.855299999999</v>
      </c>
      <c r="P149" s="16">
        <v>8.8684999999999992</v>
      </c>
    </row>
    <row r="150" spans="1:16" s="5" customFormat="1" ht="15.6" x14ac:dyDescent="0.3">
      <c r="A150" s="14">
        <v>149</v>
      </c>
      <c r="B150" s="6">
        <v>43220</v>
      </c>
      <c r="C150" s="9">
        <v>180149.7432</v>
      </c>
      <c r="D150" s="10">
        <v>10.9208</v>
      </c>
      <c r="E150" s="9">
        <v>156699.68479999999</v>
      </c>
      <c r="F150" s="10">
        <v>11.586</v>
      </c>
      <c r="G150" s="9">
        <v>139204.9859</v>
      </c>
      <c r="H150" s="10">
        <v>11.612484137575564</v>
      </c>
      <c r="I150" s="9">
        <v>12113.748600000001</v>
      </c>
      <c r="J150" s="10">
        <v>12.470599999999999</v>
      </c>
      <c r="K150" s="9">
        <v>3833.2667999999999</v>
      </c>
      <c r="L150" s="10">
        <v>8.82</v>
      </c>
      <c r="M150" s="9">
        <v>1547.6835000000001</v>
      </c>
      <c r="N150" s="10">
        <v>9.1292000000000009</v>
      </c>
      <c r="O150" s="9">
        <v>571.85239999999999</v>
      </c>
      <c r="P150" s="16">
        <v>7.0557999999999996</v>
      </c>
    </row>
    <row r="151" spans="1:16" s="5" customFormat="1" ht="15.6" x14ac:dyDescent="0.3">
      <c r="A151" s="14">
        <v>150</v>
      </c>
      <c r="B151" s="6">
        <v>43251</v>
      </c>
      <c r="C151" s="9">
        <v>185638.9926</v>
      </c>
      <c r="D151" s="10">
        <v>11.131500000000001</v>
      </c>
      <c r="E151" s="9">
        <v>161403.0839</v>
      </c>
      <c r="F151" s="10">
        <v>11.7966</v>
      </c>
      <c r="G151" s="9">
        <v>145895.5001</v>
      </c>
      <c r="H151" s="10">
        <v>11.827893774793194</v>
      </c>
      <c r="I151" s="9">
        <v>11282.836499999999</v>
      </c>
      <c r="J151" s="10">
        <v>12.6637</v>
      </c>
      <c r="K151" s="9">
        <v>2420.0753</v>
      </c>
      <c r="L151" s="10">
        <v>9.4521999999999995</v>
      </c>
      <c r="M151" s="9">
        <v>1804.6721</v>
      </c>
      <c r="N151" s="10">
        <v>6.9848999999999997</v>
      </c>
      <c r="O151" s="9">
        <v>772.79899999999998</v>
      </c>
      <c r="P151" s="16">
        <v>11.299799999999999</v>
      </c>
    </row>
    <row r="152" spans="1:16" s="5" customFormat="1" ht="15.6" x14ac:dyDescent="0.3">
      <c r="A152" s="14">
        <v>151</v>
      </c>
      <c r="B152" s="6">
        <v>43281</v>
      </c>
      <c r="C152" s="9">
        <v>172356.6416</v>
      </c>
      <c r="D152" s="10">
        <v>11.2881</v>
      </c>
      <c r="E152" s="9">
        <v>150357.546</v>
      </c>
      <c r="F152" s="10">
        <v>11.9255</v>
      </c>
      <c r="G152" s="9">
        <v>136128.25890000002</v>
      </c>
      <c r="H152" s="10">
        <v>12.061921730951559</v>
      </c>
      <c r="I152" s="9">
        <v>11159.996999999999</v>
      </c>
      <c r="J152" s="10">
        <v>11.183299999999999</v>
      </c>
      <c r="K152" s="9">
        <v>1798.3814</v>
      </c>
      <c r="L152" s="10">
        <v>9.2272999999999996</v>
      </c>
      <c r="M152" s="9">
        <v>1270.9087</v>
      </c>
      <c r="N152" s="10">
        <v>7.6464999999999996</v>
      </c>
      <c r="O152" s="9">
        <v>575.35789999999997</v>
      </c>
      <c r="P152" s="16">
        <v>11.1861</v>
      </c>
    </row>
    <row r="153" spans="1:16" s="5" customFormat="1" ht="15.6" x14ac:dyDescent="0.3">
      <c r="A153" s="14">
        <v>152</v>
      </c>
      <c r="B153" s="6">
        <v>43312</v>
      </c>
      <c r="C153" s="9">
        <v>230583.86780000001</v>
      </c>
      <c r="D153" s="10">
        <v>11.583600000000001</v>
      </c>
      <c r="E153" s="9">
        <v>206124.2182</v>
      </c>
      <c r="F153" s="10">
        <v>12.1776</v>
      </c>
      <c r="G153" s="9">
        <v>188431.4736</v>
      </c>
      <c r="H153" s="10">
        <v>12.46941271927494</v>
      </c>
      <c r="I153" s="9">
        <v>10591.946900000001</v>
      </c>
      <c r="J153" s="10">
        <v>11.821899999999999</v>
      </c>
      <c r="K153" s="9">
        <v>2718.2069000000001</v>
      </c>
      <c r="L153" s="10">
        <v>8.4428000000000001</v>
      </c>
      <c r="M153" s="9">
        <v>4382.5906999999997</v>
      </c>
      <c r="N153" s="10">
        <v>2.8062</v>
      </c>
      <c r="O153" s="9">
        <v>453.91079999999999</v>
      </c>
      <c r="P153" s="16">
        <v>10.018599999999999</v>
      </c>
    </row>
    <row r="154" spans="1:16" s="5" customFormat="1" ht="15.6" x14ac:dyDescent="0.3">
      <c r="A154" s="14">
        <v>153</v>
      </c>
      <c r="B154" s="6">
        <v>43343</v>
      </c>
      <c r="C154" s="9">
        <v>241747.32079999999</v>
      </c>
      <c r="D154" s="10">
        <v>12.053800000000001</v>
      </c>
      <c r="E154" s="9">
        <v>215945.6931</v>
      </c>
      <c r="F154" s="10">
        <v>12.739000000000001</v>
      </c>
      <c r="G154" s="9">
        <v>199418.25569999998</v>
      </c>
      <c r="H154" s="10">
        <v>12.916903653161482</v>
      </c>
      <c r="I154" s="9">
        <v>12141.3015</v>
      </c>
      <c r="J154" s="10">
        <v>11.103899999999999</v>
      </c>
      <c r="K154" s="9">
        <v>3410.4567000000002</v>
      </c>
      <c r="L154" s="10">
        <v>9.2622</v>
      </c>
      <c r="M154" s="9">
        <v>975.67920000000004</v>
      </c>
      <c r="N154" s="10">
        <v>8.8803999999999998</v>
      </c>
      <c r="O154" s="9">
        <v>436.7774</v>
      </c>
      <c r="P154" s="16">
        <v>10.495200000000001</v>
      </c>
    </row>
    <row r="155" spans="1:16" s="5" customFormat="1" ht="15.6" x14ac:dyDescent="0.3">
      <c r="A155" s="14">
        <v>154</v>
      </c>
      <c r="B155" s="6">
        <v>43373</v>
      </c>
      <c r="C155" s="9">
        <v>221479.17540000001</v>
      </c>
      <c r="D155" s="10">
        <v>12.5067</v>
      </c>
      <c r="E155" s="9">
        <v>196390.16380000001</v>
      </c>
      <c r="F155" s="10">
        <v>13.288600000000001</v>
      </c>
      <c r="G155" s="9">
        <v>178246.8069</v>
      </c>
      <c r="H155" s="10">
        <v>13.487292786642172</v>
      </c>
      <c r="I155" s="9">
        <v>12145.0888</v>
      </c>
      <c r="J155" s="10">
        <v>12.757099999999999</v>
      </c>
      <c r="K155" s="9">
        <v>5041.7089999999998</v>
      </c>
      <c r="L155" s="10">
        <v>7.5982000000000003</v>
      </c>
      <c r="M155" s="9">
        <v>956.55920000000003</v>
      </c>
      <c r="N155" s="10">
        <v>13.003299999999999</v>
      </c>
      <c r="O155" s="9">
        <v>769.04759999999999</v>
      </c>
      <c r="P155" s="16">
        <v>7.8548999999999998</v>
      </c>
    </row>
    <row r="156" spans="1:16" s="5" customFormat="1" ht="15.6" x14ac:dyDescent="0.3">
      <c r="A156" s="14">
        <v>155</v>
      </c>
      <c r="B156" s="6">
        <v>43404</v>
      </c>
      <c r="C156" s="9">
        <v>240336.67670000001</v>
      </c>
      <c r="D156" s="10">
        <v>13.1393</v>
      </c>
      <c r="E156" s="9">
        <v>212928.61189999999</v>
      </c>
      <c r="F156" s="10">
        <v>13.9703</v>
      </c>
      <c r="G156" s="9">
        <v>192630.08050000001</v>
      </c>
      <c r="H156" s="10">
        <v>14.177186713640342</v>
      </c>
      <c r="I156" s="9">
        <v>13606.6765</v>
      </c>
      <c r="J156" s="10">
        <v>13.603999999999999</v>
      </c>
      <c r="K156" s="9">
        <v>5375.0875999999998</v>
      </c>
      <c r="L156" s="10">
        <v>8.0968</v>
      </c>
      <c r="M156" s="9">
        <v>1316.7674</v>
      </c>
      <c r="N156" s="10">
        <v>11.469099999999999</v>
      </c>
      <c r="O156" s="9">
        <v>700.45780000000002</v>
      </c>
      <c r="P156" s="16">
        <v>9.4479000000000006</v>
      </c>
    </row>
    <row r="157" spans="1:16" s="5" customFormat="1" ht="15.6" x14ac:dyDescent="0.3">
      <c r="A157" s="14">
        <v>156</v>
      </c>
      <c r="B157" s="6">
        <v>43434</v>
      </c>
      <c r="C157" s="9">
        <v>230144.5325</v>
      </c>
      <c r="D157" s="10">
        <v>13.771800000000001</v>
      </c>
      <c r="E157" s="9">
        <v>204318.4669</v>
      </c>
      <c r="F157" s="10">
        <v>14.513400000000001</v>
      </c>
      <c r="G157" s="9">
        <v>186998.67199999999</v>
      </c>
      <c r="H157" s="10">
        <v>14.82313712329508</v>
      </c>
      <c r="I157" s="9">
        <v>12036.1212</v>
      </c>
      <c r="J157" s="10">
        <v>12.173500000000001</v>
      </c>
      <c r="K157" s="9">
        <v>3550.6253000000002</v>
      </c>
      <c r="L157" s="10">
        <v>10.367800000000001</v>
      </c>
      <c r="M157" s="9">
        <v>1733.0485000000001</v>
      </c>
      <c r="N157" s="10">
        <v>5.8400999999999996</v>
      </c>
      <c r="O157" s="9">
        <v>225.29040000000001</v>
      </c>
      <c r="P157" s="16">
        <v>11.2821</v>
      </c>
    </row>
    <row r="158" spans="1:16" s="5" customFormat="1" ht="15.6" x14ac:dyDescent="0.3">
      <c r="A158" s="14">
        <v>157</v>
      </c>
      <c r="B158" s="6">
        <v>43465</v>
      </c>
      <c r="C158" s="9">
        <v>247744.69870000001</v>
      </c>
      <c r="D158" s="10">
        <v>13.8735</v>
      </c>
      <c r="E158" s="9">
        <v>218846.6005</v>
      </c>
      <c r="F158" s="10">
        <v>14.609500000000001</v>
      </c>
      <c r="G158" s="9">
        <v>197802.35080000001</v>
      </c>
      <c r="H158" s="10">
        <v>14.867302071374674</v>
      </c>
      <c r="I158" s="9">
        <v>14676.042100000001</v>
      </c>
      <c r="J158" s="10">
        <v>13.691800000000001</v>
      </c>
      <c r="K158" s="9">
        <v>3289.7793000000001</v>
      </c>
      <c r="L158" s="10">
        <v>9.1196000000000002</v>
      </c>
      <c r="M158" s="9">
        <v>3078.4283</v>
      </c>
      <c r="N158" s="10">
        <v>8.2871000000000006</v>
      </c>
      <c r="O158" s="9">
        <v>316.86900000000003</v>
      </c>
      <c r="P158" s="16">
        <v>12.268800000000001</v>
      </c>
    </row>
    <row r="159" spans="1:16" s="5" customFormat="1" ht="15.6" x14ac:dyDescent="0.3">
      <c r="A159" s="14">
        <v>158</v>
      </c>
      <c r="B159" s="6">
        <v>43496</v>
      </c>
      <c r="C159" s="9">
        <v>243316.94349999999</v>
      </c>
      <c r="D159" s="10">
        <v>12.947900000000001</v>
      </c>
      <c r="E159" s="9">
        <v>219237.2733</v>
      </c>
      <c r="F159" s="10">
        <v>13.4602</v>
      </c>
      <c r="G159" s="9">
        <v>200235.57390000002</v>
      </c>
      <c r="H159" s="10">
        <v>13.644974451131132</v>
      </c>
      <c r="I159" s="9">
        <v>15932.2359</v>
      </c>
      <c r="J159" s="10">
        <v>11.834300000000001</v>
      </c>
      <c r="K159" s="9">
        <v>2178.8236000000002</v>
      </c>
      <c r="L159" s="10">
        <v>10.7561</v>
      </c>
      <c r="M159" s="9">
        <v>890.64</v>
      </c>
      <c r="N159" s="10">
        <v>7.6238999999999999</v>
      </c>
      <c r="O159" s="9">
        <v>595.41139999999996</v>
      </c>
      <c r="P159" s="16">
        <v>11.301600000000001</v>
      </c>
    </row>
    <row r="160" spans="1:16" s="5" customFormat="1" ht="15.6" x14ac:dyDescent="0.3">
      <c r="A160" s="14">
        <v>159</v>
      </c>
      <c r="B160" s="6">
        <v>43524</v>
      </c>
      <c r="C160" s="9">
        <v>221983.8333</v>
      </c>
      <c r="D160" s="10">
        <v>13.077400000000001</v>
      </c>
      <c r="E160" s="9">
        <v>198964.21369999999</v>
      </c>
      <c r="F160" s="10">
        <v>13.656000000000001</v>
      </c>
      <c r="G160" s="9">
        <v>183899.33309999999</v>
      </c>
      <c r="H160" s="10">
        <v>13.802825718199085</v>
      </c>
      <c r="I160" s="9">
        <v>11100.5221</v>
      </c>
      <c r="J160" s="10">
        <v>12.0756</v>
      </c>
      <c r="K160" s="9">
        <v>2927.3778000000002</v>
      </c>
      <c r="L160" s="10">
        <v>11.566700000000001</v>
      </c>
      <c r="M160" s="9">
        <v>1036.9808</v>
      </c>
      <c r="N160" s="10">
        <v>10.4323</v>
      </c>
      <c r="O160" s="9">
        <v>377.38459999999998</v>
      </c>
      <c r="P160" s="16">
        <v>11.6326</v>
      </c>
    </row>
    <row r="161" spans="1:16" s="5" customFormat="1" ht="15.6" x14ac:dyDescent="0.3">
      <c r="A161" s="14">
        <v>160</v>
      </c>
      <c r="B161" s="6">
        <v>43555</v>
      </c>
      <c r="C161" s="9">
        <v>218340.1747</v>
      </c>
      <c r="D161" s="10">
        <v>13.1744</v>
      </c>
      <c r="E161" s="9">
        <v>193969.30859999999</v>
      </c>
      <c r="F161" s="10">
        <v>13.9056</v>
      </c>
      <c r="G161" s="9">
        <v>176853.32309999998</v>
      </c>
      <c r="H161" s="10">
        <v>14.052610087541805</v>
      </c>
      <c r="I161" s="9">
        <v>11481.009599999999</v>
      </c>
      <c r="J161" s="10">
        <v>12.6319</v>
      </c>
      <c r="K161" s="9">
        <v>2923.2411000000002</v>
      </c>
      <c r="L161" s="10">
        <v>13.188700000000001</v>
      </c>
      <c r="M161" s="9">
        <v>2711.7347</v>
      </c>
      <c r="N161" s="10">
        <v>10.483599999999999</v>
      </c>
      <c r="O161" s="9">
        <v>9997.5455999999995</v>
      </c>
      <c r="P161" s="16">
        <v>8.8468</v>
      </c>
    </row>
    <row r="162" spans="1:16" s="5" customFormat="1" ht="15.6" x14ac:dyDescent="0.3">
      <c r="A162" s="14">
        <v>161</v>
      </c>
      <c r="B162" s="6">
        <v>43585</v>
      </c>
      <c r="C162" s="9">
        <v>218891.5338</v>
      </c>
      <c r="D162" s="10">
        <v>12.405900000000001</v>
      </c>
      <c r="E162" s="9">
        <v>194180.5428</v>
      </c>
      <c r="F162" s="10">
        <v>13.0664</v>
      </c>
      <c r="G162" s="9">
        <v>171992.9063</v>
      </c>
      <c r="H162" s="10">
        <v>13.521038576073297</v>
      </c>
      <c r="I162" s="9">
        <v>15247.2327</v>
      </c>
      <c r="J162" s="10">
        <v>8.6295000000000002</v>
      </c>
      <c r="K162" s="9">
        <v>2921.4906000000001</v>
      </c>
      <c r="L162" s="10">
        <v>11.003299999999999</v>
      </c>
      <c r="M162" s="9">
        <v>4018.9131000000002</v>
      </c>
      <c r="N162" s="10">
        <v>11.9412</v>
      </c>
      <c r="O162" s="9">
        <v>10079.4601</v>
      </c>
      <c r="P162" s="16">
        <v>8.4373000000000005</v>
      </c>
    </row>
    <row r="163" spans="1:16" s="5" customFormat="1" ht="15.6" x14ac:dyDescent="0.3">
      <c r="A163" s="14">
        <v>162</v>
      </c>
      <c r="B163" s="6">
        <v>43616</v>
      </c>
      <c r="C163" s="9">
        <v>229711.9247</v>
      </c>
      <c r="D163" s="10">
        <v>12.6563</v>
      </c>
      <c r="E163" s="9">
        <v>203524.34580000001</v>
      </c>
      <c r="F163" s="10">
        <v>13.3302</v>
      </c>
      <c r="G163" s="9">
        <v>184799.40270000001</v>
      </c>
      <c r="H163" s="10">
        <v>13.511476490224174</v>
      </c>
      <c r="I163" s="9">
        <v>12070.391600000001</v>
      </c>
      <c r="J163" s="10">
        <v>12.504300000000001</v>
      </c>
      <c r="K163" s="9">
        <v>3740.4185000000002</v>
      </c>
      <c r="L163" s="10">
        <v>10.281599999999999</v>
      </c>
      <c r="M163" s="9">
        <v>2914.1329000000001</v>
      </c>
      <c r="N163" s="10">
        <v>9.1684000000000001</v>
      </c>
      <c r="O163" s="9">
        <v>10899.4144</v>
      </c>
      <c r="P163" s="16">
        <v>8.8572000000000006</v>
      </c>
    </row>
    <row r="164" spans="1:16" s="5" customFormat="1" ht="15.6" x14ac:dyDescent="0.3">
      <c r="A164" s="14">
        <v>163</v>
      </c>
      <c r="B164" s="6">
        <v>43646</v>
      </c>
      <c r="C164" s="9">
        <v>200249.81969999999</v>
      </c>
      <c r="D164" s="10">
        <v>12.8405</v>
      </c>
      <c r="E164" s="9">
        <v>179175.46109999999</v>
      </c>
      <c r="F164" s="10">
        <v>13.3964</v>
      </c>
      <c r="G164" s="9">
        <v>163595.92619999999</v>
      </c>
      <c r="H164" s="10">
        <v>13.576976964588134</v>
      </c>
      <c r="I164" s="9">
        <v>9277.6000999999997</v>
      </c>
      <c r="J164" s="10">
        <v>12.822699999999999</v>
      </c>
      <c r="K164" s="9">
        <v>2344.3312999999998</v>
      </c>
      <c r="L164" s="10">
        <v>12.0862</v>
      </c>
      <c r="M164" s="9">
        <v>3957.6035999999999</v>
      </c>
      <c r="N164" s="10">
        <v>8.0531000000000006</v>
      </c>
      <c r="O164" s="9">
        <v>8335.0892000000003</v>
      </c>
      <c r="P164" s="16">
        <v>10.911799999999999</v>
      </c>
    </row>
    <row r="165" spans="1:16" s="5" customFormat="1" ht="15.6" x14ac:dyDescent="0.3">
      <c r="A165" s="14">
        <v>164</v>
      </c>
      <c r="B165" s="6">
        <v>43677</v>
      </c>
      <c r="C165" s="9">
        <v>252461.66769999999</v>
      </c>
      <c r="D165" s="10">
        <v>12.528499999999999</v>
      </c>
      <c r="E165" s="9">
        <v>224591.62210000001</v>
      </c>
      <c r="F165" s="10">
        <v>13.039199999999999</v>
      </c>
      <c r="G165" s="9">
        <v>202899.5515</v>
      </c>
      <c r="H165" s="10">
        <v>13.291563497330156</v>
      </c>
      <c r="I165" s="9">
        <v>14487.129800000001</v>
      </c>
      <c r="J165" s="10">
        <v>10.458299999999999</v>
      </c>
      <c r="K165" s="9">
        <v>4059.0473999999999</v>
      </c>
      <c r="L165" s="10">
        <v>10.851900000000001</v>
      </c>
      <c r="M165" s="9">
        <v>3145.8933000000002</v>
      </c>
      <c r="N165" s="10">
        <v>11.4697</v>
      </c>
      <c r="O165" s="9">
        <v>10997.5286</v>
      </c>
      <c r="P165" s="16">
        <v>11.242100000000001</v>
      </c>
    </row>
    <row r="166" spans="1:16" s="5" customFormat="1" ht="15.6" x14ac:dyDescent="0.3">
      <c r="A166" s="14">
        <v>165</v>
      </c>
      <c r="B166" s="6">
        <v>43708</v>
      </c>
      <c r="C166" s="9">
        <v>205871.61199999999</v>
      </c>
      <c r="D166" s="10">
        <v>12.6373</v>
      </c>
      <c r="E166" s="9">
        <v>182205.35939999999</v>
      </c>
      <c r="F166" s="10">
        <v>13.244400000000001</v>
      </c>
      <c r="G166" s="9">
        <v>165229.43589999998</v>
      </c>
      <c r="H166" s="10">
        <v>13.440316669916927</v>
      </c>
      <c r="I166" s="9">
        <v>10211.9876</v>
      </c>
      <c r="J166" s="10">
        <v>11.7616</v>
      </c>
      <c r="K166" s="9">
        <v>3888.0234</v>
      </c>
      <c r="L166" s="10">
        <v>10.944699999999999</v>
      </c>
      <c r="M166" s="9">
        <v>2875.9124999999999</v>
      </c>
      <c r="N166" s="10">
        <v>10.3597</v>
      </c>
      <c r="O166" s="9">
        <v>9183.1406999999999</v>
      </c>
      <c r="P166" s="16">
        <v>10.5318</v>
      </c>
    </row>
    <row r="167" spans="1:16" s="5" customFormat="1" ht="15.6" x14ac:dyDescent="0.3">
      <c r="A167" s="14">
        <v>166</v>
      </c>
      <c r="B167" s="6">
        <v>43738</v>
      </c>
      <c r="C167" s="9">
        <v>210281.8371</v>
      </c>
      <c r="D167" s="10">
        <v>11.9374</v>
      </c>
      <c r="E167" s="9">
        <v>184745.90919999999</v>
      </c>
      <c r="F167" s="10">
        <v>12.380699999999999</v>
      </c>
      <c r="G167" s="9">
        <v>163678.88390000002</v>
      </c>
      <c r="H167" s="10">
        <v>12.566392431136379</v>
      </c>
      <c r="I167" s="9">
        <v>11262.3935</v>
      </c>
      <c r="J167" s="10">
        <v>10.896100000000001</v>
      </c>
      <c r="K167" s="9">
        <v>6480.6496999999999</v>
      </c>
      <c r="L167" s="10">
        <v>11.433199999999999</v>
      </c>
      <c r="M167" s="9">
        <v>3323.982</v>
      </c>
      <c r="N167" s="10">
        <v>10.114699999999999</v>
      </c>
      <c r="O167" s="9">
        <v>10876.871300000001</v>
      </c>
      <c r="P167" s="16">
        <v>11.4193</v>
      </c>
    </row>
    <row r="168" spans="1:16" s="5" customFormat="1" ht="15.6" x14ac:dyDescent="0.3">
      <c r="A168" s="14">
        <v>167</v>
      </c>
      <c r="B168" s="6">
        <v>43769</v>
      </c>
      <c r="C168" s="9">
        <v>217962.0238</v>
      </c>
      <c r="D168" s="10">
        <v>11.831</v>
      </c>
      <c r="E168" s="9">
        <v>191685.41279999999</v>
      </c>
      <c r="F168" s="10">
        <v>12.2263</v>
      </c>
      <c r="G168" s="9">
        <v>172285.42940000002</v>
      </c>
      <c r="H168" s="10">
        <v>12.340293082834142</v>
      </c>
      <c r="I168" s="9">
        <v>10543.010200000001</v>
      </c>
      <c r="J168" s="10">
        <v>12.5305</v>
      </c>
      <c r="K168" s="9">
        <v>4497.7795999999998</v>
      </c>
      <c r="L168" s="10">
        <v>9.0448000000000004</v>
      </c>
      <c r="M168" s="9">
        <v>4359.1935999999996</v>
      </c>
      <c r="N168" s="10">
        <v>10.2685</v>
      </c>
      <c r="O168" s="9">
        <v>11912.212</v>
      </c>
      <c r="P168" s="16">
        <v>11.7582</v>
      </c>
    </row>
    <row r="169" spans="1:16" s="5" customFormat="1" ht="15.6" x14ac:dyDescent="0.3">
      <c r="A169" s="14">
        <v>168</v>
      </c>
      <c r="B169" s="6">
        <v>43799</v>
      </c>
      <c r="C169" s="9">
        <v>193181.19820000001</v>
      </c>
      <c r="D169" s="10">
        <v>10.775600000000001</v>
      </c>
      <c r="E169" s="9">
        <v>155865.48699999999</v>
      </c>
      <c r="F169" s="10">
        <v>11.4305</v>
      </c>
      <c r="G169" s="9">
        <v>136889.8248</v>
      </c>
      <c r="H169" s="10">
        <v>11.512081887537487</v>
      </c>
      <c r="I169" s="9">
        <v>11519.638300000001</v>
      </c>
      <c r="J169" s="10">
        <v>11.305899999999999</v>
      </c>
      <c r="K169" s="9">
        <v>3314.4232999999999</v>
      </c>
      <c r="L169" s="10">
        <v>10.547800000000001</v>
      </c>
      <c r="M169" s="9">
        <v>4141.6005999999998</v>
      </c>
      <c r="N169" s="10">
        <v>9.7868999999999993</v>
      </c>
      <c r="O169" s="9">
        <v>11643.544</v>
      </c>
      <c r="P169" s="16">
        <v>11.4977</v>
      </c>
    </row>
    <row r="170" spans="1:16" s="5" customFormat="1" ht="15.6" x14ac:dyDescent="0.3">
      <c r="A170" s="14">
        <v>169</v>
      </c>
      <c r="B170" s="6">
        <v>43830</v>
      </c>
      <c r="C170" s="9">
        <v>236965.7219</v>
      </c>
      <c r="D170" s="10">
        <v>10.0221</v>
      </c>
      <c r="E170" s="9">
        <v>192552.60490000001</v>
      </c>
      <c r="F170" s="10">
        <v>10.42</v>
      </c>
      <c r="G170" s="9">
        <v>170843.34700000001</v>
      </c>
      <c r="H170" s="10">
        <v>10.32547235433341</v>
      </c>
      <c r="I170" s="9">
        <v>10998.5278</v>
      </c>
      <c r="J170" s="10">
        <v>11.842499999999999</v>
      </c>
      <c r="K170" s="9">
        <v>4004.4778000000001</v>
      </c>
      <c r="L170" s="10">
        <v>11.7844</v>
      </c>
      <c r="M170" s="9">
        <v>6706.2521999999999</v>
      </c>
      <c r="N170" s="10">
        <v>9.6798000000000002</v>
      </c>
      <c r="O170" s="9">
        <v>12543.8537</v>
      </c>
      <c r="P170" s="16">
        <v>11.1074</v>
      </c>
    </row>
    <row r="171" spans="1:16" s="5" customFormat="1" ht="15.6" x14ac:dyDescent="0.3">
      <c r="A171" s="14">
        <v>170</v>
      </c>
      <c r="B171" s="6">
        <v>43861</v>
      </c>
      <c r="C171" s="9">
        <v>243069.4431</v>
      </c>
      <c r="D171" s="10">
        <v>8.1940000000000008</v>
      </c>
      <c r="E171" s="9">
        <v>199259.62590000001</v>
      </c>
      <c r="F171" s="10">
        <v>8.2702000000000009</v>
      </c>
      <c r="G171" s="9">
        <v>176691.68859999999</v>
      </c>
      <c r="H171" s="10">
        <v>8.0358856527835556</v>
      </c>
      <c r="I171" s="9">
        <v>12113.731599999999</v>
      </c>
      <c r="J171" s="10">
        <v>10.706099999999999</v>
      </c>
      <c r="K171" s="9">
        <v>5844.5437000000002</v>
      </c>
      <c r="L171" s="10">
        <v>9.5481999999999996</v>
      </c>
      <c r="M171" s="9">
        <v>4609.6620000000003</v>
      </c>
      <c r="N171" s="10">
        <v>9.2302</v>
      </c>
      <c r="O171" s="9">
        <v>13194.950999999999</v>
      </c>
      <c r="P171" s="16">
        <v>10.457100000000001</v>
      </c>
    </row>
    <row r="172" spans="1:16" s="5" customFormat="1" ht="15.6" x14ac:dyDescent="0.3">
      <c r="A172" s="14">
        <v>171</v>
      </c>
      <c r="B172" s="6">
        <v>43890</v>
      </c>
      <c r="C172" s="9">
        <v>221967.8315</v>
      </c>
      <c r="D172" s="10">
        <v>5.9196</v>
      </c>
      <c r="E172" s="9">
        <v>182211.43909999999</v>
      </c>
      <c r="F172" s="10">
        <v>5.7496999999999998</v>
      </c>
      <c r="G172" s="9">
        <v>162122.64789999998</v>
      </c>
      <c r="H172" s="10">
        <v>5.4488392506791152</v>
      </c>
      <c r="I172" s="9">
        <v>9199.8330000000005</v>
      </c>
      <c r="J172" s="10">
        <v>8.5272000000000006</v>
      </c>
      <c r="K172" s="9">
        <v>3805.4724000000001</v>
      </c>
      <c r="L172" s="10">
        <v>8.1888000000000005</v>
      </c>
      <c r="M172" s="9">
        <v>7083.4858000000004</v>
      </c>
      <c r="N172" s="10">
        <v>7.7191000000000001</v>
      </c>
      <c r="O172" s="9">
        <v>12812.0062</v>
      </c>
      <c r="P172" s="16">
        <v>8.5266000000000002</v>
      </c>
    </row>
    <row r="173" spans="1:16" s="5" customFormat="1" ht="15.6" x14ac:dyDescent="0.3">
      <c r="A173" s="14">
        <v>172</v>
      </c>
      <c r="B173" s="6">
        <v>43921</v>
      </c>
      <c r="C173" s="9">
        <v>227753.5644</v>
      </c>
      <c r="D173" s="10">
        <v>6.8148999999999997</v>
      </c>
      <c r="E173" s="9">
        <v>187423.0172</v>
      </c>
      <c r="F173" s="10">
        <v>6.9516</v>
      </c>
      <c r="G173" s="9">
        <v>163263.97159999999</v>
      </c>
      <c r="H173" s="10">
        <v>6.7826564956209241</v>
      </c>
      <c r="I173" s="9">
        <v>9960.7724999999991</v>
      </c>
      <c r="J173" s="10">
        <v>8.4025999999999996</v>
      </c>
      <c r="K173" s="9">
        <v>7234.9270999999999</v>
      </c>
      <c r="L173" s="10">
        <v>8.8325999999999993</v>
      </c>
      <c r="M173" s="9">
        <v>6963.3460999999998</v>
      </c>
      <c r="N173" s="10">
        <v>6.8815999999999997</v>
      </c>
      <c r="O173" s="9">
        <v>13740.937599999999</v>
      </c>
      <c r="P173" s="16">
        <v>8.0478000000000005</v>
      </c>
    </row>
    <row r="174" spans="1:16" s="5" customFormat="1" ht="15.6" x14ac:dyDescent="0.3">
      <c r="A174" s="14">
        <v>173</v>
      </c>
      <c r="B174" s="6">
        <v>43951</v>
      </c>
      <c r="C174" s="9">
        <v>206340.948</v>
      </c>
      <c r="D174" s="10">
        <v>7.0167000000000002</v>
      </c>
      <c r="E174" s="9">
        <v>170604.9645</v>
      </c>
      <c r="F174" s="10">
        <v>7.1685999999999996</v>
      </c>
      <c r="G174" s="9">
        <v>151495.64860000001</v>
      </c>
      <c r="H174" s="10">
        <v>6.9043330221843746</v>
      </c>
      <c r="I174" s="9">
        <v>11706.071099999999</v>
      </c>
      <c r="J174" s="10">
        <v>10.0137</v>
      </c>
      <c r="K174" s="9">
        <v>2836.0327000000002</v>
      </c>
      <c r="L174" s="10">
        <v>8.5486000000000004</v>
      </c>
      <c r="M174" s="9">
        <v>4567.2120999999997</v>
      </c>
      <c r="N174" s="10">
        <v>7.7874999999999996</v>
      </c>
      <c r="O174" s="9">
        <v>11932.136200000001</v>
      </c>
      <c r="P174" s="16">
        <v>8.4220000000000006</v>
      </c>
    </row>
    <row r="175" spans="1:16" s="5" customFormat="1" ht="15.6" x14ac:dyDescent="0.3">
      <c r="A175" s="14">
        <v>174</v>
      </c>
      <c r="B175" s="6">
        <v>43982</v>
      </c>
      <c r="C175" s="9">
        <v>190096.72409999999</v>
      </c>
      <c r="D175" s="10">
        <v>6.0315000000000003</v>
      </c>
      <c r="E175" s="9">
        <v>155516.4663</v>
      </c>
      <c r="F175" s="10">
        <v>6.0027999999999997</v>
      </c>
      <c r="G175" s="9">
        <v>127707.92060000001</v>
      </c>
      <c r="H175" s="10">
        <v>5.3964916392895992</v>
      </c>
      <c r="I175" s="9">
        <v>13598.4552</v>
      </c>
      <c r="J175" s="10">
        <v>8.1378000000000004</v>
      </c>
      <c r="K175" s="9">
        <v>4112.2411000000002</v>
      </c>
      <c r="L175" s="10">
        <v>8.1105999999999998</v>
      </c>
      <c r="M175" s="9">
        <v>10097.849399999999</v>
      </c>
      <c r="N175" s="10">
        <v>9.9362999999999992</v>
      </c>
      <c r="O175" s="9">
        <v>12421.029699999999</v>
      </c>
      <c r="P175" s="16">
        <v>7.9927999999999999</v>
      </c>
    </row>
    <row r="176" spans="1:16" s="5" customFormat="1" ht="15.6" x14ac:dyDescent="0.3">
      <c r="A176" s="14">
        <v>175</v>
      </c>
      <c r="B176" s="6">
        <v>44012</v>
      </c>
      <c r="C176" s="9">
        <v>214569.99780000001</v>
      </c>
      <c r="D176" s="10">
        <v>5.1371000000000002</v>
      </c>
      <c r="E176" s="9">
        <v>175925.64840000001</v>
      </c>
      <c r="F176" s="10">
        <v>5.0762999999999998</v>
      </c>
      <c r="G176" s="9">
        <v>147915.77669999999</v>
      </c>
      <c r="H176" s="10">
        <v>4.4789398416422603</v>
      </c>
      <c r="I176" s="9">
        <v>14405.211300000001</v>
      </c>
      <c r="J176" s="10">
        <v>7.9608999999999996</v>
      </c>
      <c r="K176" s="9">
        <v>4928.1415999999999</v>
      </c>
      <c r="L176" s="10">
        <v>7.6383999999999999</v>
      </c>
      <c r="M176" s="9">
        <v>8676.5187999999998</v>
      </c>
      <c r="N176" s="10">
        <v>9.0154999999999994</v>
      </c>
      <c r="O176" s="9">
        <v>14039.556699999999</v>
      </c>
      <c r="P176" s="16">
        <v>6.6974</v>
      </c>
    </row>
    <row r="177" spans="1:16" s="5" customFormat="1" ht="15.6" x14ac:dyDescent="0.3">
      <c r="A177" s="14">
        <v>176</v>
      </c>
      <c r="B177" s="6">
        <v>44043</v>
      </c>
      <c r="C177" s="9">
        <v>256312.64540000001</v>
      </c>
      <c r="D177" s="10">
        <v>4.3017000000000003</v>
      </c>
      <c r="E177" s="9">
        <v>209337.70319999999</v>
      </c>
      <c r="F177" s="10">
        <v>4.2511999999999999</v>
      </c>
      <c r="G177" s="9">
        <v>176783.24599999998</v>
      </c>
      <c r="H177" s="10">
        <v>3.6207986231821994</v>
      </c>
      <c r="I177" s="9">
        <v>14056.38</v>
      </c>
      <c r="J177" s="10">
        <v>6.8578999999999999</v>
      </c>
      <c r="K177" s="9">
        <v>9971.7541000000001</v>
      </c>
      <c r="L177" s="10">
        <v>8.0831</v>
      </c>
      <c r="M177" s="9">
        <v>8526.3232000000007</v>
      </c>
      <c r="N177" s="10">
        <v>8.5432000000000006</v>
      </c>
      <c r="O177" s="9">
        <v>15637.2763</v>
      </c>
      <c r="P177" s="16">
        <v>5.4695999999999998</v>
      </c>
    </row>
    <row r="178" spans="1:16" s="5" customFormat="1" ht="15.6" x14ac:dyDescent="0.3">
      <c r="A178" s="14">
        <v>177</v>
      </c>
      <c r="B178" s="6">
        <v>44074</v>
      </c>
      <c r="C178" s="9">
        <v>209195.0766</v>
      </c>
      <c r="D178" s="10">
        <v>3.8477999999999999</v>
      </c>
      <c r="E178" s="9">
        <v>168266.40909999999</v>
      </c>
      <c r="F178" s="10">
        <v>3.8397000000000001</v>
      </c>
      <c r="G178" s="9">
        <v>145482.117</v>
      </c>
      <c r="H178" s="10">
        <v>3.4131135686171654</v>
      </c>
      <c r="I178" s="9">
        <v>12131.877699999999</v>
      </c>
      <c r="J178" s="10">
        <v>6.1298000000000004</v>
      </c>
      <c r="K178" s="9">
        <v>3377.8054000000002</v>
      </c>
      <c r="L178" s="10">
        <v>6.7163000000000004</v>
      </c>
      <c r="M178" s="9">
        <v>7274.6089000000002</v>
      </c>
      <c r="N178" s="10">
        <v>7.2157</v>
      </c>
      <c r="O178" s="9">
        <v>13757.829</v>
      </c>
      <c r="P178" s="16">
        <v>4.8604000000000003</v>
      </c>
    </row>
    <row r="179" spans="1:16" s="5" customFormat="1" ht="15.6" x14ac:dyDescent="0.3">
      <c r="A179" s="14">
        <v>178</v>
      </c>
      <c r="B179" s="6">
        <v>44104</v>
      </c>
      <c r="C179" s="9">
        <v>230066.71040000001</v>
      </c>
      <c r="D179" s="10">
        <v>3.726</v>
      </c>
      <c r="E179" s="9">
        <v>187247.6654</v>
      </c>
      <c r="F179" s="10">
        <v>3.7446000000000002</v>
      </c>
      <c r="G179" s="9">
        <v>160418.9748</v>
      </c>
      <c r="H179" s="10">
        <v>3.3826585947332704</v>
      </c>
      <c r="I179" s="9">
        <v>13885.9743</v>
      </c>
      <c r="J179" s="10">
        <v>6.3484999999999996</v>
      </c>
      <c r="K179" s="9">
        <v>7903.7538000000004</v>
      </c>
      <c r="L179" s="10">
        <v>5.8471000000000002</v>
      </c>
      <c r="M179" s="9">
        <v>5038.9624999999996</v>
      </c>
      <c r="N179" s="10">
        <v>4.7922000000000002</v>
      </c>
      <c r="O179" s="9">
        <v>14518.606299999999</v>
      </c>
      <c r="P179" s="16">
        <v>4.5148000000000001</v>
      </c>
    </row>
    <row r="180" spans="1:16" s="5" customFormat="1" ht="15.6" x14ac:dyDescent="0.3">
      <c r="A180" s="14">
        <v>179</v>
      </c>
      <c r="B180" s="6">
        <v>44135</v>
      </c>
      <c r="C180" s="9">
        <v>216364.29199999999</v>
      </c>
      <c r="D180" s="10">
        <v>3.6652</v>
      </c>
      <c r="E180" s="9">
        <v>172093.03700000001</v>
      </c>
      <c r="F180" s="10">
        <v>3.7582</v>
      </c>
      <c r="G180" s="9">
        <v>143984.82079999999</v>
      </c>
      <c r="H180" s="10">
        <v>3.3931026083458513</v>
      </c>
      <c r="I180" s="9">
        <v>13459.6608</v>
      </c>
      <c r="J180" s="10">
        <v>5.9608999999999996</v>
      </c>
      <c r="K180" s="9">
        <v>7804.9391999999998</v>
      </c>
      <c r="L180" s="10">
        <v>6.3970000000000002</v>
      </c>
      <c r="M180" s="9">
        <v>6843.6162000000004</v>
      </c>
      <c r="N180" s="10">
        <v>4.0978000000000003</v>
      </c>
      <c r="O180" s="9">
        <v>15499.868200000001</v>
      </c>
      <c r="P180" s="16">
        <v>4.5156000000000001</v>
      </c>
    </row>
    <row r="181" spans="1:16" s="5" customFormat="1" ht="15.6" x14ac:dyDescent="0.3">
      <c r="A181" s="14">
        <v>180</v>
      </c>
      <c r="B181" s="6">
        <v>44165</v>
      </c>
      <c r="C181" s="9">
        <v>203130.62330000001</v>
      </c>
      <c r="D181" s="10">
        <v>3.6294</v>
      </c>
      <c r="E181" s="9">
        <v>156484.4988</v>
      </c>
      <c r="F181" s="10">
        <v>3.7774999999999999</v>
      </c>
      <c r="G181" s="9">
        <v>130736.40330000001</v>
      </c>
      <c r="H181" s="10">
        <v>3.4209815063065143</v>
      </c>
      <c r="I181" s="9">
        <v>11396.3902</v>
      </c>
      <c r="J181" s="10">
        <v>5.3459000000000003</v>
      </c>
      <c r="K181" s="9">
        <v>7421.0393000000004</v>
      </c>
      <c r="L181" s="10">
        <v>5.3582000000000001</v>
      </c>
      <c r="M181" s="9">
        <v>6930.6660000000002</v>
      </c>
      <c r="N181" s="10">
        <v>6.2321</v>
      </c>
      <c r="O181" s="9">
        <v>17155.265100000001</v>
      </c>
      <c r="P181" s="16">
        <v>4.3224</v>
      </c>
    </row>
    <row r="182" spans="1:16" s="5" customFormat="1" ht="15.6" x14ac:dyDescent="0.3">
      <c r="A182" s="14">
        <v>181</v>
      </c>
      <c r="B182" s="6">
        <v>44196</v>
      </c>
      <c r="C182" s="9">
        <v>250650.52119999999</v>
      </c>
      <c r="D182" s="10">
        <v>3.6208</v>
      </c>
      <c r="E182" s="9">
        <v>191689.2083</v>
      </c>
      <c r="F182" s="10">
        <v>3.7706</v>
      </c>
      <c r="G182" s="9">
        <v>163547.4933</v>
      </c>
      <c r="H182" s="10">
        <v>3.5696004759116655</v>
      </c>
      <c r="I182" s="9">
        <v>16629.500899999999</v>
      </c>
      <c r="J182" s="10">
        <v>5.0113000000000003</v>
      </c>
      <c r="K182" s="9">
        <v>5532.6662999999999</v>
      </c>
      <c r="L182" s="10">
        <v>5.7577999999999996</v>
      </c>
      <c r="M182" s="9">
        <v>5979.5478999999996</v>
      </c>
      <c r="N182" s="10">
        <v>3.9802</v>
      </c>
      <c r="O182" s="9">
        <v>22881.8194</v>
      </c>
      <c r="P182" s="16">
        <v>4.5303000000000004</v>
      </c>
    </row>
    <row r="183" spans="1:16" s="5" customFormat="1" ht="15.6" x14ac:dyDescent="0.3">
      <c r="A183" s="14">
        <v>182</v>
      </c>
      <c r="B183" s="6">
        <v>44227</v>
      </c>
      <c r="C183" s="9">
        <v>217424.38329999999</v>
      </c>
      <c r="D183" s="10">
        <v>3.6623999999999999</v>
      </c>
      <c r="E183" s="9">
        <v>174584.7732</v>
      </c>
      <c r="F183" s="10">
        <v>3.8561999999999999</v>
      </c>
      <c r="G183" s="9">
        <v>152739.35759999999</v>
      </c>
      <c r="H183" s="10">
        <v>3.6159132938089562</v>
      </c>
      <c r="I183" s="9">
        <v>10512.538500000001</v>
      </c>
      <c r="J183" s="10">
        <v>5.2237</v>
      </c>
      <c r="K183" s="9">
        <v>9220.6276999999991</v>
      </c>
      <c r="L183" s="10">
        <v>5.9330999999999996</v>
      </c>
      <c r="M183" s="9">
        <v>2112.2492999999999</v>
      </c>
      <c r="N183" s="10">
        <v>5.3563999999999998</v>
      </c>
      <c r="O183" s="9">
        <v>15955.8833</v>
      </c>
      <c r="P183" s="16">
        <v>3.6976</v>
      </c>
    </row>
    <row r="184" spans="1:16" s="5" customFormat="1" ht="15.6" x14ac:dyDescent="0.3">
      <c r="A184" s="14">
        <v>183</v>
      </c>
      <c r="B184" s="6">
        <v>44255</v>
      </c>
      <c r="C184" s="9">
        <v>212879.87710000001</v>
      </c>
      <c r="D184" s="10">
        <v>3.6189</v>
      </c>
      <c r="E184" s="9">
        <v>169859.79079999999</v>
      </c>
      <c r="F184" s="10">
        <v>3.8294999999999999</v>
      </c>
      <c r="G184" s="9">
        <v>146983.4369</v>
      </c>
      <c r="H184" s="10">
        <v>3.5549065046246038</v>
      </c>
      <c r="I184" s="9">
        <v>11531.4753</v>
      </c>
      <c r="J184" s="10">
        <v>5.4752999999999998</v>
      </c>
      <c r="K184" s="9">
        <v>7728.5131000000001</v>
      </c>
      <c r="L184" s="10">
        <v>5.8661000000000003</v>
      </c>
      <c r="M184" s="9">
        <v>3616.3654000000001</v>
      </c>
      <c r="N184" s="10">
        <v>5.3891</v>
      </c>
      <c r="O184" s="9">
        <v>17758.997599999999</v>
      </c>
      <c r="P184" s="16">
        <v>3.8687999999999998</v>
      </c>
    </row>
    <row r="185" spans="1:16" s="5" customFormat="1" ht="15.6" x14ac:dyDescent="0.3">
      <c r="A185" s="14">
        <v>184</v>
      </c>
      <c r="B185" s="6">
        <v>44286</v>
      </c>
      <c r="C185" s="9">
        <v>216197.14129999999</v>
      </c>
      <c r="D185" s="10">
        <v>3.6440999999999999</v>
      </c>
      <c r="E185" s="9">
        <v>167521.13380000001</v>
      </c>
      <c r="F185" s="10">
        <v>3.887</v>
      </c>
      <c r="G185" s="9">
        <v>141652.1428</v>
      </c>
      <c r="H185" s="10">
        <v>3.6858330280861797</v>
      </c>
      <c r="I185" s="9">
        <v>15900.5815</v>
      </c>
      <c r="J185" s="10">
        <v>5.1173000000000002</v>
      </c>
      <c r="K185" s="9">
        <v>6261.4196000000002</v>
      </c>
      <c r="L185" s="10">
        <v>4.3597999999999999</v>
      </c>
      <c r="M185" s="9">
        <v>3706.9899</v>
      </c>
      <c r="N185" s="10">
        <v>5.4977</v>
      </c>
      <c r="O185" s="9">
        <v>20643.141500000002</v>
      </c>
      <c r="P185" s="16">
        <v>3.7395</v>
      </c>
    </row>
    <row r="186" spans="1:16" s="5" customFormat="1" ht="15.6" x14ac:dyDescent="0.3">
      <c r="A186" s="14">
        <v>185</v>
      </c>
      <c r="B186" s="6">
        <v>44316</v>
      </c>
      <c r="C186" s="9">
        <v>233027.62349999999</v>
      </c>
      <c r="D186" s="10">
        <v>3.7595000000000001</v>
      </c>
      <c r="E186" s="9">
        <v>188676.53649999999</v>
      </c>
      <c r="F186" s="10">
        <v>4.0065</v>
      </c>
      <c r="G186" s="9">
        <v>161213.59080000001</v>
      </c>
      <c r="H186" s="10">
        <v>3.8168818854568922</v>
      </c>
      <c r="I186" s="9">
        <v>18930.232899999999</v>
      </c>
      <c r="J186" s="10">
        <v>5.0400999999999998</v>
      </c>
      <c r="K186" s="9">
        <v>5246.3428000000004</v>
      </c>
      <c r="L186" s="10">
        <v>5.3079999999999998</v>
      </c>
      <c r="M186" s="9">
        <v>3286.37</v>
      </c>
      <c r="N186" s="10">
        <v>5.2767999999999997</v>
      </c>
      <c r="O186" s="9">
        <v>17502.468700000001</v>
      </c>
      <c r="P186" s="16">
        <v>3.6400999999999999</v>
      </c>
    </row>
    <row r="187" spans="1:16" s="5" customFormat="1" ht="15.6" x14ac:dyDescent="0.3">
      <c r="A187" s="14">
        <v>186</v>
      </c>
      <c r="B187" s="6">
        <v>44347</v>
      </c>
      <c r="C187" s="9">
        <v>208752.9369</v>
      </c>
      <c r="D187" s="10">
        <v>3.8254000000000001</v>
      </c>
      <c r="E187" s="9">
        <v>166901.03090000001</v>
      </c>
      <c r="F187" s="10">
        <v>4.0536000000000003</v>
      </c>
      <c r="G187" s="9">
        <v>146643.48550000001</v>
      </c>
      <c r="H187" s="10">
        <v>3.9491818055961314</v>
      </c>
      <c r="I187" s="9">
        <v>12814.9791</v>
      </c>
      <c r="J187" s="10">
        <v>4.7434000000000003</v>
      </c>
      <c r="K187" s="9">
        <v>4313.3653000000004</v>
      </c>
      <c r="L187" s="10">
        <v>4.0594000000000001</v>
      </c>
      <c r="M187" s="9">
        <v>3129.2011000000002</v>
      </c>
      <c r="N187" s="10">
        <v>6.1112000000000002</v>
      </c>
      <c r="O187" s="9">
        <v>17345.745200000001</v>
      </c>
      <c r="P187" s="16">
        <v>3.7660999999999998</v>
      </c>
    </row>
    <row r="188" spans="1:16" s="5" customFormat="1" ht="15.6" x14ac:dyDescent="0.3">
      <c r="A188" s="14">
        <v>187</v>
      </c>
      <c r="B188" s="6">
        <v>44377</v>
      </c>
      <c r="C188" s="9">
        <v>216470.9374</v>
      </c>
      <c r="D188" s="10">
        <v>3.8062</v>
      </c>
      <c r="E188" s="9">
        <v>173691.4241</v>
      </c>
      <c r="F188" s="10">
        <v>4.0316999999999998</v>
      </c>
      <c r="G188" s="9">
        <v>153022.8266</v>
      </c>
      <c r="H188" s="10">
        <v>3.8422097982551584</v>
      </c>
      <c r="I188" s="9">
        <v>10809.2801</v>
      </c>
      <c r="J188" s="10">
        <v>5.8630000000000004</v>
      </c>
      <c r="K188" s="9">
        <v>6897.9651000000003</v>
      </c>
      <c r="L188" s="10">
        <v>4.9313000000000002</v>
      </c>
      <c r="M188" s="9">
        <v>2961.3523</v>
      </c>
      <c r="N188" s="10">
        <v>5.0419999999999998</v>
      </c>
      <c r="O188" s="9">
        <v>16080.3891</v>
      </c>
      <c r="P188" s="16">
        <v>3.9001999999999999</v>
      </c>
    </row>
    <row r="189" spans="1:16" s="5" customFormat="1" ht="15.6" x14ac:dyDescent="0.3">
      <c r="A189" s="14">
        <v>188</v>
      </c>
      <c r="B189" s="6">
        <v>44408</v>
      </c>
      <c r="C189" s="9">
        <v>238780.9884</v>
      </c>
      <c r="D189" s="10">
        <v>3.9504999999999999</v>
      </c>
      <c r="E189" s="9">
        <v>194687.1778</v>
      </c>
      <c r="F189" s="10">
        <v>4.2247000000000003</v>
      </c>
      <c r="G189" s="9">
        <v>172340.08970000001</v>
      </c>
      <c r="H189" s="10">
        <v>4.1077440137032717</v>
      </c>
      <c r="I189" s="9">
        <v>14429.149600000001</v>
      </c>
      <c r="J189" s="10">
        <v>5.2035999999999998</v>
      </c>
      <c r="K189" s="9">
        <v>4931.9057000000003</v>
      </c>
      <c r="L189" s="10">
        <v>4.7220000000000004</v>
      </c>
      <c r="M189" s="9">
        <v>2986.0329000000002</v>
      </c>
      <c r="N189" s="10">
        <v>5.4276</v>
      </c>
      <c r="O189" s="9">
        <v>18025.088500000002</v>
      </c>
      <c r="P189" s="16">
        <v>3.8062</v>
      </c>
    </row>
    <row r="190" spans="1:16" s="5" customFormat="1" ht="15.6" x14ac:dyDescent="0.3">
      <c r="A190" s="14">
        <v>189</v>
      </c>
      <c r="B190" s="6">
        <v>44439</v>
      </c>
      <c r="C190" s="9">
        <v>232626.76939999999</v>
      </c>
      <c r="D190" s="10">
        <v>4.4138999999999999</v>
      </c>
      <c r="E190" s="9">
        <v>185586.47169999999</v>
      </c>
      <c r="F190" s="10">
        <v>4.8312999999999997</v>
      </c>
      <c r="G190" s="9">
        <v>156444.20509999999</v>
      </c>
      <c r="H190" s="10">
        <v>4.6744962858710579</v>
      </c>
      <c r="I190" s="9">
        <v>12191.369699999999</v>
      </c>
      <c r="J190" s="10">
        <v>6.0697999999999999</v>
      </c>
      <c r="K190" s="9">
        <v>14311.0237</v>
      </c>
      <c r="L190" s="10">
        <v>5.4352</v>
      </c>
      <c r="M190" s="9">
        <v>2639.8733000000002</v>
      </c>
      <c r="N190" s="10">
        <v>5.1292999999999997</v>
      </c>
      <c r="O190" s="9">
        <v>18540.740699999998</v>
      </c>
      <c r="P190" s="16">
        <v>3.6141999999999999</v>
      </c>
    </row>
    <row r="191" spans="1:16" s="5" customFormat="1" ht="15.6" x14ac:dyDescent="0.3">
      <c r="A191" s="14">
        <v>190</v>
      </c>
      <c r="B191" s="6">
        <v>44469</v>
      </c>
      <c r="C191" s="9">
        <v>236070.416</v>
      </c>
      <c r="D191" s="10">
        <v>4.5819999999999999</v>
      </c>
      <c r="E191" s="9">
        <v>190032.2653</v>
      </c>
      <c r="F191" s="10">
        <v>5.0423999999999998</v>
      </c>
      <c r="G191" s="9">
        <v>169530.35769999999</v>
      </c>
      <c r="H191" s="10">
        <v>5.0247167320110604</v>
      </c>
      <c r="I191" s="9">
        <v>12203.1844</v>
      </c>
      <c r="J191" s="10">
        <v>5.1191000000000004</v>
      </c>
      <c r="K191" s="9">
        <v>3866.7307999999998</v>
      </c>
      <c r="L191" s="10">
        <v>4.9516</v>
      </c>
      <c r="M191" s="9">
        <v>4431.9922999999999</v>
      </c>
      <c r="N191" s="10">
        <v>5.5856000000000003</v>
      </c>
      <c r="O191" s="9">
        <v>18157.866900000001</v>
      </c>
      <c r="P191" s="16">
        <v>3.5897999999999999</v>
      </c>
    </row>
    <row r="192" spans="1:16" s="5" customFormat="1" ht="15.6" x14ac:dyDescent="0.3">
      <c r="A192" s="14">
        <v>191</v>
      </c>
      <c r="B192" s="6">
        <v>44500</v>
      </c>
      <c r="C192" s="9">
        <v>222306.89749999999</v>
      </c>
      <c r="D192" s="10">
        <v>4.6452</v>
      </c>
      <c r="E192" s="9">
        <v>177677.72500000001</v>
      </c>
      <c r="F192" s="10">
        <v>5.0858999999999996</v>
      </c>
      <c r="G192" s="9">
        <v>160757.76189999998</v>
      </c>
      <c r="H192" s="10">
        <v>5.0683287404987194</v>
      </c>
      <c r="I192" s="9">
        <v>9138.1463000000003</v>
      </c>
      <c r="J192" s="10">
        <v>5.9</v>
      </c>
      <c r="K192" s="9">
        <v>3974.4292</v>
      </c>
      <c r="L192" s="10">
        <v>5.6792999999999996</v>
      </c>
      <c r="M192" s="9">
        <v>3807.3876</v>
      </c>
      <c r="N192" s="10">
        <v>3.2530000000000001</v>
      </c>
      <c r="O192" s="9">
        <v>19414.070800000001</v>
      </c>
      <c r="P192" s="16">
        <v>3.9169999999999998</v>
      </c>
    </row>
    <row r="193" spans="1:16" s="5" customFormat="1" ht="15.6" x14ac:dyDescent="0.3">
      <c r="A193" s="14">
        <v>192</v>
      </c>
      <c r="B193" s="6">
        <v>44530</v>
      </c>
      <c r="C193" s="9">
        <v>259078.74960000001</v>
      </c>
      <c r="D193" s="10">
        <v>4.7561999999999998</v>
      </c>
      <c r="E193" s="9">
        <v>211371.5007</v>
      </c>
      <c r="F193" s="10">
        <v>5.1677</v>
      </c>
      <c r="G193" s="9">
        <v>191888.20050000001</v>
      </c>
      <c r="H193" s="10">
        <v>5.0747154067712987</v>
      </c>
      <c r="I193" s="9">
        <v>12954.170899999999</v>
      </c>
      <c r="J193" s="10">
        <v>6.5983000000000001</v>
      </c>
      <c r="K193" s="9">
        <v>3608.9225000000001</v>
      </c>
      <c r="L193" s="10">
        <v>4.7742000000000004</v>
      </c>
      <c r="M193" s="9">
        <v>2920.2067999999999</v>
      </c>
      <c r="N193" s="10">
        <v>5.4180000000000001</v>
      </c>
      <c r="O193" s="9">
        <v>19585.212200000002</v>
      </c>
      <c r="P193" s="16">
        <v>3.8224</v>
      </c>
    </row>
    <row r="194" spans="1:16" s="5" customFormat="1" ht="15.6" x14ac:dyDescent="0.3">
      <c r="A194" s="14">
        <v>193</v>
      </c>
      <c r="B194" s="6">
        <v>44561</v>
      </c>
      <c r="C194" s="9">
        <v>310525.79259999999</v>
      </c>
      <c r="D194" s="10">
        <v>4.5206999999999997</v>
      </c>
      <c r="E194" s="9">
        <v>249425.21599999999</v>
      </c>
      <c r="F194" s="10">
        <v>4.8503999999999996</v>
      </c>
      <c r="G194" s="9">
        <v>215862.58110000001</v>
      </c>
      <c r="H194" s="10">
        <v>4.6709876264240133</v>
      </c>
      <c r="I194" s="9">
        <v>20885.950700000001</v>
      </c>
      <c r="J194" s="10">
        <v>6.3372999999999999</v>
      </c>
      <c r="K194" s="9">
        <v>6716.0109000000002</v>
      </c>
      <c r="L194" s="10">
        <v>6.5064000000000002</v>
      </c>
      <c r="M194" s="9">
        <v>5960.6733000000004</v>
      </c>
      <c r="N194" s="10">
        <v>4.2698999999999998</v>
      </c>
      <c r="O194" s="9">
        <v>22156.817599999998</v>
      </c>
      <c r="P194" s="16">
        <v>3.9527000000000001</v>
      </c>
    </row>
    <row r="195" spans="1:16" s="5" customFormat="1" ht="15.6" x14ac:dyDescent="0.3">
      <c r="A195" s="14">
        <v>194</v>
      </c>
      <c r="B195" s="6">
        <v>44592</v>
      </c>
      <c r="C195" s="9">
        <v>280958.1704</v>
      </c>
      <c r="D195" s="10">
        <v>4.8006000000000002</v>
      </c>
      <c r="E195" s="9">
        <v>237044.31580000001</v>
      </c>
      <c r="F195" s="10">
        <v>5.0533999999999999</v>
      </c>
      <c r="G195" s="9">
        <v>220618.39529999997</v>
      </c>
      <c r="H195" s="10">
        <v>4.9505144336591052</v>
      </c>
      <c r="I195" s="9">
        <v>9898.7721999999994</v>
      </c>
      <c r="J195" s="10">
        <v>6.1756000000000002</v>
      </c>
      <c r="K195" s="9">
        <v>4766.7894999999999</v>
      </c>
      <c r="L195" s="10">
        <v>6.7146999999999997</v>
      </c>
      <c r="M195" s="9">
        <v>1760.3589999999999</v>
      </c>
      <c r="N195" s="10">
        <v>7.1356999999999999</v>
      </c>
      <c r="O195" s="9">
        <v>18883.2978</v>
      </c>
      <c r="P195" s="16">
        <v>4.4897</v>
      </c>
    </row>
    <row r="196" spans="1:16" s="5" customFormat="1" ht="15.6" x14ac:dyDescent="0.3">
      <c r="A196" s="14">
        <v>195</v>
      </c>
      <c r="B196" s="6">
        <v>44620</v>
      </c>
      <c r="C196" s="9">
        <v>272819.68060000002</v>
      </c>
      <c r="D196" s="10">
        <v>5.5297999999999998</v>
      </c>
      <c r="E196" s="9">
        <v>229249.89449999999</v>
      </c>
      <c r="F196" s="10">
        <v>5.8658999999999999</v>
      </c>
      <c r="G196" s="9">
        <v>214872.8658</v>
      </c>
      <c r="H196" s="10">
        <v>5.8301001490379898</v>
      </c>
      <c r="I196" s="9">
        <v>8225.2795999999998</v>
      </c>
      <c r="J196" s="10">
        <v>6.3678999999999997</v>
      </c>
      <c r="K196" s="9">
        <v>4559.1417000000001</v>
      </c>
      <c r="L196" s="10">
        <v>6.6449999999999996</v>
      </c>
      <c r="M196" s="9">
        <v>1592.6074000000001</v>
      </c>
      <c r="N196" s="10">
        <v>5.8818000000000001</v>
      </c>
      <c r="O196" s="9">
        <v>2927.0435000000002</v>
      </c>
      <c r="P196" s="16">
        <v>6.5449999999999999</v>
      </c>
    </row>
    <row r="197" spans="1:16" s="5" customFormat="1" ht="15.6" x14ac:dyDescent="0.3">
      <c r="A197" s="14">
        <v>196</v>
      </c>
      <c r="B197" s="6">
        <v>44651</v>
      </c>
      <c r="C197" s="9">
        <v>262495.87390000001</v>
      </c>
      <c r="D197" s="10">
        <v>6.0812999999999997</v>
      </c>
      <c r="E197" s="9">
        <v>239453.4198</v>
      </c>
      <c r="F197" s="10">
        <v>6.3781999999999996</v>
      </c>
      <c r="G197" s="9">
        <v>233879.34880000001</v>
      </c>
      <c r="H197" s="10">
        <v>6.3786190821817446</v>
      </c>
      <c r="I197" s="9">
        <v>3970.7422999999999</v>
      </c>
      <c r="J197" s="10">
        <v>6.4046000000000003</v>
      </c>
      <c r="K197" s="9">
        <v>1317.8009</v>
      </c>
      <c r="L197" s="10">
        <v>6.4150999999999998</v>
      </c>
      <c r="M197" s="9">
        <v>285.52789999999999</v>
      </c>
      <c r="N197" s="10">
        <v>5.4880000000000004</v>
      </c>
      <c r="O197" s="9">
        <v>286.71080000000001</v>
      </c>
      <c r="P197" s="16">
        <v>4.8452999999999999</v>
      </c>
    </row>
    <row r="198" spans="1:16" s="5" customFormat="1" ht="15.6" x14ac:dyDescent="0.3">
      <c r="A198" s="14">
        <v>197</v>
      </c>
      <c r="B198" s="6">
        <v>44681</v>
      </c>
      <c r="C198" s="9">
        <v>260505.07550000001</v>
      </c>
      <c r="D198" s="10">
        <v>4.8403</v>
      </c>
      <c r="E198" s="9">
        <v>236775.57029999999</v>
      </c>
      <c r="F198" s="10">
        <v>4.9985999999999997</v>
      </c>
      <c r="G198" s="9">
        <v>225139.29430000001</v>
      </c>
      <c r="H198" s="10">
        <v>4.9346713682058931</v>
      </c>
      <c r="I198" s="9">
        <v>7707.8969999999999</v>
      </c>
      <c r="J198" s="10">
        <v>6.2969999999999997</v>
      </c>
      <c r="K198" s="9">
        <v>2571.4962999999998</v>
      </c>
      <c r="L198" s="10">
        <v>5.5298999999999996</v>
      </c>
      <c r="M198" s="9">
        <v>1356.8827000000001</v>
      </c>
      <c r="N198" s="10">
        <v>7.22</v>
      </c>
      <c r="O198" s="9">
        <v>491.4042</v>
      </c>
      <c r="P198" s="16">
        <v>6.1939000000000002</v>
      </c>
    </row>
    <row r="199" spans="1:16" s="5" customFormat="1" ht="15.6" x14ac:dyDescent="0.3">
      <c r="A199" s="14">
        <v>198</v>
      </c>
      <c r="B199" s="6">
        <v>44712</v>
      </c>
      <c r="C199" s="9">
        <v>236756.89350000001</v>
      </c>
      <c r="D199" s="10">
        <v>4.2821999999999996</v>
      </c>
      <c r="E199" s="9">
        <v>209016.21909999999</v>
      </c>
      <c r="F199" s="10">
        <v>4.4241000000000001</v>
      </c>
      <c r="G199" s="9">
        <v>198586.50169999999</v>
      </c>
      <c r="H199" s="10">
        <v>4.3246862320028479</v>
      </c>
      <c r="I199" s="9">
        <v>7317.0982999999997</v>
      </c>
      <c r="J199" s="10">
        <v>6.4981999999999998</v>
      </c>
      <c r="K199" s="9">
        <v>2213.5659000000001</v>
      </c>
      <c r="L199" s="10">
        <v>5.8262999999999998</v>
      </c>
      <c r="M199" s="9">
        <v>899.05319999999995</v>
      </c>
      <c r="N199" s="10">
        <v>6.0583</v>
      </c>
      <c r="O199" s="9">
        <v>449.13659999999999</v>
      </c>
      <c r="P199" s="16">
        <v>5.3392999999999997</v>
      </c>
    </row>
    <row r="200" spans="1:16" s="5" customFormat="1" ht="15.6" x14ac:dyDescent="0.3">
      <c r="A200" s="14">
        <v>199</v>
      </c>
      <c r="B200" s="6">
        <v>44742</v>
      </c>
      <c r="C200" s="9">
        <v>282154.71870000003</v>
      </c>
      <c r="D200" s="10">
        <v>6.9663000000000004</v>
      </c>
      <c r="E200" s="9">
        <v>250213.92800000001</v>
      </c>
      <c r="F200" s="10">
        <v>7.3718000000000004</v>
      </c>
      <c r="G200" s="9">
        <v>232121.23450000002</v>
      </c>
      <c r="H200" s="10">
        <v>7.2909870641869254</v>
      </c>
      <c r="I200" s="9">
        <v>11998.976199999999</v>
      </c>
      <c r="J200" s="10">
        <v>9.5912000000000006</v>
      </c>
      <c r="K200" s="9">
        <v>5405.4791999999998</v>
      </c>
      <c r="L200" s="10">
        <v>5.6923000000000004</v>
      </c>
      <c r="M200" s="9">
        <v>688.23810000000003</v>
      </c>
      <c r="N200" s="10">
        <v>9.1059999999999999</v>
      </c>
      <c r="O200" s="9">
        <v>1156.1931</v>
      </c>
      <c r="P200" s="16">
        <v>4.2897999999999996</v>
      </c>
    </row>
    <row r="201" spans="1:16" s="5" customFormat="1" ht="15.6" x14ac:dyDescent="0.3">
      <c r="A201" s="14">
        <v>200</v>
      </c>
      <c r="B201" s="6">
        <v>44773</v>
      </c>
      <c r="C201" s="9">
        <v>258876.42370000001</v>
      </c>
      <c r="D201" s="10">
        <v>7.4297000000000004</v>
      </c>
      <c r="E201" s="9">
        <v>234525.9167</v>
      </c>
      <c r="F201" s="10">
        <v>7.7371999999999996</v>
      </c>
      <c r="G201" s="9">
        <v>219911.05609999999</v>
      </c>
      <c r="H201" s="10">
        <v>7.6831923768623112</v>
      </c>
      <c r="I201" s="9">
        <v>10184.7734</v>
      </c>
      <c r="J201" s="10">
        <v>9.2357999999999993</v>
      </c>
      <c r="K201" s="9">
        <v>3196.1190000000001</v>
      </c>
      <c r="L201" s="10">
        <v>5.9513999999999996</v>
      </c>
      <c r="M201" s="9">
        <v>1233.9682</v>
      </c>
      <c r="N201" s="10">
        <v>9.6112000000000002</v>
      </c>
      <c r="O201" s="9">
        <v>475.72710000000001</v>
      </c>
      <c r="P201" s="16">
        <v>5.0210999999999997</v>
      </c>
    </row>
    <row r="202" spans="1:16" s="5" customFormat="1" ht="15.6" x14ac:dyDescent="0.3">
      <c r="A202" s="14">
        <v>201</v>
      </c>
      <c r="B202" s="6">
        <v>44804</v>
      </c>
      <c r="C202" s="9">
        <v>285597.77389999997</v>
      </c>
      <c r="D202" s="10">
        <v>7.6196000000000002</v>
      </c>
      <c r="E202" s="9">
        <v>253961.4993</v>
      </c>
      <c r="F202" s="10">
        <v>7.9893000000000001</v>
      </c>
      <c r="G202" s="9">
        <v>234287.571</v>
      </c>
      <c r="H202" s="10">
        <v>7.9743183576417733</v>
      </c>
      <c r="I202" s="9">
        <v>13723.001700000001</v>
      </c>
      <c r="J202" s="10">
        <v>8.6302000000000003</v>
      </c>
      <c r="K202" s="9">
        <v>4638.6017000000002</v>
      </c>
      <c r="L202" s="10">
        <v>6.9073000000000002</v>
      </c>
      <c r="M202" s="9">
        <v>1312.3249000000001</v>
      </c>
      <c r="N202" s="10">
        <v>7.7897999999999996</v>
      </c>
      <c r="O202" s="9">
        <v>795.34429999999998</v>
      </c>
      <c r="P202" s="16">
        <v>3.4984000000000002</v>
      </c>
    </row>
    <row r="203" spans="1:16" s="5" customFormat="1" ht="15.6" x14ac:dyDescent="0.3">
      <c r="A203" s="14">
        <v>202</v>
      </c>
      <c r="B203" s="6">
        <v>44834</v>
      </c>
      <c r="C203" s="9">
        <v>328782.755</v>
      </c>
      <c r="D203" s="10">
        <v>8.6793999999999993</v>
      </c>
      <c r="E203" s="9">
        <v>290601.40049999999</v>
      </c>
      <c r="F203" s="10">
        <v>9.1312999999999995</v>
      </c>
      <c r="G203" s="9">
        <v>261488.93109999999</v>
      </c>
      <c r="H203" s="10">
        <v>9.1324091482442871</v>
      </c>
      <c r="I203" s="9">
        <v>20232.5203</v>
      </c>
      <c r="J203" s="10">
        <v>10.8993</v>
      </c>
      <c r="K203" s="9">
        <v>6086.3360000000002</v>
      </c>
      <c r="L203" s="10">
        <v>5.6405000000000003</v>
      </c>
      <c r="M203" s="9">
        <v>2793.6131</v>
      </c>
      <c r="N203" s="10">
        <v>3.8296000000000001</v>
      </c>
      <c r="O203" s="9">
        <v>407.82589999999999</v>
      </c>
      <c r="P203" s="16">
        <v>3.0434999999999999</v>
      </c>
    </row>
    <row r="204" spans="1:16" s="5" customFormat="1" ht="15.6" x14ac:dyDescent="0.3">
      <c r="A204" s="14">
        <v>203</v>
      </c>
      <c r="B204" s="6">
        <v>44865</v>
      </c>
      <c r="C204" s="9">
        <v>302835.25799999997</v>
      </c>
      <c r="D204" s="10">
        <v>8.8080999999999996</v>
      </c>
      <c r="E204" s="9">
        <v>264051.48790000001</v>
      </c>
      <c r="F204" s="10">
        <v>9.1910000000000007</v>
      </c>
      <c r="G204" s="9">
        <v>245790.5747</v>
      </c>
      <c r="H204" s="10">
        <v>9.0295677716204565</v>
      </c>
      <c r="I204" s="9">
        <v>13258.5468</v>
      </c>
      <c r="J204" s="10">
        <v>11.5017</v>
      </c>
      <c r="K204" s="9">
        <v>2929.5585000000001</v>
      </c>
      <c r="L204" s="10">
        <v>9.5215999999999994</v>
      </c>
      <c r="M204" s="9">
        <v>2072.8078999999998</v>
      </c>
      <c r="N204" s="10">
        <v>13.087400000000001</v>
      </c>
      <c r="O204" s="9">
        <v>683.78840000000002</v>
      </c>
      <c r="P204" s="16">
        <v>14.499700000000001</v>
      </c>
    </row>
    <row r="205" spans="1:16" s="5" customFormat="1" ht="15.6" x14ac:dyDescent="0.3">
      <c r="A205" s="21">
        <v>204</v>
      </c>
      <c r="B205" s="22">
        <v>44895</v>
      </c>
      <c r="C205" s="23">
        <v>356198.5883</v>
      </c>
      <c r="D205" s="24">
        <v>9.4728999999999992</v>
      </c>
      <c r="E205" s="23">
        <v>316045.39500000002</v>
      </c>
      <c r="F205" s="24">
        <v>9.8657000000000004</v>
      </c>
      <c r="G205" s="23">
        <v>295487.36700000003</v>
      </c>
      <c r="H205" s="24">
        <v>9.7791230393701412</v>
      </c>
      <c r="I205" s="23">
        <v>14408.382600000001</v>
      </c>
      <c r="J205" s="24">
        <v>11.944699999999999</v>
      </c>
      <c r="K205" s="23">
        <v>5170.1482999999998</v>
      </c>
      <c r="L205" s="24">
        <v>9.6866000000000003</v>
      </c>
      <c r="M205" s="23">
        <v>979.49710000000005</v>
      </c>
      <c r="N205" s="24">
        <v>6.3495999999999997</v>
      </c>
      <c r="O205" s="23">
        <v>853.625</v>
      </c>
      <c r="P205" s="25">
        <v>8.4641999999999999</v>
      </c>
    </row>
    <row r="206" spans="1:16" ht="15.6" x14ac:dyDescent="0.3">
      <c r="A206" s="55" t="s">
        <v>76</v>
      </c>
      <c r="B206" s="56"/>
      <c r="C206" s="23">
        <f>SUBTOTAL(109,Таблиця1[Депозити всього])</f>
        <v>25133036.389780004</v>
      </c>
      <c r="D206" s="57"/>
      <c r="E206" s="23">
        <f>SUBTOTAL(109,Таблиця1[до 1 року])</f>
        <v>20185960.240999993</v>
      </c>
      <c r="F206" s="57"/>
      <c r="G206" s="23">
        <f>SUBTOTAL(109,Таблиця1[до 1 місяця])</f>
        <v>17538339.302650005</v>
      </c>
      <c r="H206" s="57"/>
      <c r="I206" s="23">
        <f>SUBTOTAL(109,Таблиця1[Від 1 до 3])</f>
        <v>1569683.9986700001</v>
      </c>
      <c r="J206" s="57"/>
      <c r="K206" s="23">
        <f>SUBTOTAL(109,Таблиця1[Від 3 до 6])</f>
        <v>525714.75679999997</v>
      </c>
      <c r="L206" s="57"/>
      <c r="M206" s="23">
        <f>SUBTOTAL(109,Таблиця1[Від 6 до 12])</f>
        <v>552222.1838900001</v>
      </c>
      <c r="N206" s="57"/>
      <c r="O206" s="23">
        <f>SUBTOTAL(109,Таблиця1[від 1 до 2])</f>
        <v>1402863.5008900003</v>
      </c>
      <c r="P206" s="25">
        <f>SUBTOTAL(109,Таблиця1[Ставка від 1 до 2 років])</f>
        <v>1812.8967999999998</v>
      </c>
    </row>
  </sheetData>
  <pageMargins left="0.39370078740157483" right="0.19685039370078741" top="0.51181102362204722" bottom="0.19685039370078741" header="0.19685039370078741" footer="0.11811023622047245"/>
  <pageSetup paperSize="9" scale="8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B295"/>
  <sheetViews>
    <sheetView workbookViewId="0">
      <selection activeCell="D28" sqref="D28"/>
    </sheetView>
  </sheetViews>
  <sheetFormatPr defaultRowHeight="13.2" x14ac:dyDescent="0.25"/>
  <cols>
    <col min="1" max="1" width="19.77734375" bestFit="1" customWidth="1"/>
    <col min="2" max="2" width="22.44140625" bestFit="1" customWidth="1"/>
    <col min="3" max="3" width="14.21875" bestFit="1" customWidth="1"/>
    <col min="4" max="4" width="10" bestFit="1" customWidth="1"/>
    <col min="5" max="12" width="11" bestFit="1" customWidth="1"/>
    <col min="13" max="13" width="10" bestFit="1" customWidth="1"/>
    <col min="14" max="16" width="11" bestFit="1" customWidth="1"/>
    <col min="17" max="17" width="9" bestFit="1" customWidth="1"/>
    <col min="18" max="27" width="11" bestFit="1" customWidth="1"/>
    <col min="28" max="28" width="12" bestFit="1" customWidth="1"/>
    <col min="29" max="34" width="11" bestFit="1" customWidth="1"/>
    <col min="35" max="35" width="10" bestFit="1" customWidth="1"/>
    <col min="36" max="36" width="9" bestFit="1" customWidth="1"/>
    <col min="37" max="66" width="11" bestFit="1" customWidth="1"/>
    <col min="67" max="67" width="10" bestFit="1" customWidth="1"/>
    <col min="68" max="68" width="11" bestFit="1" customWidth="1"/>
    <col min="69" max="69" width="10" bestFit="1" customWidth="1"/>
    <col min="70" max="109" width="11" bestFit="1" customWidth="1"/>
    <col min="110" max="110" width="10" bestFit="1" customWidth="1"/>
    <col min="111" max="127" width="12" bestFit="1" customWidth="1"/>
    <col min="128" max="128" width="11" bestFit="1" customWidth="1"/>
    <col min="129" max="139" width="12" bestFit="1" customWidth="1"/>
    <col min="140" max="140" width="11" bestFit="1" customWidth="1"/>
    <col min="141" max="154" width="12" bestFit="1" customWidth="1"/>
    <col min="155" max="156" width="11" bestFit="1" customWidth="1"/>
    <col min="157" max="158" width="12" bestFit="1" customWidth="1"/>
    <col min="159" max="159" width="11" bestFit="1" customWidth="1"/>
    <col min="160" max="163" width="12" bestFit="1" customWidth="1"/>
    <col min="164" max="164" width="11" bestFit="1" customWidth="1"/>
    <col min="165" max="181" width="12" bestFit="1" customWidth="1"/>
    <col min="182" max="182" width="11" bestFit="1" customWidth="1"/>
    <col min="183" max="201" width="12" bestFit="1" customWidth="1"/>
    <col min="202" max="202" width="11" bestFit="1" customWidth="1"/>
    <col min="203" max="203" width="12" bestFit="1" customWidth="1"/>
    <col min="204" max="204" width="11" bestFit="1" customWidth="1"/>
    <col min="205" max="205" width="12" bestFit="1" customWidth="1"/>
    <col min="206" max="206" width="19.77734375" bestFit="1" customWidth="1"/>
  </cols>
  <sheetData>
    <row r="3" spans="1:2" x14ac:dyDescent="0.25">
      <c r="A3" s="11" t="s">
        <v>8</v>
      </c>
      <c r="B3" t="s">
        <v>44</v>
      </c>
    </row>
    <row r="4" spans="1:2" x14ac:dyDescent="0.25">
      <c r="A4" s="12" t="s">
        <v>10</v>
      </c>
      <c r="B4" s="27"/>
    </row>
    <row r="5" spans="1:2" x14ac:dyDescent="0.25">
      <c r="A5" s="13" t="s">
        <v>11</v>
      </c>
      <c r="B5" s="27"/>
    </row>
    <row r="6" spans="1:2" x14ac:dyDescent="0.25">
      <c r="A6" s="26" t="s">
        <v>32</v>
      </c>
      <c r="B6" s="27">
        <v>86900.728099999993</v>
      </c>
    </row>
    <row r="7" spans="1:2" x14ac:dyDescent="0.25">
      <c r="A7" s="12" t="s">
        <v>12</v>
      </c>
      <c r="B7" s="27"/>
    </row>
    <row r="8" spans="1:2" x14ac:dyDescent="0.25">
      <c r="A8" s="13" t="s">
        <v>13</v>
      </c>
      <c r="B8" s="27"/>
    </row>
    <row r="9" spans="1:2" x14ac:dyDescent="0.25">
      <c r="A9" s="26" t="s">
        <v>33</v>
      </c>
      <c r="B9" s="27">
        <v>7170.1913000000004</v>
      </c>
    </row>
    <row r="10" spans="1:2" x14ac:dyDescent="0.25">
      <c r="A10" s="26" t="s">
        <v>34</v>
      </c>
      <c r="B10" s="27">
        <v>7469.9462000000003</v>
      </c>
    </row>
    <row r="11" spans="1:2" x14ac:dyDescent="0.25">
      <c r="A11" s="26" t="s">
        <v>35</v>
      </c>
      <c r="B11" s="27">
        <v>11315.035</v>
      </c>
    </row>
    <row r="12" spans="1:2" x14ac:dyDescent="0.25">
      <c r="A12" s="13" t="s">
        <v>14</v>
      </c>
      <c r="B12" s="27"/>
    </row>
    <row r="13" spans="1:2" x14ac:dyDescent="0.25">
      <c r="A13" s="26" t="s">
        <v>36</v>
      </c>
      <c r="B13" s="27">
        <v>14131.731400000001</v>
      </c>
    </row>
    <row r="14" spans="1:2" x14ac:dyDescent="0.25">
      <c r="A14" s="26" t="s">
        <v>37</v>
      </c>
      <c r="B14" s="27">
        <v>16384.438300000002</v>
      </c>
    </row>
    <row r="15" spans="1:2" x14ac:dyDescent="0.25">
      <c r="A15" s="26" t="s">
        <v>38</v>
      </c>
      <c r="B15" s="27">
        <v>20336.772000000001</v>
      </c>
    </row>
    <row r="16" spans="1:2" x14ac:dyDescent="0.25">
      <c r="A16" s="13" t="s">
        <v>15</v>
      </c>
      <c r="B16" s="27"/>
    </row>
    <row r="17" spans="1:2" x14ac:dyDescent="0.25">
      <c r="A17" s="26" t="s">
        <v>39</v>
      </c>
      <c r="B17" s="27">
        <v>17616.053800000002</v>
      </c>
    </row>
    <row r="18" spans="1:2" x14ac:dyDescent="0.25">
      <c r="A18" s="26" t="s">
        <v>40</v>
      </c>
      <c r="B18" s="27">
        <v>17030.598399999999</v>
      </c>
    </row>
    <row r="19" spans="1:2" x14ac:dyDescent="0.25">
      <c r="A19" s="26" t="s">
        <v>41</v>
      </c>
      <c r="B19" s="27">
        <v>21320.447700000001</v>
      </c>
    </row>
    <row r="20" spans="1:2" x14ac:dyDescent="0.25">
      <c r="A20" s="13" t="s">
        <v>11</v>
      </c>
      <c r="B20" s="27"/>
    </row>
    <row r="21" spans="1:2" x14ac:dyDescent="0.25">
      <c r="A21" s="26" t="s">
        <v>42</v>
      </c>
      <c r="B21" s="27">
        <v>21039.232400000001</v>
      </c>
    </row>
    <row r="22" spans="1:2" x14ac:dyDescent="0.25">
      <c r="A22" s="26" t="s">
        <v>43</v>
      </c>
      <c r="B22" s="27">
        <v>20333.938200000001</v>
      </c>
    </row>
    <row r="23" spans="1:2" x14ac:dyDescent="0.25">
      <c r="A23" s="26" t="s">
        <v>32</v>
      </c>
      <c r="B23" s="27">
        <v>24876.487700000001</v>
      </c>
    </row>
    <row r="24" spans="1:2" x14ac:dyDescent="0.25">
      <c r="A24" s="12" t="s">
        <v>16</v>
      </c>
      <c r="B24" s="27"/>
    </row>
    <row r="25" spans="1:2" x14ac:dyDescent="0.25">
      <c r="A25" s="13" t="s">
        <v>13</v>
      </c>
      <c r="B25" s="27"/>
    </row>
    <row r="26" spans="1:2" x14ac:dyDescent="0.25">
      <c r="A26" s="26" t="s">
        <v>33</v>
      </c>
      <c r="B26" s="27">
        <v>13071.6198</v>
      </c>
    </row>
    <row r="27" spans="1:2" x14ac:dyDescent="0.25">
      <c r="A27" s="26" t="s">
        <v>34</v>
      </c>
      <c r="B27" s="27">
        <v>19811.523799999999</v>
      </c>
    </row>
    <row r="28" spans="1:2" x14ac:dyDescent="0.25">
      <c r="A28" s="26" t="s">
        <v>35</v>
      </c>
      <c r="B28" s="27">
        <v>24705.835500000001</v>
      </c>
    </row>
    <row r="29" spans="1:2" x14ac:dyDescent="0.25">
      <c r="A29" s="13" t="s">
        <v>14</v>
      </c>
      <c r="B29" s="27"/>
    </row>
    <row r="30" spans="1:2" x14ac:dyDescent="0.25">
      <c r="A30" s="26" t="s">
        <v>36</v>
      </c>
      <c r="B30" s="27">
        <v>19703.7683</v>
      </c>
    </row>
    <row r="31" spans="1:2" x14ac:dyDescent="0.25">
      <c r="A31" s="26" t="s">
        <v>37</v>
      </c>
      <c r="B31" s="27">
        <v>21902.17</v>
      </c>
    </row>
    <row r="32" spans="1:2" x14ac:dyDescent="0.25">
      <c r="A32" s="26" t="s">
        <v>38</v>
      </c>
      <c r="B32" s="27">
        <v>25921.063399999999</v>
      </c>
    </row>
    <row r="33" spans="1:2" x14ac:dyDescent="0.25">
      <c r="A33" s="13" t="s">
        <v>15</v>
      </c>
      <c r="B33" s="27"/>
    </row>
    <row r="34" spans="1:2" x14ac:dyDescent="0.25">
      <c r="A34" s="26" t="s">
        <v>39</v>
      </c>
      <c r="B34" s="27">
        <v>29268.8272</v>
      </c>
    </row>
    <row r="35" spans="1:2" x14ac:dyDescent="0.25">
      <c r="A35" s="26" t="s">
        <v>40</v>
      </c>
      <c r="B35" s="27">
        <v>35835.455600000001</v>
      </c>
    </row>
    <row r="36" spans="1:2" x14ac:dyDescent="0.25">
      <c r="A36" s="26" t="s">
        <v>41</v>
      </c>
      <c r="B36" s="27">
        <v>31771.0334</v>
      </c>
    </row>
    <row r="37" spans="1:2" x14ac:dyDescent="0.25">
      <c r="A37" s="13" t="s">
        <v>11</v>
      </c>
      <c r="B37" s="27"/>
    </row>
    <row r="38" spans="1:2" x14ac:dyDescent="0.25">
      <c r="A38" s="26" t="s">
        <v>42</v>
      </c>
      <c r="B38" s="27">
        <v>30106.001</v>
      </c>
    </row>
    <row r="39" spans="1:2" x14ac:dyDescent="0.25">
      <c r="A39" s="26" t="s">
        <v>43</v>
      </c>
      <c r="B39" s="27">
        <v>30418.54</v>
      </c>
    </row>
    <row r="40" spans="1:2" x14ac:dyDescent="0.25">
      <c r="A40" s="26" t="s">
        <v>32</v>
      </c>
      <c r="B40" s="27">
        <v>33834.6198</v>
      </c>
    </row>
    <row r="41" spans="1:2" x14ac:dyDescent="0.25">
      <c r="A41" s="12" t="s">
        <v>17</v>
      </c>
      <c r="B41" s="27"/>
    </row>
    <row r="42" spans="1:2" x14ac:dyDescent="0.25">
      <c r="A42" s="13" t="s">
        <v>13</v>
      </c>
      <c r="B42" s="27"/>
    </row>
    <row r="43" spans="1:2" x14ac:dyDescent="0.25">
      <c r="A43" s="26" t="s">
        <v>33</v>
      </c>
      <c r="B43" s="27">
        <v>26915.86418</v>
      </c>
    </row>
    <row r="44" spans="1:2" x14ac:dyDescent="0.25">
      <c r="A44" s="26" t="s">
        <v>34</v>
      </c>
      <c r="B44" s="27">
        <v>28854.2215</v>
      </c>
    </row>
    <row r="45" spans="1:2" x14ac:dyDescent="0.25">
      <c r="A45" s="26" t="s">
        <v>35</v>
      </c>
      <c r="B45" s="27">
        <v>36939.022700000001</v>
      </c>
    </row>
    <row r="46" spans="1:2" x14ac:dyDescent="0.25">
      <c r="A46" s="13" t="s">
        <v>14</v>
      </c>
      <c r="B46" s="27"/>
    </row>
    <row r="47" spans="1:2" x14ac:dyDescent="0.25">
      <c r="A47" s="26" t="s">
        <v>36</v>
      </c>
      <c r="B47" s="27">
        <v>54358.523999999998</v>
      </c>
    </row>
    <row r="48" spans="1:2" x14ac:dyDescent="0.25">
      <c r="A48" s="26" t="s">
        <v>37</v>
      </c>
      <c r="B48" s="27">
        <v>71940.327300000004</v>
      </c>
    </row>
    <row r="49" spans="1:2" x14ac:dyDescent="0.25">
      <c r="A49" s="26" t="s">
        <v>38</v>
      </c>
      <c r="B49" s="27">
        <v>83331.094400000002</v>
      </c>
    </row>
    <row r="50" spans="1:2" x14ac:dyDescent="0.25">
      <c r="A50" s="13" t="s">
        <v>15</v>
      </c>
      <c r="B50" s="27"/>
    </row>
    <row r="51" spans="1:2" x14ac:dyDescent="0.25">
      <c r="A51" s="26" t="s">
        <v>39</v>
      </c>
      <c r="B51" s="27">
        <v>82337.716400000005</v>
      </c>
    </row>
    <row r="52" spans="1:2" x14ac:dyDescent="0.25">
      <c r="A52" s="26" t="s">
        <v>40</v>
      </c>
      <c r="B52" s="27">
        <v>69130.669500000004</v>
      </c>
    </row>
    <row r="53" spans="1:2" x14ac:dyDescent="0.25">
      <c r="A53" s="26" t="s">
        <v>41</v>
      </c>
      <c r="B53" s="27">
        <v>60560.214399999997</v>
      </c>
    </row>
    <row r="54" spans="1:2" x14ac:dyDescent="0.25">
      <c r="A54" s="13" t="s">
        <v>11</v>
      </c>
      <c r="B54" s="27"/>
    </row>
    <row r="55" spans="1:2" x14ac:dyDescent="0.25">
      <c r="A55" s="26" t="s">
        <v>42</v>
      </c>
      <c r="B55" s="27">
        <v>32597.545399999999</v>
      </c>
    </row>
    <row r="56" spans="1:2" x14ac:dyDescent="0.25">
      <c r="A56" s="26" t="s">
        <v>43</v>
      </c>
      <c r="B56" s="27">
        <v>25880.599699999999</v>
      </c>
    </row>
    <row r="57" spans="1:2" x14ac:dyDescent="0.25">
      <c r="A57" s="26" t="s">
        <v>32</v>
      </c>
      <c r="B57" s="27">
        <v>44683.379399999998</v>
      </c>
    </row>
    <row r="58" spans="1:2" x14ac:dyDescent="0.25">
      <c r="A58" s="12" t="s">
        <v>18</v>
      </c>
      <c r="B58" s="27"/>
    </row>
    <row r="59" spans="1:2" x14ac:dyDescent="0.25">
      <c r="A59" s="13" t="s">
        <v>13</v>
      </c>
      <c r="B59" s="27"/>
    </row>
    <row r="60" spans="1:2" x14ac:dyDescent="0.25">
      <c r="A60" s="26" t="s">
        <v>33</v>
      </c>
      <c r="B60" s="27">
        <v>28721.1486</v>
      </c>
    </row>
    <row r="61" spans="1:2" x14ac:dyDescent="0.25">
      <c r="A61" s="26" t="s">
        <v>34</v>
      </c>
      <c r="B61" s="27">
        <v>27911.893700000001</v>
      </c>
    </row>
    <row r="62" spans="1:2" x14ac:dyDescent="0.25">
      <c r="A62" s="26" t="s">
        <v>35</v>
      </c>
      <c r="B62" s="27">
        <v>32163.769199999999</v>
      </c>
    </row>
    <row r="63" spans="1:2" x14ac:dyDescent="0.25">
      <c r="A63" s="13" t="s">
        <v>14</v>
      </c>
      <c r="B63" s="27"/>
    </row>
    <row r="64" spans="1:2" x14ac:dyDescent="0.25">
      <c r="A64" s="26" t="s">
        <v>36</v>
      </c>
      <c r="B64" s="27">
        <v>34862.643799999998</v>
      </c>
    </row>
    <row r="65" spans="1:2" x14ac:dyDescent="0.25">
      <c r="A65" s="26" t="s">
        <v>37</v>
      </c>
      <c r="B65" s="27">
        <v>24554.855899999999</v>
      </c>
    </row>
    <row r="66" spans="1:2" x14ac:dyDescent="0.25">
      <c r="A66" s="26" t="s">
        <v>38</v>
      </c>
      <c r="B66" s="27">
        <v>24797.893899999999</v>
      </c>
    </row>
    <row r="67" spans="1:2" x14ac:dyDescent="0.25">
      <c r="A67" s="13" t="s">
        <v>15</v>
      </c>
      <c r="B67" s="27"/>
    </row>
    <row r="68" spans="1:2" x14ac:dyDescent="0.25">
      <c r="A68" s="26" t="s">
        <v>39</v>
      </c>
      <c r="B68" s="27">
        <v>22459.168300000001</v>
      </c>
    </row>
    <row r="69" spans="1:2" x14ac:dyDescent="0.25">
      <c r="A69" s="26" t="s">
        <v>40</v>
      </c>
      <c r="B69" s="27">
        <v>25530.157899999998</v>
      </c>
    </row>
    <row r="70" spans="1:2" x14ac:dyDescent="0.25">
      <c r="A70" s="26" t="s">
        <v>41</v>
      </c>
      <c r="B70" s="27">
        <v>25708.356299999999</v>
      </c>
    </row>
    <row r="71" spans="1:2" x14ac:dyDescent="0.25">
      <c r="A71" s="13" t="s">
        <v>11</v>
      </c>
      <c r="B71" s="27"/>
    </row>
    <row r="72" spans="1:2" x14ac:dyDescent="0.25">
      <c r="A72" s="26" t="s">
        <v>42</v>
      </c>
      <c r="B72" s="27">
        <v>22362.194599999999</v>
      </c>
    </row>
    <row r="73" spans="1:2" x14ac:dyDescent="0.25">
      <c r="A73" s="26" t="s">
        <v>43</v>
      </c>
      <c r="B73" s="27">
        <v>20826.5972</v>
      </c>
    </row>
    <row r="74" spans="1:2" x14ac:dyDescent="0.25">
      <c r="A74" s="26" t="s">
        <v>32</v>
      </c>
      <c r="B74" s="27">
        <v>26922.515299999999</v>
      </c>
    </row>
    <row r="75" spans="1:2" x14ac:dyDescent="0.25">
      <c r="A75" s="12" t="s">
        <v>19</v>
      </c>
      <c r="B75" s="27"/>
    </row>
    <row r="76" spans="1:2" x14ac:dyDescent="0.25">
      <c r="A76" s="13" t="s">
        <v>13</v>
      </c>
      <c r="B76" s="27"/>
    </row>
    <row r="77" spans="1:2" x14ac:dyDescent="0.25">
      <c r="A77" s="26" t="s">
        <v>33</v>
      </c>
      <c r="B77" s="27">
        <v>28743.1358</v>
      </c>
    </row>
    <row r="78" spans="1:2" x14ac:dyDescent="0.25">
      <c r="A78" s="26" t="s">
        <v>34</v>
      </c>
      <c r="B78" s="27">
        <v>31417.3449</v>
      </c>
    </row>
    <row r="79" spans="1:2" x14ac:dyDescent="0.25">
      <c r="A79" s="26" t="s">
        <v>35</v>
      </c>
      <c r="B79" s="27">
        <v>38612.048499999997</v>
      </c>
    </row>
    <row r="80" spans="1:2" x14ac:dyDescent="0.25">
      <c r="A80" s="13" t="s">
        <v>14</v>
      </c>
      <c r="B80" s="27"/>
    </row>
    <row r="81" spans="1:2" x14ac:dyDescent="0.25">
      <c r="A81" s="26" t="s">
        <v>36</v>
      </c>
      <c r="B81" s="27">
        <v>37648.959300000002</v>
      </c>
    </row>
    <row r="82" spans="1:2" x14ac:dyDescent="0.25">
      <c r="A82" s="26" t="s">
        <v>37</v>
      </c>
      <c r="B82" s="27">
        <v>33864.397100000002</v>
      </c>
    </row>
    <row r="83" spans="1:2" x14ac:dyDescent="0.25">
      <c r="A83" s="26" t="s">
        <v>38</v>
      </c>
      <c r="B83" s="27">
        <v>43048.777400000006</v>
      </c>
    </row>
    <row r="84" spans="1:2" x14ac:dyDescent="0.25">
      <c r="A84" s="13" t="s">
        <v>15</v>
      </c>
      <c r="B84" s="27"/>
    </row>
    <row r="85" spans="1:2" x14ac:dyDescent="0.25">
      <c r="A85" s="26" t="s">
        <v>39</v>
      </c>
      <c r="B85" s="27">
        <v>45589.8076</v>
      </c>
    </row>
    <row r="86" spans="1:2" x14ac:dyDescent="0.25">
      <c r="A86" s="26" t="s">
        <v>40</v>
      </c>
      <c r="B86" s="27">
        <v>48166.945699999997</v>
      </c>
    </row>
    <row r="87" spans="1:2" x14ac:dyDescent="0.25">
      <c r="A87" s="26" t="s">
        <v>41</v>
      </c>
      <c r="B87" s="27">
        <v>48619.835899999998</v>
      </c>
    </row>
    <row r="88" spans="1:2" x14ac:dyDescent="0.25">
      <c r="A88" s="13" t="s">
        <v>11</v>
      </c>
      <c r="B88" s="27"/>
    </row>
    <row r="89" spans="1:2" x14ac:dyDescent="0.25">
      <c r="A89" s="26" t="s">
        <v>42</v>
      </c>
      <c r="B89" s="27">
        <v>46311.155100000004</v>
      </c>
    </row>
    <row r="90" spans="1:2" x14ac:dyDescent="0.25">
      <c r="A90" s="26" t="s">
        <v>43</v>
      </c>
      <c r="B90" s="27">
        <v>44117.936099999999</v>
      </c>
    </row>
    <row r="91" spans="1:2" x14ac:dyDescent="0.25">
      <c r="A91" s="26" t="s">
        <v>32</v>
      </c>
      <c r="B91" s="27">
        <v>54750.964099999997</v>
      </c>
    </row>
    <row r="92" spans="1:2" x14ac:dyDescent="0.25">
      <c r="A92" s="12" t="s">
        <v>20</v>
      </c>
      <c r="B92" s="27"/>
    </row>
    <row r="93" spans="1:2" x14ac:dyDescent="0.25">
      <c r="A93" s="13" t="s">
        <v>13</v>
      </c>
      <c r="B93" s="27"/>
    </row>
    <row r="94" spans="1:2" x14ac:dyDescent="0.25">
      <c r="A94" s="26" t="s">
        <v>33</v>
      </c>
      <c r="B94" s="27">
        <v>45412.063800000004</v>
      </c>
    </row>
    <row r="95" spans="1:2" x14ac:dyDescent="0.25">
      <c r="A95" s="26" t="s">
        <v>34</v>
      </c>
      <c r="B95" s="27">
        <v>42571.917500000003</v>
      </c>
    </row>
    <row r="96" spans="1:2" x14ac:dyDescent="0.25">
      <c r="A96" s="26" t="s">
        <v>35</v>
      </c>
      <c r="B96" s="27">
        <v>45398.078800000003</v>
      </c>
    </row>
    <row r="97" spans="1:2" x14ac:dyDescent="0.25">
      <c r="A97" s="13" t="s">
        <v>14</v>
      </c>
      <c r="B97" s="27"/>
    </row>
    <row r="98" spans="1:2" x14ac:dyDescent="0.25">
      <c r="A98" s="26" t="s">
        <v>36</v>
      </c>
      <c r="B98" s="27">
        <v>41896.961600000002</v>
      </c>
    </row>
    <row r="99" spans="1:2" x14ac:dyDescent="0.25">
      <c r="A99" s="26" t="s">
        <v>37</v>
      </c>
      <c r="B99" s="27">
        <v>40599.737399999998</v>
      </c>
    </row>
    <row r="100" spans="1:2" x14ac:dyDescent="0.25">
      <c r="A100" s="26" t="s">
        <v>38</v>
      </c>
      <c r="B100" s="27">
        <v>44828.140899999999</v>
      </c>
    </row>
    <row r="101" spans="1:2" x14ac:dyDescent="0.25">
      <c r="A101" s="13" t="s">
        <v>15</v>
      </c>
      <c r="B101" s="27"/>
    </row>
    <row r="102" spans="1:2" x14ac:dyDescent="0.25">
      <c r="A102" s="26" t="s">
        <v>39</v>
      </c>
      <c r="B102" s="27">
        <v>44612.0674</v>
      </c>
    </row>
    <row r="103" spans="1:2" x14ac:dyDescent="0.25">
      <c r="A103" s="26" t="s">
        <v>40</v>
      </c>
      <c r="B103" s="27">
        <v>58386.580300000001</v>
      </c>
    </row>
    <row r="104" spans="1:2" x14ac:dyDescent="0.25">
      <c r="A104" s="26" t="s">
        <v>41</v>
      </c>
      <c r="B104" s="27">
        <v>66871.971399999995</v>
      </c>
    </row>
    <row r="105" spans="1:2" x14ac:dyDescent="0.25">
      <c r="A105" s="13" t="s">
        <v>11</v>
      </c>
      <c r="B105" s="27"/>
    </row>
    <row r="106" spans="1:2" x14ac:dyDescent="0.25">
      <c r="A106" s="26" t="s">
        <v>42</v>
      </c>
      <c r="B106" s="27">
        <v>59403.875700000004</v>
      </c>
    </row>
    <row r="107" spans="1:2" x14ac:dyDescent="0.25">
      <c r="A107" s="26" t="s">
        <v>43</v>
      </c>
      <c r="B107" s="27">
        <v>66741.405800000008</v>
      </c>
    </row>
    <row r="108" spans="1:2" x14ac:dyDescent="0.25">
      <c r="A108" s="26" t="s">
        <v>32</v>
      </c>
      <c r="B108" s="27">
        <v>74699.701300000001</v>
      </c>
    </row>
    <row r="109" spans="1:2" x14ac:dyDescent="0.25">
      <c r="A109" s="12" t="s">
        <v>21</v>
      </c>
      <c r="B109" s="27"/>
    </row>
    <row r="110" spans="1:2" x14ac:dyDescent="0.25">
      <c r="A110" s="13" t="s">
        <v>13</v>
      </c>
      <c r="B110" s="27"/>
    </row>
    <row r="111" spans="1:2" x14ac:dyDescent="0.25">
      <c r="A111" s="26" t="s">
        <v>33</v>
      </c>
      <c r="B111" s="27">
        <v>53913.221899999997</v>
      </c>
    </row>
    <row r="112" spans="1:2" x14ac:dyDescent="0.25">
      <c r="A112" s="26" t="s">
        <v>34</v>
      </c>
      <c r="B112" s="27">
        <v>53562.039199999999</v>
      </c>
    </row>
    <row r="113" spans="1:2" x14ac:dyDescent="0.25">
      <c r="A113" s="26" t="s">
        <v>35</v>
      </c>
      <c r="B113" s="27">
        <v>59974.139600000002</v>
      </c>
    </row>
    <row r="114" spans="1:2" x14ac:dyDescent="0.25">
      <c r="A114" s="13" t="s">
        <v>14</v>
      </c>
      <c r="B114" s="27"/>
    </row>
    <row r="115" spans="1:2" x14ac:dyDescent="0.25">
      <c r="A115" s="26" t="s">
        <v>36</v>
      </c>
      <c r="B115" s="27">
        <v>52912.872199999998</v>
      </c>
    </row>
    <row r="116" spans="1:2" x14ac:dyDescent="0.25">
      <c r="A116" s="26" t="s">
        <v>37</v>
      </c>
      <c r="B116" s="27">
        <v>55862.606800000001</v>
      </c>
    </row>
    <row r="117" spans="1:2" x14ac:dyDescent="0.25">
      <c r="A117" s="26" t="s">
        <v>38</v>
      </c>
      <c r="B117" s="27">
        <v>69560.316699999996</v>
      </c>
    </row>
    <row r="118" spans="1:2" x14ac:dyDescent="0.25">
      <c r="A118" s="13" t="s">
        <v>15</v>
      </c>
      <c r="B118" s="27"/>
    </row>
    <row r="119" spans="1:2" x14ac:dyDescent="0.25">
      <c r="A119" s="26" t="s">
        <v>39</v>
      </c>
      <c r="B119" s="27">
        <v>77019.443200000009</v>
      </c>
    </row>
    <row r="120" spans="1:2" x14ac:dyDescent="0.25">
      <c r="A120" s="26" t="s">
        <v>40</v>
      </c>
      <c r="B120" s="27">
        <v>80655.185199999993</v>
      </c>
    </row>
    <row r="121" spans="1:2" x14ac:dyDescent="0.25">
      <c r="A121" s="26" t="s">
        <v>41</v>
      </c>
      <c r="B121" s="27">
        <v>71753.905500000008</v>
      </c>
    </row>
    <row r="122" spans="1:2" x14ac:dyDescent="0.25">
      <c r="A122" s="13" t="s">
        <v>11</v>
      </c>
      <c r="B122" s="27"/>
    </row>
    <row r="123" spans="1:2" x14ac:dyDescent="0.25">
      <c r="A123" s="26" t="s">
        <v>42</v>
      </c>
      <c r="B123" s="27">
        <v>93450.108300000007</v>
      </c>
    </row>
    <row r="124" spans="1:2" x14ac:dyDescent="0.25">
      <c r="A124" s="26" t="s">
        <v>43</v>
      </c>
      <c r="B124" s="27">
        <v>86480.962400000004</v>
      </c>
    </row>
    <row r="125" spans="1:2" x14ac:dyDescent="0.25">
      <c r="A125" s="26" t="s">
        <v>32</v>
      </c>
      <c r="B125" s="27">
        <v>95234.954900000012</v>
      </c>
    </row>
    <row r="126" spans="1:2" x14ac:dyDescent="0.25">
      <c r="A126" s="12" t="s">
        <v>22</v>
      </c>
      <c r="B126" s="27"/>
    </row>
    <row r="127" spans="1:2" x14ac:dyDescent="0.25">
      <c r="A127" s="13" t="s">
        <v>13</v>
      </c>
      <c r="B127" s="27"/>
    </row>
    <row r="128" spans="1:2" x14ac:dyDescent="0.25">
      <c r="A128" s="26" t="s">
        <v>33</v>
      </c>
      <c r="B128" s="27">
        <v>66470.561600000001</v>
      </c>
    </row>
    <row r="129" spans="1:2" x14ac:dyDescent="0.25">
      <c r="A129" s="26" t="s">
        <v>34</v>
      </c>
      <c r="B129" s="27">
        <v>56955.357400000001</v>
      </c>
    </row>
    <row r="130" spans="1:2" x14ac:dyDescent="0.25">
      <c r="A130" s="26" t="s">
        <v>35</v>
      </c>
      <c r="B130" s="27">
        <v>60293.135399999999</v>
      </c>
    </row>
    <row r="131" spans="1:2" x14ac:dyDescent="0.25">
      <c r="A131" s="13" t="s">
        <v>14</v>
      </c>
      <c r="B131" s="27"/>
    </row>
    <row r="132" spans="1:2" x14ac:dyDescent="0.25">
      <c r="A132" s="26" t="s">
        <v>36</v>
      </c>
      <c r="B132" s="27">
        <v>66957.958100000003</v>
      </c>
    </row>
    <row r="133" spans="1:2" x14ac:dyDescent="0.25">
      <c r="A133" s="26" t="s">
        <v>37</v>
      </c>
      <c r="B133" s="27">
        <v>55846.192000000003</v>
      </c>
    </row>
    <row r="134" spans="1:2" x14ac:dyDescent="0.25">
      <c r="A134" s="26" t="s">
        <v>38</v>
      </c>
      <c r="B134" s="27">
        <v>53488.2762</v>
      </c>
    </row>
    <row r="135" spans="1:2" x14ac:dyDescent="0.25">
      <c r="A135" s="13" t="s">
        <v>15</v>
      </c>
      <c r="B135" s="27"/>
    </row>
    <row r="136" spans="1:2" x14ac:dyDescent="0.25">
      <c r="A136" s="26" t="s">
        <v>39</v>
      </c>
      <c r="B136" s="27">
        <v>62611.394800000002</v>
      </c>
    </row>
    <row r="137" spans="1:2" x14ac:dyDescent="0.25">
      <c r="A137" s="26" t="s">
        <v>40</v>
      </c>
      <c r="B137" s="27">
        <v>58373.090600000003</v>
      </c>
    </row>
    <row r="138" spans="1:2" x14ac:dyDescent="0.25">
      <c r="A138" s="26" t="s">
        <v>41</v>
      </c>
      <c r="B138" s="27">
        <v>57353.870600000002</v>
      </c>
    </row>
    <row r="139" spans="1:2" x14ac:dyDescent="0.25">
      <c r="A139" s="13" t="s">
        <v>11</v>
      </c>
      <c r="B139" s="27"/>
    </row>
    <row r="140" spans="1:2" x14ac:dyDescent="0.25">
      <c r="A140" s="26" t="s">
        <v>42</v>
      </c>
      <c r="B140" s="27">
        <v>63569.457900000001</v>
      </c>
    </row>
    <row r="141" spans="1:2" x14ac:dyDescent="0.25">
      <c r="A141" s="26" t="s">
        <v>43</v>
      </c>
      <c r="B141" s="27">
        <v>57769.679199999999</v>
      </c>
    </row>
    <row r="142" spans="1:2" x14ac:dyDescent="0.25">
      <c r="A142" s="26" t="s">
        <v>32</v>
      </c>
      <c r="B142" s="27">
        <v>82711.608099999998</v>
      </c>
    </row>
    <row r="143" spans="1:2" x14ac:dyDescent="0.25">
      <c r="A143" s="12" t="s">
        <v>23</v>
      </c>
      <c r="B143" s="27"/>
    </row>
    <row r="144" spans="1:2" x14ac:dyDescent="0.25">
      <c r="A144" s="13" t="s">
        <v>13</v>
      </c>
      <c r="B144" s="27"/>
    </row>
    <row r="145" spans="1:2" x14ac:dyDescent="0.25">
      <c r="A145" s="26" t="s">
        <v>33</v>
      </c>
      <c r="B145" s="27">
        <v>69331.350600000005</v>
      </c>
    </row>
    <row r="146" spans="1:2" x14ac:dyDescent="0.25">
      <c r="A146" s="26" t="s">
        <v>34</v>
      </c>
      <c r="B146" s="27">
        <v>42315.659200000002</v>
      </c>
    </row>
    <row r="147" spans="1:2" x14ac:dyDescent="0.25">
      <c r="A147" s="26" t="s">
        <v>35</v>
      </c>
      <c r="B147" s="27">
        <v>65641.835399999996</v>
      </c>
    </row>
    <row r="148" spans="1:2" x14ac:dyDescent="0.25">
      <c r="A148" s="13" t="s">
        <v>14</v>
      </c>
      <c r="B148" s="27"/>
    </row>
    <row r="149" spans="1:2" x14ac:dyDescent="0.25">
      <c r="A149" s="26" t="s">
        <v>36</v>
      </c>
      <c r="B149" s="27">
        <v>82154.265400000004</v>
      </c>
    </row>
    <row r="150" spans="1:2" x14ac:dyDescent="0.25">
      <c r="A150" s="26" t="s">
        <v>37</v>
      </c>
      <c r="B150" s="27">
        <v>73198.335099999997</v>
      </c>
    </row>
    <row r="151" spans="1:2" x14ac:dyDescent="0.25">
      <c r="A151" s="26" t="s">
        <v>38</v>
      </c>
      <c r="B151" s="27">
        <v>74997.291899999997</v>
      </c>
    </row>
    <row r="152" spans="1:2" x14ac:dyDescent="0.25">
      <c r="A152" s="13" t="s">
        <v>15</v>
      </c>
      <c r="B152" s="27"/>
    </row>
    <row r="153" spans="1:2" x14ac:dyDescent="0.25">
      <c r="A153" s="26" t="s">
        <v>39</v>
      </c>
      <c r="B153" s="27">
        <v>89085.330300000001</v>
      </c>
    </row>
    <row r="154" spans="1:2" x14ac:dyDescent="0.25">
      <c r="A154" s="26" t="s">
        <v>40</v>
      </c>
      <c r="B154" s="27">
        <v>89263.193799999994</v>
      </c>
    </row>
    <row r="155" spans="1:2" x14ac:dyDescent="0.25">
      <c r="A155" s="26" t="s">
        <v>41</v>
      </c>
      <c r="B155" s="27">
        <v>97760.041800000006</v>
      </c>
    </row>
    <row r="156" spans="1:2" x14ac:dyDescent="0.25">
      <c r="A156" s="13" t="s">
        <v>11</v>
      </c>
      <c r="B156" s="27"/>
    </row>
    <row r="157" spans="1:2" x14ac:dyDescent="0.25">
      <c r="A157" s="26" t="s">
        <v>42</v>
      </c>
      <c r="B157" s="27">
        <v>94438.305099999998</v>
      </c>
    </row>
    <row r="158" spans="1:2" x14ac:dyDescent="0.25">
      <c r="A158" s="26" t="s">
        <v>43</v>
      </c>
      <c r="B158" s="27">
        <v>83539.854399999997</v>
      </c>
    </row>
    <row r="159" spans="1:2" x14ac:dyDescent="0.25">
      <c r="A159" s="26" t="s">
        <v>32</v>
      </c>
      <c r="B159" s="27">
        <v>129598.50260000001</v>
      </c>
    </row>
    <row r="160" spans="1:2" x14ac:dyDescent="0.25">
      <c r="A160" s="12" t="s">
        <v>24</v>
      </c>
      <c r="B160" s="27"/>
    </row>
    <row r="161" spans="1:2" x14ac:dyDescent="0.25">
      <c r="A161" s="13" t="s">
        <v>13</v>
      </c>
      <c r="B161" s="27"/>
    </row>
    <row r="162" spans="1:2" x14ac:dyDescent="0.25">
      <c r="A162" s="26" t="s">
        <v>33</v>
      </c>
      <c r="B162" s="27">
        <v>114685.41959999999</v>
      </c>
    </row>
    <row r="163" spans="1:2" x14ac:dyDescent="0.25">
      <c r="A163" s="26" t="s">
        <v>34</v>
      </c>
      <c r="B163" s="27">
        <v>119997.3654</v>
      </c>
    </row>
    <row r="164" spans="1:2" x14ac:dyDescent="0.25">
      <c r="A164" s="26" t="s">
        <v>35</v>
      </c>
      <c r="B164" s="27">
        <v>147640.6305</v>
      </c>
    </row>
    <row r="165" spans="1:2" x14ac:dyDescent="0.25">
      <c r="A165" s="13" t="s">
        <v>14</v>
      </c>
      <c r="B165" s="27"/>
    </row>
    <row r="166" spans="1:2" x14ac:dyDescent="0.25">
      <c r="A166" s="26" t="s">
        <v>36</v>
      </c>
      <c r="B166" s="27">
        <v>125925.73420000001</v>
      </c>
    </row>
    <row r="167" spans="1:2" x14ac:dyDescent="0.25">
      <c r="A167" s="26" t="s">
        <v>37</v>
      </c>
      <c r="B167" s="27">
        <v>110070.86</v>
      </c>
    </row>
    <row r="168" spans="1:2" x14ac:dyDescent="0.25">
      <c r="A168" s="26" t="s">
        <v>38</v>
      </c>
      <c r="B168" s="27">
        <v>118145.3573</v>
      </c>
    </row>
    <row r="169" spans="1:2" x14ac:dyDescent="0.25">
      <c r="A169" s="13" t="s">
        <v>15</v>
      </c>
      <c r="B169" s="27"/>
    </row>
    <row r="170" spans="1:2" x14ac:dyDescent="0.25">
      <c r="A170" s="26" t="s">
        <v>39</v>
      </c>
      <c r="B170" s="27">
        <v>148170.2138</v>
      </c>
    </row>
    <row r="171" spans="1:2" x14ac:dyDescent="0.25">
      <c r="A171" s="26" t="s">
        <v>40</v>
      </c>
      <c r="B171" s="27">
        <v>135708.63889999999</v>
      </c>
    </row>
    <row r="172" spans="1:2" x14ac:dyDescent="0.25">
      <c r="A172" s="26" t="s">
        <v>41</v>
      </c>
      <c r="B172" s="27">
        <v>150615.52679999999</v>
      </c>
    </row>
    <row r="173" spans="1:2" x14ac:dyDescent="0.25">
      <c r="A173" s="13" t="s">
        <v>11</v>
      </c>
      <c r="B173" s="27"/>
    </row>
    <row r="174" spans="1:2" x14ac:dyDescent="0.25">
      <c r="A174" s="26" t="s">
        <v>42</v>
      </c>
      <c r="B174" s="27">
        <v>165111.92389999999</v>
      </c>
    </row>
    <row r="175" spans="1:2" x14ac:dyDescent="0.25">
      <c r="A175" s="26" t="s">
        <v>43</v>
      </c>
      <c r="B175" s="27">
        <v>162349.52609999999</v>
      </c>
    </row>
    <row r="176" spans="1:2" x14ac:dyDescent="0.25">
      <c r="A176" s="26" t="s">
        <v>32</v>
      </c>
      <c r="B176" s="27">
        <v>200166.1826</v>
      </c>
    </row>
    <row r="177" spans="1:2" x14ac:dyDescent="0.25">
      <c r="A177" s="12" t="s">
        <v>25</v>
      </c>
      <c r="B177" s="27"/>
    </row>
    <row r="178" spans="1:2" x14ac:dyDescent="0.25">
      <c r="A178" s="13" t="s">
        <v>13</v>
      </c>
      <c r="B178" s="27"/>
    </row>
    <row r="179" spans="1:2" x14ac:dyDescent="0.25">
      <c r="A179" s="26" t="s">
        <v>33</v>
      </c>
      <c r="B179" s="27">
        <v>158074.30910000001</v>
      </c>
    </row>
    <row r="180" spans="1:2" x14ac:dyDescent="0.25">
      <c r="A180" s="26" t="s">
        <v>34</v>
      </c>
      <c r="B180" s="27">
        <v>183840.02989999999</v>
      </c>
    </row>
    <row r="181" spans="1:2" x14ac:dyDescent="0.25">
      <c r="A181" s="26" t="s">
        <v>35</v>
      </c>
      <c r="B181" s="27">
        <v>182787.47289999999</v>
      </c>
    </row>
    <row r="182" spans="1:2" x14ac:dyDescent="0.25">
      <c r="A182" s="13" t="s">
        <v>14</v>
      </c>
      <c r="B182" s="27"/>
    </row>
    <row r="183" spans="1:2" x14ac:dyDescent="0.25">
      <c r="A183" s="26" t="s">
        <v>36</v>
      </c>
      <c r="B183" s="27">
        <v>170024.64670000001</v>
      </c>
    </row>
    <row r="184" spans="1:2" x14ac:dyDescent="0.25">
      <c r="A184" s="26" t="s">
        <v>37</v>
      </c>
      <c r="B184" s="27">
        <v>170736.27009999999</v>
      </c>
    </row>
    <row r="185" spans="1:2" x14ac:dyDescent="0.25">
      <c r="A185" s="26" t="s">
        <v>38</v>
      </c>
      <c r="B185" s="27">
        <v>191081.2303</v>
      </c>
    </row>
    <row r="186" spans="1:2" x14ac:dyDescent="0.25">
      <c r="A186" s="13" t="s">
        <v>15</v>
      </c>
      <c r="B186" s="27"/>
    </row>
    <row r="187" spans="1:2" x14ac:dyDescent="0.25">
      <c r="A187" s="26" t="s">
        <v>39</v>
      </c>
      <c r="B187" s="27">
        <v>198103.2451</v>
      </c>
    </row>
    <row r="188" spans="1:2" x14ac:dyDescent="0.25">
      <c r="A188" s="26" t="s">
        <v>40</v>
      </c>
      <c r="B188" s="27">
        <v>186042.0331</v>
      </c>
    </row>
    <row r="189" spans="1:2" x14ac:dyDescent="0.25">
      <c r="A189" s="26" t="s">
        <v>41</v>
      </c>
      <c r="B189" s="27">
        <v>190883.24220000001</v>
      </c>
    </row>
    <row r="190" spans="1:2" x14ac:dyDescent="0.25">
      <c r="A190" s="13" t="s">
        <v>11</v>
      </c>
      <c r="B190" s="27"/>
    </row>
    <row r="191" spans="1:2" x14ac:dyDescent="0.25">
      <c r="A191" s="26" t="s">
        <v>42</v>
      </c>
      <c r="B191" s="27">
        <v>188330.6146</v>
      </c>
    </row>
    <row r="192" spans="1:2" x14ac:dyDescent="0.25">
      <c r="A192" s="26" t="s">
        <v>43</v>
      </c>
      <c r="B192" s="27">
        <v>202091.49340000001</v>
      </c>
    </row>
    <row r="193" spans="1:2" x14ac:dyDescent="0.25">
      <c r="A193" s="26" t="s">
        <v>32</v>
      </c>
      <c r="B193" s="27">
        <v>219566.79449999999</v>
      </c>
    </row>
    <row r="194" spans="1:2" x14ac:dyDescent="0.25">
      <c r="A194" s="12" t="s">
        <v>26</v>
      </c>
      <c r="B194" s="27"/>
    </row>
    <row r="195" spans="1:2" x14ac:dyDescent="0.25">
      <c r="A195" s="13" t="s">
        <v>13</v>
      </c>
      <c r="B195" s="27"/>
    </row>
    <row r="196" spans="1:2" x14ac:dyDescent="0.25">
      <c r="A196" s="26" t="s">
        <v>33</v>
      </c>
      <c r="B196" s="27">
        <v>178804.27280000001</v>
      </c>
    </row>
    <row r="197" spans="1:2" x14ac:dyDescent="0.25">
      <c r="A197" s="26" t="s">
        <v>34</v>
      </c>
      <c r="B197" s="27">
        <v>177217.44260000001</v>
      </c>
    </row>
    <row r="198" spans="1:2" x14ac:dyDescent="0.25">
      <c r="A198" s="26" t="s">
        <v>35</v>
      </c>
      <c r="B198" s="27">
        <v>203363.41519999999</v>
      </c>
    </row>
    <row r="199" spans="1:2" x14ac:dyDescent="0.25">
      <c r="A199" s="13" t="s">
        <v>14</v>
      </c>
      <c r="B199" s="27"/>
    </row>
    <row r="200" spans="1:2" x14ac:dyDescent="0.25">
      <c r="A200" s="26" t="s">
        <v>36</v>
      </c>
      <c r="B200" s="27">
        <v>170902.2838</v>
      </c>
    </row>
    <row r="201" spans="1:2" x14ac:dyDescent="0.25">
      <c r="A201" s="26" t="s">
        <v>37</v>
      </c>
      <c r="B201" s="27">
        <v>173234.24479999999</v>
      </c>
    </row>
    <row r="202" spans="1:2" x14ac:dyDescent="0.25">
      <c r="A202" s="26" t="s">
        <v>38</v>
      </c>
      <c r="B202" s="27">
        <v>168212.6673</v>
      </c>
    </row>
    <row r="203" spans="1:2" x14ac:dyDescent="0.25">
      <c r="A203" s="13" t="s">
        <v>15</v>
      </c>
      <c r="B203" s="27"/>
    </row>
    <row r="204" spans="1:2" x14ac:dyDescent="0.25">
      <c r="A204" s="26" t="s">
        <v>39</v>
      </c>
      <c r="B204" s="27">
        <v>172161.61799999999</v>
      </c>
    </row>
    <row r="205" spans="1:2" x14ac:dyDescent="0.25">
      <c r="A205" s="26" t="s">
        <v>40</v>
      </c>
      <c r="B205" s="27">
        <v>187229.55600000001</v>
      </c>
    </row>
    <row r="206" spans="1:2" x14ac:dyDescent="0.25">
      <c r="A206" s="26" t="s">
        <v>41</v>
      </c>
      <c r="B206" s="27">
        <v>175182.61660000001</v>
      </c>
    </row>
    <row r="207" spans="1:2" x14ac:dyDescent="0.25">
      <c r="A207" s="13" t="s">
        <v>11</v>
      </c>
      <c r="B207" s="27"/>
    </row>
    <row r="208" spans="1:2" x14ac:dyDescent="0.25">
      <c r="A208" s="26" t="s">
        <v>42</v>
      </c>
      <c r="B208" s="27">
        <v>182670.47279999999</v>
      </c>
    </row>
    <row r="209" spans="1:2" x14ac:dyDescent="0.25">
      <c r="A209" s="26" t="s">
        <v>43</v>
      </c>
      <c r="B209" s="27">
        <v>189242.67720000001</v>
      </c>
    </row>
    <row r="210" spans="1:2" x14ac:dyDescent="0.25">
      <c r="A210" s="26" t="s">
        <v>32</v>
      </c>
      <c r="B210" s="27">
        <v>191261.43460000001</v>
      </c>
    </row>
    <row r="211" spans="1:2" x14ac:dyDescent="0.25">
      <c r="A211" s="12" t="s">
        <v>27</v>
      </c>
      <c r="B211" s="27"/>
    </row>
    <row r="212" spans="1:2" x14ac:dyDescent="0.25">
      <c r="A212" s="13" t="s">
        <v>13</v>
      </c>
      <c r="B212" s="27"/>
    </row>
    <row r="213" spans="1:2" x14ac:dyDescent="0.25">
      <c r="A213" s="26" t="s">
        <v>33</v>
      </c>
      <c r="B213" s="27">
        <v>191335.82130000001</v>
      </c>
    </row>
    <row r="214" spans="1:2" x14ac:dyDescent="0.25">
      <c r="A214" s="26" t="s">
        <v>34</v>
      </c>
      <c r="B214" s="27">
        <v>168730.8701</v>
      </c>
    </row>
    <row r="215" spans="1:2" x14ac:dyDescent="0.25">
      <c r="A215" s="26" t="s">
        <v>35</v>
      </c>
      <c r="B215" s="27">
        <v>209251.649</v>
      </c>
    </row>
    <row r="216" spans="1:2" x14ac:dyDescent="0.25">
      <c r="A216" s="13" t="s">
        <v>14</v>
      </c>
      <c r="B216" s="27"/>
    </row>
    <row r="217" spans="1:2" x14ac:dyDescent="0.25">
      <c r="A217" s="26" t="s">
        <v>36</v>
      </c>
      <c r="B217" s="27">
        <v>180149.7432</v>
      </c>
    </row>
    <row r="218" spans="1:2" x14ac:dyDescent="0.25">
      <c r="A218" s="26" t="s">
        <v>37</v>
      </c>
      <c r="B218" s="27">
        <v>185638.9926</v>
      </c>
    </row>
    <row r="219" spans="1:2" x14ac:dyDescent="0.25">
      <c r="A219" s="26" t="s">
        <v>38</v>
      </c>
      <c r="B219" s="27">
        <v>172356.6416</v>
      </c>
    </row>
    <row r="220" spans="1:2" x14ac:dyDescent="0.25">
      <c r="A220" s="13" t="s">
        <v>15</v>
      </c>
      <c r="B220" s="27"/>
    </row>
    <row r="221" spans="1:2" x14ac:dyDescent="0.25">
      <c r="A221" s="26" t="s">
        <v>39</v>
      </c>
      <c r="B221" s="27">
        <v>230583.86780000001</v>
      </c>
    </row>
    <row r="222" spans="1:2" x14ac:dyDescent="0.25">
      <c r="A222" s="26" t="s">
        <v>40</v>
      </c>
      <c r="B222" s="27">
        <v>241747.32079999999</v>
      </c>
    </row>
    <row r="223" spans="1:2" x14ac:dyDescent="0.25">
      <c r="A223" s="26" t="s">
        <v>41</v>
      </c>
      <c r="B223" s="27">
        <v>221479.17540000001</v>
      </c>
    </row>
    <row r="224" spans="1:2" x14ac:dyDescent="0.25">
      <c r="A224" s="13" t="s">
        <v>11</v>
      </c>
      <c r="B224" s="27"/>
    </row>
    <row r="225" spans="1:2" x14ac:dyDescent="0.25">
      <c r="A225" s="26" t="s">
        <v>42</v>
      </c>
      <c r="B225" s="27">
        <v>240336.67670000001</v>
      </c>
    </row>
    <row r="226" spans="1:2" x14ac:dyDescent="0.25">
      <c r="A226" s="26" t="s">
        <v>43</v>
      </c>
      <c r="B226" s="27">
        <v>230144.5325</v>
      </c>
    </row>
    <row r="227" spans="1:2" x14ac:dyDescent="0.25">
      <c r="A227" s="26" t="s">
        <v>32</v>
      </c>
      <c r="B227" s="27">
        <v>247744.69870000001</v>
      </c>
    </row>
    <row r="228" spans="1:2" x14ac:dyDescent="0.25">
      <c r="A228" s="12" t="s">
        <v>28</v>
      </c>
      <c r="B228" s="27"/>
    </row>
    <row r="229" spans="1:2" x14ac:dyDescent="0.25">
      <c r="A229" s="13" t="s">
        <v>13</v>
      </c>
      <c r="B229" s="27"/>
    </row>
    <row r="230" spans="1:2" x14ac:dyDescent="0.25">
      <c r="A230" s="26" t="s">
        <v>33</v>
      </c>
      <c r="B230" s="27">
        <v>243316.94349999999</v>
      </c>
    </row>
    <row r="231" spans="1:2" x14ac:dyDescent="0.25">
      <c r="A231" s="26" t="s">
        <v>34</v>
      </c>
      <c r="B231" s="27">
        <v>221983.8333</v>
      </c>
    </row>
    <row r="232" spans="1:2" x14ac:dyDescent="0.25">
      <c r="A232" s="26" t="s">
        <v>35</v>
      </c>
      <c r="B232" s="27">
        <v>218340.1747</v>
      </c>
    </row>
    <row r="233" spans="1:2" x14ac:dyDescent="0.25">
      <c r="A233" s="13" t="s">
        <v>14</v>
      </c>
      <c r="B233" s="27"/>
    </row>
    <row r="234" spans="1:2" x14ac:dyDescent="0.25">
      <c r="A234" s="26" t="s">
        <v>36</v>
      </c>
      <c r="B234" s="27">
        <v>218891.5338</v>
      </c>
    </row>
    <row r="235" spans="1:2" x14ac:dyDescent="0.25">
      <c r="A235" s="26" t="s">
        <v>37</v>
      </c>
      <c r="B235" s="27">
        <v>229711.9247</v>
      </c>
    </row>
    <row r="236" spans="1:2" x14ac:dyDescent="0.25">
      <c r="A236" s="26" t="s">
        <v>38</v>
      </c>
      <c r="B236" s="27">
        <v>200249.81969999999</v>
      </c>
    </row>
    <row r="237" spans="1:2" x14ac:dyDescent="0.25">
      <c r="A237" s="13" t="s">
        <v>15</v>
      </c>
      <c r="B237" s="27"/>
    </row>
    <row r="238" spans="1:2" x14ac:dyDescent="0.25">
      <c r="A238" s="26" t="s">
        <v>39</v>
      </c>
      <c r="B238" s="27">
        <v>252461.66769999999</v>
      </c>
    </row>
    <row r="239" spans="1:2" x14ac:dyDescent="0.25">
      <c r="A239" s="26" t="s">
        <v>40</v>
      </c>
      <c r="B239" s="27">
        <v>205871.61199999999</v>
      </c>
    </row>
    <row r="240" spans="1:2" x14ac:dyDescent="0.25">
      <c r="A240" s="26" t="s">
        <v>41</v>
      </c>
      <c r="B240" s="27">
        <v>210281.8371</v>
      </c>
    </row>
    <row r="241" spans="1:2" x14ac:dyDescent="0.25">
      <c r="A241" s="13" t="s">
        <v>11</v>
      </c>
      <c r="B241" s="27"/>
    </row>
    <row r="242" spans="1:2" x14ac:dyDescent="0.25">
      <c r="A242" s="26" t="s">
        <v>42</v>
      </c>
      <c r="B242" s="27">
        <v>217962.0238</v>
      </c>
    </row>
    <row r="243" spans="1:2" x14ac:dyDescent="0.25">
      <c r="A243" s="26" t="s">
        <v>43</v>
      </c>
      <c r="B243" s="27">
        <v>193181.19820000001</v>
      </c>
    </row>
    <row r="244" spans="1:2" x14ac:dyDescent="0.25">
      <c r="A244" s="26" t="s">
        <v>32</v>
      </c>
      <c r="B244" s="27">
        <v>236965.7219</v>
      </c>
    </row>
    <row r="245" spans="1:2" x14ac:dyDescent="0.25">
      <c r="A245" s="12" t="s">
        <v>29</v>
      </c>
      <c r="B245" s="27"/>
    </row>
    <row r="246" spans="1:2" x14ac:dyDescent="0.25">
      <c r="A246" s="13" t="s">
        <v>13</v>
      </c>
      <c r="B246" s="27"/>
    </row>
    <row r="247" spans="1:2" x14ac:dyDescent="0.25">
      <c r="A247" s="26" t="s">
        <v>33</v>
      </c>
      <c r="B247" s="27">
        <v>243069.4431</v>
      </c>
    </row>
    <row r="248" spans="1:2" x14ac:dyDescent="0.25">
      <c r="A248" s="26" t="s">
        <v>34</v>
      </c>
      <c r="B248" s="27">
        <v>221967.8315</v>
      </c>
    </row>
    <row r="249" spans="1:2" x14ac:dyDescent="0.25">
      <c r="A249" s="26" t="s">
        <v>35</v>
      </c>
      <c r="B249" s="27">
        <v>227753.5644</v>
      </c>
    </row>
    <row r="250" spans="1:2" x14ac:dyDescent="0.25">
      <c r="A250" s="13" t="s">
        <v>14</v>
      </c>
      <c r="B250" s="27"/>
    </row>
    <row r="251" spans="1:2" x14ac:dyDescent="0.25">
      <c r="A251" s="26" t="s">
        <v>36</v>
      </c>
      <c r="B251" s="27">
        <v>206340.948</v>
      </c>
    </row>
    <row r="252" spans="1:2" x14ac:dyDescent="0.25">
      <c r="A252" s="26" t="s">
        <v>37</v>
      </c>
      <c r="B252" s="27">
        <v>190096.72409999999</v>
      </c>
    </row>
    <row r="253" spans="1:2" x14ac:dyDescent="0.25">
      <c r="A253" s="26" t="s">
        <v>38</v>
      </c>
      <c r="B253" s="27">
        <v>214569.99780000001</v>
      </c>
    </row>
    <row r="254" spans="1:2" x14ac:dyDescent="0.25">
      <c r="A254" s="13" t="s">
        <v>15</v>
      </c>
      <c r="B254" s="27"/>
    </row>
    <row r="255" spans="1:2" x14ac:dyDescent="0.25">
      <c r="A255" s="26" t="s">
        <v>39</v>
      </c>
      <c r="B255" s="27">
        <v>256312.64540000001</v>
      </c>
    </row>
    <row r="256" spans="1:2" x14ac:dyDescent="0.25">
      <c r="A256" s="26" t="s">
        <v>40</v>
      </c>
      <c r="B256" s="27">
        <v>209195.0766</v>
      </c>
    </row>
    <row r="257" spans="1:2" x14ac:dyDescent="0.25">
      <c r="A257" s="26" t="s">
        <v>41</v>
      </c>
      <c r="B257" s="27">
        <v>230066.71040000001</v>
      </c>
    </row>
    <row r="258" spans="1:2" x14ac:dyDescent="0.25">
      <c r="A258" s="13" t="s">
        <v>11</v>
      </c>
      <c r="B258" s="27"/>
    </row>
    <row r="259" spans="1:2" x14ac:dyDescent="0.25">
      <c r="A259" s="26" t="s">
        <v>42</v>
      </c>
      <c r="B259" s="27">
        <v>216364.29199999999</v>
      </c>
    </row>
    <row r="260" spans="1:2" x14ac:dyDescent="0.25">
      <c r="A260" s="26" t="s">
        <v>43</v>
      </c>
      <c r="B260" s="27">
        <v>203130.62330000001</v>
      </c>
    </row>
    <row r="261" spans="1:2" x14ac:dyDescent="0.25">
      <c r="A261" s="26" t="s">
        <v>32</v>
      </c>
      <c r="B261" s="27">
        <v>250650.52119999999</v>
      </c>
    </row>
    <row r="262" spans="1:2" x14ac:dyDescent="0.25">
      <c r="A262" s="12" t="s">
        <v>30</v>
      </c>
      <c r="B262" s="27"/>
    </row>
    <row r="263" spans="1:2" x14ac:dyDescent="0.25">
      <c r="A263" s="13" t="s">
        <v>13</v>
      </c>
      <c r="B263" s="27"/>
    </row>
    <row r="264" spans="1:2" x14ac:dyDescent="0.25">
      <c r="A264" s="26" t="s">
        <v>33</v>
      </c>
      <c r="B264" s="27">
        <v>217424.38329999999</v>
      </c>
    </row>
    <row r="265" spans="1:2" x14ac:dyDescent="0.25">
      <c r="A265" s="26" t="s">
        <v>34</v>
      </c>
      <c r="B265" s="27">
        <v>212879.87710000001</v>
      </c>
    </row>
    <row r="266" spans="1:2" x14ac:dyDescent="0.25">
      <c r="A266" s="26" t="s">
        <v>35</v>
      </c>
      <c r="B266" s="27">
        <v>216197.14129999999</v>
      </c>
    </row>
    <row r="267" spans="1:2" x14ac:dyDescent="0.25">
      <c r="A267" s="13" t="s">
        <v>14</v>
      </c>
      <c r="B267" s="27"/>
    </row>
    <row r="268" spans="1:2" x14ac:dyDescent="0.25">
      <c r="A268" s="26" t="s">
        <v>36</v>
      </c>
      <c r="B268" s="27">
        <v>233027.62349999999</v>
      </c>
    </row>
    <row r="269" spans="1:2" x14ac:dyDescent="0.25">
      <c r="A269" s="26" t="s">
        <v>37</v>
      </c>
      <c r="B269" s="27">
        <v>208752.9369</v>
      </c>
    </row>
    <row r="270" spans="1:2" x14ac:dyDescent="0.25">
      <c r="A270" s="26" t="s">
        <v>38</v>
      </c>
      <c r="B270" s="27">
        <v>216470.9374</v>
      </c>
    </row>
    <row r="271" spans="1:2" x14ac:dyDescent="0.25">
      <c r="A271" s="13" t="s">
        <v>15</v>
      </c>
      <c r="B271" s="27"/>
    </row>
    <row r="272" spans="1:2" x14ac:dyDescent="0.25">
      <c r="A272" s="26" t="s">
        <v>39</v>
      </c>
      <c r="B272" s="27">
        <v>238780.9884</v>
      </c>
    </row>
    <row r="273" spans="1:2" x14ac:dyDescent="0.25">
      <c r="A273" s="26" t="s">
        <v>40</v>
      </c>
      <c r="B273" s="27">
        <v>232626.76939999999</v>
      </c>
    </row>
    <row r="274" spans="1:2" x14ac:dyDescent="0.25">
      <c r="A274" s="26" t="s">
        <v>41</v>
      </c>
      <c r="B274" s="27">
        <v>236070.416</v>
      </c>
    </row>
    <row r="275" spans="1:2" x14ac:dyDescent="0.25">
      <c r="A275" s="13" t="s">
        <v>11</v>
      </c>
      <c r="B275" s="27"/>
    </row>
    <row r="276" spans="1:2" x14ac:dyDescent="0.25">
      <c r="A276" s="26" t="s">
        <v>42</v>
      </c>
      <c r="B276" s="27">
        <v>222306.89749999999</v>
      </c>
    </row>
    <row r="277" spans="1:2" x14ac:dyDescent="0.25">
      <c r="A277" s="26" t="s">
        <v>43</v>
      </c>
      <c r="B277" s="27">
        <v>259078.74960000001</v>
      </c>
    </row>
    <row r="278" spans="1:2" x14ac:dyDescent="0.25">
      <c r="A278" s="26" t="s">
        <v>32</v>
      </c>
      <c r="B278" s="27">
        <v>310525.79259999999</v>
      </c>
    </row>
    <row r="279" spans="1:2" x14ac:dyDescent="0.25">
      <c r="A279" s="12" t="s">
        <v>31</v>
      </c>
      <c r="B279" s="27"/>
    </row>
    <row r="280" spans="1:2" x14ac:dyDescent="0.25">
      <c r="A280" s="13" t="s">
        <v>13</v>
      </c>
      <c r="B280" s="27"/>
    </row>
    <row r="281" spans="1:2" x14ac:dyDescent="0.25">
      <c r="A281" s="26" t="s">
        <v>33</v>
      </c>
      <c r="B281" s="27">
        <v>280958.1704</v>
      </c>
    </row>
    <row r="282" spans="1:2" x14ac:dyDescent="0.25">
      <c r="A282" s="26" t="s">
        <v>34</v>
      </c>
      <c r="B282" s="27">
        <v>272819.68060000002</v>
      </c>
    </row>
    <row r="283" spans="1:2" x14ac:dyDescent="0.25">
      <c r="A283" s="26" t="s">
        <v>35</v>
      </c>
      <c r="B283" s="27">
        <v>262495.87390000001</v>
      </c>
    </row>
    <row r="284" spans="1:2" x14ac:dyDescent="0.25">
      <c r="A284" s="13" t="s">
        <v>14</v>
      </c>
      <c r="B284" s="27"/>
    </row>
    <row r="285" spans="1:2" x14ac:dyDescent="0.25">
      <c r="A285" s="26" t="s">
        <v>36</v>
      </c>
      <c r="B285" s="27">
        <v>260505.07550000001</v>
      </c>
    </row>
    <row r="286" spans="1:2" x14ac:dyDescent="0.25">
      <c r="A286" s="26" t="s">
        <v>37</v>
      </c>
      <c r="B286" s="27">
        <v>236756.89350000001</v>
      </c>
    </row>
    <row r="287" spans="1:2" x14ac:dyDescent="0.25">
      <c r="A287" s="26" t="s">
        <v>38</v>
      </c>
      <c r="B287" s="27">
        <v>282154.71870000003</v>
      </c>
    </row>
    <row r="288" spans="1:2" x14ac:dyDescent="0.25">
      <c r="A288" s="13" t="s">
        <v>15</v>
      </c>
      <c r="B288" s="27"/>
    </row>
    <row r="289" spans="1:2" x14ac:dyDescent="0.25">
      <c r="A289" s="26" t="s">
        <v>39</v>
      </c>
      <c r="B289" s="27">
        <v>258876.42370000001</v>
      </c>
    </row>
    <row r="290" spans="1:2" x14ac:dyDescent="0.25">
      <c r="A290" s="26" t="s">
        <v>40</v>
      </c>
      <c r="B290" s="27">
        <v>285597.77389999997</v>
      </c>
    </row>
    <row r="291" spans="1:2" x14ac:dyDescent="0.25">
      <c r="A291" s="26" t="s">
        <v>41</v>
      </c>
      <c r="B291" s="27">
        <v>328782.755</v>
      </c>
    </row>
    <row r="292" spans="1:2" x14ac:dyDescent="0.25">
      <c r="A292" s="13" t="s">
        <v>11</v>
      </c>
      <c r="B292" s="27"/>
    </row>
    <row r="293" spans="1:2" x14ac:dyDescent="0.25">
      <c r="A293" s="26" t="s">
        <v>42</v>
      </c>
      <c r="B293" s="27">
        <v>302835.25799999997</v>
      </c>
    </row>
    <row r="294" spans="1:2" x14ac:dyDescent="0.25">
      <c r="A294" s="26" t="s">
        <v>43</v>
      </c>
      <c r="B294" s="27">
        <v>356198.5883</v>
      </c>
    </row>
    <row r="295" spans="1:2" x14ac:dyDescent="0.25">
      <c r="A295" s="12" t="s">
        <v>9</v>
      </c>
      <c r="B295" s="27">
        <v>25133036.389780004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E22"/>
  <sheetViews>
    <sheetView topLeftCell="A22" workbookViewId="0">
      <selection activeCell="E44" sqref="E44"/>
    </sheetView>
  </sheetViews>
  <sheetFormatPr defaultRowHeight="13.2" x14ac:dyDescent="0.25"/>
  <cols>
    <col min="1" max="1" width="19.77734375" bestFit="1" customWidth="1"/>
    <col min="2" max="2" width="25.5546875" customWidth="1"/>
    <col min="3" max="4" width="34.33203125" customWidth="1"/>
    <col min="5" max="5" width="35.33203125" customWidth="1"/>
  </cols>
  <sheetData>
    <row r="3" spans="1:5" x14ac:dyDescent="0.25">
      <c r="A3" s="11" t="s">
        <v>8</v>
      </c>
      <c r="B3" t="s">
        <v>70</v>
      </c>
      <c r="C3" t="s">
        <v>72</v>
      </c>
      <c r="D3" t="s">
        <v>71</v>
      </c>
      <c r="E3" t="s">
        <v>73</v>
      </c>
    </row>
    <row r="4" spans="1:5" x14ac:dyDescent="0.25">
      <c r="A4" s="12" t="s">
        <v>10</v>
      </c>
      <c r="B4" s="44">
        <v>8.2233999999999998</v>
      </c>
      <c r="C4" s="44">
        <v>10.771599999999999</v>
      </c>
      <c r="D4" s="44">
        <v>8.4792000000000005</v>
      </c>
      <c r="E4" s="44">
        <v>9.8265999999999991</v>
      </c>
    </row>
    <row r="5" spans="1:5" x14ac:dyDescent="0.25">
      <c r="A5" s="12" t="s">
        <v>12</v>
      </c>
      <c r="B5" s="44">
        <v>6.5105416666666676</v>
      </c>
      <c r="C5" s="44">
        <v>9.6727333333333316</v>
      </c>
      <c r="D5" s="44">
        <v>8.0946833333333341</v>
      </c>
      <c r="E5" s="44">
        <v>9.0178166666666684</v>
      </c>
    </row>
    <row r="6" spans="1:5" x14ac:dyDescent="0.25">
      <c r="A6" s="12" t="s">
        <v>16</v>
      </c>
      <c r="B6" s="44">
        <v>6.6231583333333335</v>
      </c>
      <c r="C6" s="44">
        <v>9.5202083333333345</v>
      </c>
      <c r="D6" s="44">
        <v>6.8888166666666661</v>
      </c>
      <c r="E6" s="44">
        <v>9.0977499999999996</v>
      </c>
    </row>
    <row r="7" spans="1:5" x14ac:dyDescent="0.25">
      <c r="A7" s="12" t="s">
        <v>17</v>
      </c>
      <c r="B7" s="44">
        <v>8.0467333333333322</v>
      </c>
      <c r="C7" s="44">
        <v>11.809116666666666</v>
      </c>
      <c r="D7" s="44">
        <v>13.282683333333337</v>
      </c>
      <c r="E7" s="44">
        <v>10.047991666666666</v>
      </c>
    </row>
    <row r="8" spans="1:5" x14ac:dyDescent="0.25">
      <c r="A8" s="12" t="s">
        <v>18</v>
      </c>
      <c r="B8" s="44">
        <v>11.345716666666668</v>
      </c>
      <c r="C8" s="44">
        <v>14.312033333333334</v>
      </c>
      <c r="D8" s="44">
        <v>14.87795</v>
      </c>
      <c r="E8" s="44">
        <v>13.380416666666667</v>
      </c>
    </row>
    <row r="9" spans="1:5" x14ac:dyDescent="0.25">
      <c r="A9" s="12" t="s">
        <v>19</v>
      </c>
      <c r="B9" s="44">
        <v>7.2535999999999987</v>
      </c>
      <c r="C9" s="44">
        <v>11.739500000000001</v>
      </c>
      <c r="D9" s="44">
        <v>9.4392833333333339</v>
      </c>
      <c r="E9" s="44">
        <v>12.222458333333334</v>
      </c>
    </row>
    <row r="10" spans="1:5" x14ac:dyDescent="0.25">
      <c r="A10" s="12" t="s">
        <v>20</v>
      </c>
      <c r="B10" s="44">
        <v>5.4333999999999998</v>
      </c>
      <c r="C10" s="44">
        <v>9.0235000000000003</v>
      </c>
      <c r="D10" s="44">
        <v>8.9681916666666659</v>
      </c>
      <c r="E10" s="44">
        <v>9.4586666666666659</v>
      </c>
    </row>
    <row r="11" spans="1:5" x14ac:dyDescent="0.25">
      <c r="A11" s="12" t="s">
        <v>21</v>
      </c>
      <c r="B11" s="44">
        <v>9.9449916666666649</v>
      </c>
      <c r="C11" s="44">
        <v>12.136366666666667</v>
      </c>
      <c r="D11" s="44">
        <v>13.727249999999998</v>
      </c>
      <c r="E11" s="44">
        <v>11.576633333333334</v>
      </c>
    </row>
    <row r="12" spans="1:5" x14ac:dyDescent="0.25">
      <c r="A12" s="12" t="s">
        <v>22</v>
      </c>
      <c r="B12" s="44">
        <v>6.5512583333333323</v>
      </c>
      <c r="C12" s="44">
        <v>12.739941666666665</v>
      </c>
      <c r="D12" s="44">
        <v>12.315166666666665</v>
      </c>
      <c r="E12" s="44">
        <v>12.416758333333332</v>
      </c>
    </row>
    <row r="13" spans="1:5" x14ac:dyDescent="0.25">
      <c r="A13" s="12" t="s">
        <v>23</v>
      </c>
      <c r="B13" s="44">
        <v>8.5019749999999998</v>
      </c>
      <c r="C13" s="44">
        <v>13.538916666666667</v>
      </c>
      <c r="D13" s="44">
        <v>14.469424999999999</v>
      </c>
      <c r="E13" s="44">
        <v>11.229791666666666</v>
      </c>
    </row>
    <row r="14" spans="1:5" x14ac:dyDescent="0.25">
      <c r="A14" s="12" t="s">
        <v>24</v>
      </c>
      <c r="B14" s="44">
        <v>11.197475000000003</v>
      </c>
      <c r="C14" s="44">
        <v>14.047066666666668</v>
      </c>
      <c r="D14" s="44">
        <v>15.002383333333333</v>
      </c>
      <c r="E14" s="44">
        <v>10.5167</v>
      </c>
    </row>
    <row r="15" spans="1:5" x14ac:dyDescent="0.25">
      <c r="A15" s="12" t="s">
        <v>25</v>
      </c>
      <c r="B15" s="44">
        <v>10.414950000000001</v>
      </c>
      <c r="C15" s="44">
        <v>12.374483333333332</v>
      </c>
      <c r="D15" s="44">
        <v>13.257600000000002</v>
      </c>
      <c r="E15" s="44">
        <v>9.7545166666666674</v>
      </c>
    </row>
    <row r="16" spans="1:5" x14ac:dyDescent="0.25">
      <c r="A16" s="12" t="s">
        <v>26</v>
      </c>
      <c r="B16" s="44">
        <v>8.3332750000000004</v>
      </c>
      <c r="C16" s="44">
        <v>10.284250000000002</v>
      </c>
      <c r="D16" s="44">
        <v>11.005841666666667</v>
      </c>
      <c r="E16" s="44">
        <v>8.395483333333333</v>
      </c>
    </row>
    <row r="17" spans="1:5" x14ac:dyDescent="0.25">
      <c r="A17" s="12" t="s">
        <v>27</v>
      </c>
      <c r="B17" s="44">
        <v>11.688316666666667</v>
      </c>
      <c r="C17" s="44">
        <v>9.2766083333333338</v>
      </c>
      <c r="D17" s="44">
        <v>12.243941666666665</v>
      </c>
      <c r="E17" s="44">
        <v>8.0127666666666659</v>
      </c>
    </row>
    <row r="18" spans="1:5" x14ac:dyDescent="0.25">
      <c r="A18" s="12" t="s">
        <v>28</v>
      </c>
      <c r="B18" s="44">
        <v>12.236191666666665</v>
      </c>
      <c r="C18" s="44">
        <v>11.124116666666666</v>
      </c>
      <c r="D18" s="44">
        <v>11.607766666666665</v>
      </c>
      <c r="E18" s="44">
        <v>9.9484833333333338</v>
      </c>
    </row>
    <row r="19" spans="1:5" x14ac:dyDescent="0.25">
      <c r="A19" s="12" t="s">
        <v>29</v>
      </c>
      <c r="B19" s="44">
        <v>5.1587249999999996</v>
      </c>
      <c r="C19" s="44">
        <v>7.4188916666666671</v>
      </c>
      <c r="D19" s="44">
        <v>7.4502166666666669</v>
      </c>
      <c r="E19" s="44">
        <v>7.1192833333333327</v>
      </c>
    </row>
    <row r="20" spans="1:5" x14ac:dyDescent="0.25">
      <c r="A20" s="12" t="s">
        <v>30</v>
      </c>
      <c r="B20" s="44">
        <v>4.0987499999999999</v>
      </c>
      <c r="C20" s="44">
        <v>5.2105333333333332</v>
      </c>
      <c r="D20" s="44">
        <v>5.5575750000000008</v>
      </c>
      <c r="E20" s="44">
        <v>5.1463833333333335</v>
      </c>
    </row>
    <row r="21" spans="1:5" x14ac:dyDescent="0.25">
      <c r="A21" s="12" t="s">
        <v>31</v>
      </c>
      <c r="B21" s="44">
        <v>6.7736545454545452</v>
      </c>
      <c r="C21" s="44">
        <v>6.7755181818181818</v>
      </c>
      <c r="D21" s="44">
        <v>8.5041999999999991</v>
      </c>
      <c r="E21" s="44">
        <v>7.4143090909090912</v>
      </c>
    </row>
    <row r="22" spans="1:5" x14ac:dyDescent="0.25">
      <c r="A22" s="12" t="s">
        <v>9</v>
      </c>
      <c r="B22" s="44">
        <v>8.2490308823529368</v>
      </c>
      <c r="C22" s="44">
        <v>10.666870098039215</v>
      </c>
      <c r="D22" s="44">
        <v>10.98181715686275</v>
      </c>
      <c r="E22" s="44">
        <v>9.7033666666666676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F14"/>
  <sheetViews>
    <sheetView workbookViewId="0">
      <selection activeCell="I20" sqref="I20"/>
    </sheetView>
  </sheetViews>
  <sheetFormatPr defaultRowHeight="13.2" x14ac:dyDescent="0.25"/>
  <cols>
    <col min="1" max="1" width="18.21875" customWidth="1"/>
    <col min="2" max="2" width="24.21875" customWidth="1"/>
    <col min="3" max="4" width="32.6640625" bestFit="1" customWidth="1"/>
    <col min="5" max="5" width="33.77734375" bestFit="1" customWidth="1"/>
    <col min="6" max="6" width="27.44140625" bestFit="1" customWidth="1"/>
  </cols>
  <sheetData>
    <row r="3" spans="1:6" x14ac:dyDescent="0.25">
      <c r="A3" s="28" t="s">
        <v>8</v>
      </c>
      <c r="B3" s="37" t="s">
        <v>70</v>
      </c>
      <c r="C3" s="45" t="s">
        <v>71</v>
      </c>
      <c r="D3" s="45" t="s">
        <v>72</v>
      </c>
      <c r="E3" s="45" t="s">
        <v>73</v>
      </c>
      <c r="F3" s="38" t="s">
        <v>78</v>
      </c>
    </row>
    <row r="4" spans="1:6" x14ac:dyDescent="0.25">
      <c r="A4" s="29" t="s">
        <v>13</v>
      </c>
      <c r="B4" s="46">
        <v>8.2584666666666688</v>
      </c>
      <c r="C4" s="48">
        <v>11.101545098039212</v>
      </c>
      <c r="D4" s="48">
        <v>11.065078431372546</v>
      </c>
      <c r="E4" s="48">
        <v>9.9434529411764689</v>
      </c>
      <c r="F4" s="39">
        <v>7.0022952407254451</v>
      </c>
    </row>
    <row r="5" spans="1:6" x14ac:dyDescent="0.25">
      <c r="A5" s="29" t="s">
        <v>14</v>
      </c>
      <c r="B5" s="46">
        <v>8.0194254901960775</v>
      </c>
      <c r="C5" s="48">
        <v>10.727964705882352</v>
      </c>
      <c r="D5" s="48">
        <v>10.456317647058823</v>
      </c>
      <c r="E5" s="48">
        <v>9.9135509803921558</v>
      </c>
      <c r="F5" s="39">
        <v>6.7741206838875909</v>
      </c>
    </row>
    <row r="6" spans="1:6" x14ac:dyDescent="0.25">
      <c r="A6" s="29" t="s">
        <v>15</v>
      </c>
      <c r="B6" s="46">
        <v>7.9404862745098033</v>
      </c>
      <c r="C6" s="48">
        <v>10.525770588235291</v>
      </c>
      <c r="D6" s="48">
        <v>10.444588235294118</v>
      </c>
      <c r="E6" s="48">
        <v>9.5129588235294111</v>
      </c>
      <c r="F6" s="39">
        <v>6.8060016596149628</v>
      </c>
    </row>
    <row r="7" spans="1:6" x14ac:dyDescent="0.25">
      <c r="A7" s="29" t="s">
        <v>11</v>
      </c>
      <c r="B7" s="46">
        <v>8.7777450980392135</v>
      </c>
      <c r="C7" s="48">
        <v>11.571988235294116</v>
      </c>
      <c r="D7" s="48">
        <v>10.70149607843137</v>
      </c>
      <c r="E7" s="48">
        <v>9.4435039215686309</v>
      </c>
      <c r="F7" s="39">
        <v>8.1347099772514273</v>
      </c>
    </row>
    <row r="8" spans="1:6" x14ac:dyDescent="0.25">
      <c r="A8" s="30" t="s">
        <v>9</v>
      </c>
      <c r="B8" s="47">
        <v>8.2490308823529421</v>
      </c>
      <c r="C8" s="49">
        <v>10.981817156862741</v>
      </c>
      <c r="D8" s="49">
        <v>10.666870098039212</v>
      </c>
      <c r="E8" s="49">
        <v>9.7033666666666676</v>
      </c>
      <c r="F8" s="40">
        <v>7.1792818903698574</v>
      </c>
    </row>
    <row r="10" spans="1:6" x14ac:dyDescent="0.25">
      <c r="A10" s="41"/>
      <c r="B10" s="41" t="s">
        <v>61</v>
      </c>
      <c r="C10" s="41" t="s">
        <v>1</v>
      </c>
      <c r="D10" s="42" t="s">
        <v>74</v>
      </c>
      <c r="E10" s="41" t="s">
        <v>62</v>
      </c>
      <c r="F10" s="41" t="s">
        <v>75</v>
      </c>
    </row>
    <row r="11" spans="1:6" x14ac:dyDescent="0.25">
      <c r="A11" s="34" t="s">
        <v>45</v>
      </c>
      <c r="B11" s="43">
        <f>8.26/8.25</f>
        <v>1.0012121212121212</v>
      </c>
      <c r="C11" s="43">
        <f>GETPIVOTDATA("Середнє з Ставка до 1 місяця",$A$3,"Квартали",1)/GETPIVOTDATA("Середнє з Ставка до 1 місяця",$A$3)</f>
        <v>0.97534758317794723</v>
      </c>
      <c r="D11" s="43">
        <f>GETPIVOTDATA("Середнє з Ставка від 1 до 3 місяців",$A$3,"Квартали",1)/GETPIVOTDATA("Середнє з Ставка від 1 до 3 місяців",$A$3)</f>
        <v>1.0109023797670544</v>
      </c>
      <c r="E11" s="50">
        <f>GETPIVOTDATA("Середнє з Ставка від 3 до 6 місяців",$A$3,"Квартали",1)/GETPIVOTDATA("Середнє з Ставка від 3 до 6 місяців",$A$3)</f>
        <v>1.0373313192786076</v>
      </c>
      <c r="F11" s="50">
        <f>GETPIVOTDATA("Середнє з Ставка від 6 до 12 місяців",$A$3,"Квартали",1)/GETPIVOTDATA("Середнє з Ставка від 6 до 12 місяців",$A$3)</f>
        <v>1.0247425746915815</v>
      </c>
    </row>
    <row r="12" spans="1:6" x14ac:dyDescent="0.25">
      <c r="A12" s="34" t="s">
        <v>46</v>
      </c>
      <c r="B12" s="43">
        <f>8.02/8.25</f>
        <v>0.97212121212121205</v>
      </c>
      <c r="C12" s="43">
        <f>GETPIVOTDATA("Середнє з Ставка до 1 місяця",$A$3,"Квартали",2)/GETPIVOTDATA("Середнє з Ставка до 1 місяця",$A$3)</f>
        <v>0.94356521826706075</v>
      </c>
      <c r="D12" s="43">
        <f>GETPIVOTDATA("Середнє з Ставка від 1 до 3 місяців",$A$3,"Квартали",2)/GETPIVOTDATA("Середнє з Ставка від 1 до 3 місяців",$A$3)</f>
        <v>0.97688429452481351</v>
      </c>
      <c r="E12" s="50">
        <f>GETPIVOTDATA("Середнє з Ставка від 3 до 6 місяців",$A$3,"Квартали",2)/GETPIVOTDATA("Середнє з Ставка від 3 до 6 місяців",$A$3)</f>
        <v>0.98026108417509528</v>
      </c>
      <c r="F12" s="50">
        <f>GETPIVOTDATA("Середнє з Ставка від 6 до 12 місяців",$A$3,"Квартали",2)/GETPIVOTDATA("Середнє з Ставка від 6 до 12 місяців",$A$3)</f>
        <v>1.0216609678831905</v>
      </c>
    </row>
    <row r="13" spans="1:6" x14ac:dyDescent="0.25">
      <c r="A13" s="34" t="s">
        <v>47</v>
      </c>
      <c r="B13" s="43">
        <f>7.94/8.25</f>
        <v>0.96242424242424252</v>
      </c>
      <c r="C13" s="43">
        <f>GETPIVOTDATA("Середнє з Ставка до 1 місяця",$A$3,"Квартали",3)/GETPIVOTDATA("Середнє з Ставка до 1 місяця",$A$3)</f>
        <v>0.94800590971980014</v>
      </c>
      <c r="D13" s="43">
        <f>GETPIVOTDATA("Середнє з Ставка від 1 до 3 місяців",$A$3,"Квартали",3)/GETPIVOTDATA("Середнє з Ставка від 1 до 3 місяців",$A$3)</f>
        <v>0.95847257679550257</v>
      </c>
      <c r="E13" s="50">
        <f>GETPIVOTDATA("Середнє з Ставка від 3 до 6 місяців",$A$3,"Квартали",3)/GETPIVOTDATA("Середнє з Ставка від 3 до 6 місяців",$A$3)</f>
        <v>0.97916147279360288</v>
      </c>
      <c r="F13" s="50">
        <f>GETPIVOTDATA("Середнє з Ставка від 6 до 12 місяців",$A$3,"Квартали",3)/GETPIVOTDATA("Середнє з Ставка від 6 до 12 місяців",$A$3)</f>
        <v>0.98037713613447675</v>
      </c>
    </row>
    <row r="14" spans="1:6" x14ac:dyDescent="0.25">
      <c r="A14" s="34" t="s">
        <v>48</v>
      </c>
      <c r="B14" s="43">
        <f>8.78/8.25</f>
        <v>1.0642424242424242</v>
      </c>
      <c r="C14" s="43">
        <f>GETPIVOTDATA("Середнє з Ставка до 1 місяця",$A$3,"Квартали",4)/GETPIVOTDATA("Середнє з Ставка до 1 місяця",$A$3)</f>
        <v>1.1330812888351913</v>
      </c>
      <c r="D14" s="43">
        <f>GETPIVOTDATA("Середнє з Ставка від 1 до 3 місяців",$A$3,"Квартали",4)/GETPIVOTDATA("Середнє з Ставка від 1 до 3 місяців",$A$3)</f>
        <v>1.0537407489126303</v>
      </c>
      <c r="E14" s="50">
        <f>GETPIVOTDATA("Середнє з Ставка від 3 до 6 місяців",$A$3,"Квартали",4)/GETPIVOTDATA("Середнє з Ставка від 3 до 6 місяців",$A$3)</f>
        <v>1.0032461237526951</v>
      </c>
      <c r="F14" s="50">
        <f>GETPIVOTDATA("Середнє з Ставка від 6 до 12 місяців",$A$3,"Квартали",4)/GETPIVOTDATA("Середнє з Ставка від 6 до 12 місяців",$A$3)</f>
        <v>0.97321932129075095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F30"/>
  <sheetViews>
    <sheetView tabSelected="1" workbookViewId="0">
      <selection activeCell="C31" sqref="C31"/>
    </sheetView>
  </sheetViews>
  <sheetFormatPr defaultRowHeight="13.2" x14ac:dyDescent="0.25"/>
  <cols>
    <col min="1" max="1" width="18.21875" customWidth="1"/>
    <col min="2" max="2" width="24.21875" bestFit="1" customWidth="1"/>
    <col min="3" max="4" width="32.6640625" bestFit="1" customWidth="1"/>
    <col min="5" max="5" width="33.77734375" bestFit="1" customWidth="1"/>
    <col min="6" max="6" width="27.44140625" bestFit="1" customWidth="1"/>
  </cols>
  <sheetData>
    <row r="3" spans="1:6" x14ac:dyDescent="0.25">
      <c r="A3" s="28" t="s">
        <v>8</v>
      </c>
      <c r="B3" s="37" t="s">
        <v>70</v>
      </c>
      <c r="C3" s="45" t="s">
        <v>71</v>
      </c>
      <c r="D3" s="45" t="s">
        <v>72</v>
      </c>
      <c r="E3" s="45" t="s">
        <v>73</v>
      </c>
      <c r="F3" s="38" t="s">
        <v>78</v>
      </c>
    </row>
    <row r="4" spans="1:6" x14ac:dyDescent="0.25">
      <c r="A4" s="31" t="s">
        <v>33</v>
      </c>
      <c r="B4" s="46">
        <v>8.0036411764705893</v>
      </c>
      <c r="C4" s="48">
        <v>11.284976470588234</v>
      </c>
      <c r="D4" s="48">
        <v>11.204052941176471</v>
      </c>
      <c r="E4" s="48">
        <v>10.220888235294115</v>
      </c>
      <c r="F4" s="39">
        <v>6.370587501649152</v>
      </c>
    </row>
    <row r="5" spans="1:6" x14ac:dyDescent="0.25">
      <c r="A5" s="32" t="s">
        <v>34</v>
      </c>
      <c r="B5" s="52">
        <v>8.3901470588235281</v>
      </c>
      <c r="C5" s="53">
        <v>11.107264705882352</v>
      </c>
      <c r="D5" s="53">
        <v>11.011258823529412</v>
      </c>
      <c r="E5" s="53">
        <v>9.7242823529411773</v>
      </c>
      <c r="F5" s="54">
        <v>7.3792351762965254</v>
      </c>
    </row>
    <row r="6" spans="1:6" x14ac:dyDescent="0.25">
      <c r="A6" s="32" t="s">
        <v>35</v>
      </c>
      <c r="B6" s="52">
        <v>8.3816117647058821</v>
      </c>
      <c r="C6" s="53">
        <v>10.912394117647057</v>
      </c>
      <c r="D6" s="53">
        <v>10.979923529411765</v>
      </c>
      <c r="E6" s="53">
        <v>9.8851882352941178</v>
      </c>
      <c r="F6" s="54">
        <v>7.2570630442306578</v>
      </c>
    </row>
    <row r="7" spans="1:6" x14ac:dyDescent="0.25">
      <c r="A7" s="32" t="s">
        <v>36</v>
      </c>
      <c r="B7" s="52">
        <v>8.1103352941176468</v>
      </c>
      <c r="C7" s="53">
        <v>10.487811764705882</v>
      </c>
      <c r="D7" s="53">
        <v>10.341847058823527</v>
      </c>
      <c r="E7" s="53">
        <v>10.109035294117646</v>
      </c>
      <c r="F7" s="54">
        <v>6.7596965334125247</v>
      </c>
    </row>
    <row r="8" spans="1:6" x14ac:dyDescent="0.25">
      <c r="A8" s="32" t="s">
        <v>37</v>
      </c>
      <c r="B8" s="52">
        <v>7.8947470588235298</v>
      </c>
      <c r="C8" s="53">
        <v>10.738700000000001</v>
      </c>
      <c r="D8" s="53">
        <v>10.563176470588235</v>
      </c>
      <c r="E8" s="53">
        <v>9.4610823529411761</v>
      </c>
      <c r="F8" s="54">
        <v>6.6633289306774541</v>
      </c>
    </row>
    <row r="9" spans="1:6" x14ac:dyDescent="0.25">
      <c r="A9" s="32" t="s">
        <v>38</v>
      </c>
      <c r="B9" s="52">
        <v>8.0531941176470596</v>
      </c>
      <c r="C9" s="53">
        <v>10.957382352941178</v>
      </c>
      <c r="D9" s="53">
        <v>10.463929411764703</v>
      </c>
      <c r="E9" s="53">
        <v>10.170535294117647</v>
      </c>
      <c r="F9" s="54">
        <v>6.8993365875727886</v>
      </c>
    </row>
    <row r="10" spans="1:6" x14ac:dyDescent="0.25">
      <c r="A10" s="32" t="s">
        <v>39</v>
      </c>
      <c r="B10" s="52">
        <v>7.895958823529412</v>
      </c>
      <c r="C10" s="53">
        <v>10.4994</v>
      </c>
      <c r="D10" s="53">
        <v>10.515317647058826</v>
      </c>
      <c r="E10" s="53">
        <v>9.6671058823529421</v>
      </c>
      <c r="F10" s="54">
        <v>6.692387737123946</v>
      </c>
    </row>
    <row r="11" spans="1:6" x14ac:dyDescent="0.25">
      <c r="A11" s="32" t="s">
        <v>40</v>
      </c>
      <c r="B11" s="52">
        <v>7.8458352941176468</v>
      </c>
      <c r="C11" s="53">
        <v>10.633517647058822</v>
      </c>
      <c r="D11" s="53">
        <v>10.598817647058823</v>
      </c>
      <c r="E11" s="53">
        <v>9.3354235294117647</v>
      </c>
      <c r="F11" s="54">
        <v>6.7314604427451963</v>
      </c>
    </row>
    <row r="12" spans="1:6" x14ac:dyDescent="0.25">
      <c r="A12" s="32" t="s">
        <v>41</v>
      </c>
      <c r="B12" s="52">
        <v>8.0796647058823527</v>
      </c>
      <c r="C12" s="53">
        <v>10.444394117647061</v>
      </c>
      <c r="D12" s="53">
        <v>10.219629411764707</v>
      </c>
      <c r="E12" s="53">
        <v>9.5363470588235302</v>
      </c>
      <c r="F12" s="54">
        <v>6.9941567989757418</v>
      </c>
    </row>
    <row r="13" spans="1:6" x14ac:dyDescent="0.25">
      <c r="A13" s="32" t="s">
        <v>42</v>
      </c>
      <c r="B13" s="52">
        <v>8.6716117647058812</v>
      </c>
      <c r="C13" s="53">
        <v>11.126388235294117</v>
      </c>
      <c r="D13" s="53">
        <v>10.953688235294118</v>
      </c>
      <c r="E13" s="53">
        <v>9.6722941176470609</v>
      </c>
      <c r="F13" s="54">
        <v>8.000034670503597</v>
      </c>
    </row>
    <row r="14" spans="1:6" x14ac:dyDescent="0.25">
      <c r="A14" s="32" t="s">
        <v>43</v>
      </c>
      <c r="B14" s="52">
        <v>8.9884411764705892</v>
      </c>
      <c r="C14" s="53">
        <v>11.554129411764706</v>
      </c>
      <c r="D14" s="53">
        <v>10.42884705882353</v>
      </c>
      <c r="E14" s="53">
        <v>9.5133176470588268</v>
      </c>
      <c r="F14" s="54">
        <v>8.5204287197695781</v>
      </c>
    </row>
    <row r="15" spans="1:6" x14ac:dyDescent="0.25">
      <c r="A15" s="32" t="s">
        <v>32</v>
      </c>
      <c r="B15" s="52">
        <v>8.6731823529411756</v>
      </c>
      <c r="C15" s="53">
        <v>12.03544705882353</v>
      </c>
      <c r="D15" s="53">
        <v>10.72195294117647</v>
      </c>
      <c r="E15" s="53">
        <v>9.1449000000000016</v>
      </c>
      <c r="F15" s="54">
        <v>7.8836665414811113</v>
      </c>
    </row>
    <row r="16" spans="1:6" x14ac:dyDescent="0.25">
      <c r="A16" s="33" t="s">
        <v>9</v>
      </c>
      <c r="B16" s="47">
        <v>8.2490308823529421</v>
      </c>
      <c r="C16" s="49">
        <v>10.98181715686275</v>
      </c>
      <c r="D16" s="49">
        <v>10.666870098039215</v>
      </c>
      <c r="E16" s="49">
        <v>9.7033666666666658</v>
      </c>
      <c r="F16" s="40">
        <v>7.1792818903698583</v>
      </c>
    </row>
    <row r="17" spans="1:6" x14ac:dyDescent="0.25">
      <c r="A17" s="51"/>
    </row>
    <row r="18" spans="1:6" x14ac:dyDescent="0.25">
      <c r="A18" s="41"/>
      <c r="B18" s="41" t="s">
        <v>61</v>
      </c>
      <c r="C18" s="41" t="s">
        <v>1</v>
      </c>
      <c r="D18" s="41" t="s">
        <v>74</v>
      </c>
      <c r="E18" s="41" t="s">
        <v>62</v>
      </c>
      <c r="F18" s="41" t="s">
        <v>75</v>
      </c>
    </row>
    <row r="19" spans="1:6" x14ac:dyDescent="0.25">
      <c r="A19" s="35" t="s">
        <v>49</v>
      </c>
      <c r="B19" s="36">
        <f>8/8.25</f>
        <v>0.96969696969696972</v>
      </c>
      <c r="C19" s="36">
        <f>GETPIVOTDATA("Середнє з Ставка до 1 місяця",$A$3,"Дата",1)/GETPIVOTDATA("Середнє з Ставка до 1 місяця",$A$3)</f>
        <v>0.88735720353793712</v>
      </c>
      <c r="D19" s="50">
        <f>GETPIVOTDATA("Середнє з Ставка від 1 до 3 місяців",$A$3,"Дата",1)/GETPIVOTDATA("Середнє з Ставка від 1 до 3 місяців",$A$3)</f>
        <v>1.0276055692236721</v>
      </c>
      <c r="E19" s="50">
        <f>GETPIVOTDATA("Середнє з Ставка від 3 до 6 місяців",$A$3,"Дата",1)/GETPIVOTDATA("Середнє з Ставка від 3 до 6 місяців",$A$3)</f>
        <v>1.0503599310950642</v>
      </c>
      <c r="F19" s="50">
        <f>GETPIVOTDATA("Середнє з Ставка від 6 до 12 місяців",$A$3,"Дата",1)/GETPIVOTDATA("Середнє з Ставка від 6 до 12 місяців",$A$3)</f>
        <v>1.0533342278412767</v>
      </c>
    </row>
    <row r="20" spans="1:6" x14ac:dyDescent="0.25">
      <c r="A20" s="35" t="s">
        <v>50</v>
      </c>
      <c r="B20" s="36">
        <f>8.39/8.25</f>
        <v>1.0169696969696971</v>
      </c>
      <c r="C20" s="36">
        <f>GETPIVOTDATA("Середнє з Ставка до 1 місяця",$A$3,"Дата",2)/GETPIVOTDATA("Середнє з Ставка до 1 місяця",$A$3)</f>
        <v>1.0278514326335173</v>
      </c>
      <c r="D20" s="50">
        <f>GETPIVOTDATA("Середнє з Ставка від 1 до 3 місяців",$A$3,"Дата",2)/GETPIVOTDATA("Середнє з Ставка від 1 до 3 місяців",$A$3)</f>
        <v>1.0114232050331677</v>
      </c>
      <c r="E20" s="50">
        <f>GETPIVOTDATA("Середнє з Ставка від 3 до 6 місяців",$A$3,"Дата",2)/GETPIVOTDATA("Середнє з Ставка від 3 до 6 місяців",$A$3)</f>
        <v>1.0322858272693789</v>
      </c>
      <c r="F20" s="50">
        <f>GETPIVOTDATA("Середнє з Ставка від 6 до 12 місяців",$A$3,"Дата",2)/GETPIVOTDATA("Середнє з Ставка від 6 до 12 місяців",$A$3)</f>
        <v>1.0021555081852531</v>
      </c>
    </row>
    <row r="21" spans="1:6" x14ac:dyDescent="0.25">
      <c r="A21" s="35" t="s">
        <v>51</v>
      </c>
      <c r="B21" s="36">
        <f>8.38/8.25</f>
        <v>1.0157575757575759</v>
      </c>
      <c r="C21" s="36">
        <f>GETPIVOTDATA("Середнє з Ставка до 1 місяця",$A$3,"Дата",3)/GETPIVOTDATA("Середнє з Ставка до 1 місяця",$A$3)</f>
        <v>1.010834113362387</v>
      </c>
      <c r="D21" s="50">
        <f>GETPIVOTDATA("Середнє з Ставка від 1 до 3 місяців",$A$3,"Дата",3)/GETPIVOTDATA("Середнє з Ставка від 1 до 3 місяців",$A$3)</f>
        <v>0.99367836504432161</v>
      </c>
      <c r="E21" s="50">
        <f>GETPIVOTDATA("Середнє з Ставка від 3 до 6 місяців",$A$3,"Дата",3)/GETPIVOTDATA("Середнє з Ставка від 3 до 6 місяців",$A$3)</f>
        <v>1.0293481994713796</v>
      </c>
      <c r="F21" s="50">
        <f>GETPIVOTDATA("Середнє з Ставка від 6 до 12 місяців",$A$3,"Дата",3)/GETPIVOTDATA("Середнє з Ставка від 6 до 12 місяців",$A$3)</f>
        <v>1.0187379880482155</v>
      </c>
    </row>
    <row r="22" spans="1:6" x14ac:dyDescent="0.25">
      <c r="A22" s="35" t="s">
        <v>52</v>
      </c>
      <c r="B22" s="36">
        <f>8.11/8.25</f>
        <v>0.98303030303030292</v>
      </c>
      <c r="C22" s="36">
        <f>GETPIVOTDATA("Середнє з Ставка до 1 місяця",$A$3,"Дата",4)/GETPIVOTDATA("Середнє з Ставка до 1 місяця",$A$3)</f>
        <v>0.94155608271627322</v>
      </c>
      <c r="D22" s="50">
        <f>GETPIVOTDATA("Середнє з Ставка від 1 до 3 місяців",$A$3,"Дата",4)/GETPIVOTDATA("Середнє з Ставка від 1 до 3 місяців",$A$3)</f>
        <v>0.95501606108528636</v>
      </c>
      <c r="E22" s="50">
        <f>GETPIVOTDATA("Середнє з Ставка від 3 до 6 місяців",$A$3,"Дата",4)/GETPIVOTDATA("Середнє з Ставка від 3 до 6 місяців",$A$3)</f>
        <v>0.96952967119423028</v>
      </c>
      <c r="F22" s="50">
        <f>GETPIVOTDATA("Середнє з Ставка від 6 до 12 місяців",$A$3,"Дата",4)/GETPIVOTDATA("Середнє з Ставка від 6 до 12 місяців",$A$3)</f>
        <v>1.0418069976521187</v>
      </c>
    </row>
    <row r="23" spans="1:6" x14ac:dyDescent="0.25">
      <c r="A23" s="35" t="s">
        <v>53</v>
      </c>
      <c r="B23" s="36">
        <f>7.89/8.25</f>
        <v>0.9563636363636363</v>
      </c>
      <c r="C23" s="36">
        <f>GETPIVOTDATA("Середнє з Ставка до 1 місяця",$A$3,"Дата",5)/GETPIVOTDATA("Середнє з Ставка до 1 місяця",$A$3)</f>
        <v>0.92813306851977873</v>
      </c>
      <c r="D23" s="50">
        <f>GETPIVOTDATA("Середнє з Ставка від 1 до 3 місяців",$A$3,"Дата",5)/GETPIVOTDATA("Середнє з Ставка від 1 до 3 місяців",$A$3)</f>
        <v>0.97786184623272299</v>
      </c>
      <c r="E23" s="50">
        <f>GETPIVOTDATA("Середнє з Ставка від 3 до 6 місяців",$A$3,"Дата",5)/GETPIVOTDATA("Середнє з Ставка від 3 до 6 місяців",$A$3)</f>
        <v>0.99027890782413852</v>
      </c>
      <c r="F23" s="50">
        <f>GETPIVOTDATA("Середнє з Ставка від 6 до 12 місяців",$A$3,"Дата",5)/GETPIVOTDATA("Середнє з Ставка від 6 до 12 місяців",$A$3)</f>
        <v>0.97503090194892938</v>
      </c>
    </row>
    <row r="24" spans="1:6" x14ac:dyDescent="0.25">
      <c r="A24" s="35" t="s">
        <v>54</v>
      </c>
      <c r="B24" s="36">
        <f>8.05/8.25</f>
        <v>0.97575757575757582</v>
      </c>
      <c r="C24" s="36">
        <f>GETPIVOTDATA("Середнє з Ставка до 1 місяця",$A$3,"Дата",6)/GETPIVOTDATA("Середнє з Ставка до 1 місяця",$A$3)</f>
        <v>0.96100650356512918</v>
      </c>
      <c r="D24" s="50">
        <f>GETPIVOTDATA("Середнє з Ставка від 1 до 3 місяців",$A$3,"Дата",6)/GETPIVOTDATA("Середнє з Ставка від 1 до 3 місяців",$A$3)</f>
        <v>0.9977749762564293</v>
      </c>
      <c r="E24" s="50">
        <f>GETPIVOTDATA("Середнє з Ставка від 3 до 6 місяців",$A$3,"Дата",6)/GETPIVOTDATA("Середнє з Ставка від 3 до 6 місяців",$A$3)</f>
        <v>0.98097467350691581</v>
      </c>
      <c r="F24" s="50">
        <f>GETPIVOTDATA("Середнє з Ставка від 6 до 12 місяців",$A$3,"Дата",6)/GETPIVOTDATA("Середнє з Ставка від 6 до 12 місяців",$A$3)</f>
        <v>1.0481450040485241</v>
      </c>
    </row>
    <row r="25" spans="1:6" x14ac:dyDescent="0.25">
      <c r="A25" s="35" t="s">
        <v>55</v>
      </c>
      <c r="B25" s="36">
        <f>7.9/8.25</f>
        <v>0.95757575757575764</v>
      </c>
      <c r="C25" s="36">
        <f>GETPIVOTDATA("Середнє з Ставка до 1 місяця",$A$3,"Дата",7)/GETPIVOTDATA("Середнє з Ставка до 1 місяця",$A$3)</f>
        <v>0.93218066086818208</v>
      </c>
      <c r="D25" s="50">
        <f>GETPIVOTDATA("Середнє з Ставка від 1 до 3 місяців",$A$3,"Дата",7)/GETPIVOTDATA("Середнє з Ставка від 1 до 3 місяців",$A$3)</f>
        <v>0.95607128128505781</v>
      </c>
      <c r="E25" s="50">
        <f>GETPIVOTDATA("Середнє з Ставка від 3 до 6 місяців",$A$3,"Дата",7)/GETPIVOTDATA("Середнє з Ставка від 3 до 6 місяців",$A$3)</f>
        <v>0.98579222868681526</v>
      </c>
      <c r="F25" s="50">
        <f>GETPIVOTDATA("Середнє з Ставка від 6 до 12 місяців",$A$3,"Дата",7)/GETPIVOTDATA("Середнє з Ставка від 6 до 12 місяців",$A$3)</f>
        <v>0.99626307182245433</v>
      </c>
    </row>
    <row r="26" spans="1:6" x14ac:dyDescent="0.25">
      <c r="A26" s="35" t="s">
        <v>56</v>
      </c>
      <c r="B26" s="36">
        <f>7.85/8.25</f>
        <v>0.95151515151515142</v>
      </c>
      <c r="C26" s="36">
        <f>GETPIVOTDATA("Середнє з Ставка до 1 місяця",$A$3,"Дата",8)/GETPIVOTDATA("Середнє з Ставка до 1 місяця",$A$3)</f>
        <v>0.93762308619955981</v>
      </c>
      <c r="D26" s="50">
        <f>GETPIVOTDATA("Середнє з Ставка від 1 до 3 місяців",$A$3,"Дата",8)/GETPIVOTDATA("Середнє з Ставка від 1 до 3 місяців",$A$3)</f>
        <v>0.96828398207429012</v>
      </c>
      <c r="E26" s="50">
        <f>GETPIVOTDATA("Середнє з Ставка від 3 до 6 місяців",$A$3,"Дата",8)/GETPIVOTDATA("Середнє з Ставка від 3 до 6 місяців",$A$3)</f>
        <v>0.99362020439407983</v>
      </c>
      <c r="F26" s="50">
        <f>GETPIVOTDATA("Середнє з Ставка від 6 до 12 місяців",$A$3,"Дата",8)/GETPIVOTDATA("Середнє з Ставка від 6 до 12 місяців",$A$3)</f>
        <v>0.96208087874089399</v>
      </c>
    </row>
    <row r="27" spans="1:6" x14ac:dyDescent="0.25">
      <c r="A27" s="35" t="s">
        <v>57</v>
      </c>
      <c r="B27" s="36">
        <f>8.08/8.25</f>
        <v>0.97939393939393937</v>
      </c>
      <c r="C27" s="36">
        <f>GETPIVOTDATA("Середнє з Ставка до 1 місяця",$A$3,"Дата",9)/GETPIVOTDATA("Середнє з Ставка до 1 місяця",$A$3)</f>
        <v>0.97421398209165744</v>
      </c>
      <c r="D27" s="50">
        <f>GETPIVOTDATA("Середнє з Ставка від 1 до 3 місяців",$A$3,"Дата",9)/GETPIVOTDATA("Середнє з Ставка від 1 до 3 місяців",$A$3)</f>
        <v>0.95106246702715835</v>
      </c>
      <c r="E27" s="50">
        <f>GETPIVOTDATA("Середнє з Ставка від 3 до 6 місяців",$A$3,"Дата",9)/GETPIVOTDATA("Середнє з Ставка від 3 до 6 місяців",$A$3)</f>
        <v>0.95807198529991289</v>
      </c>
      <c r="F27" s="50">
        <f>GETPIVOTDATA("Середнє з Ставка від 6 до 12 місяців",$A$3,"Дата",9)/GETPIVOTDATA("Середнє з Ставка від 6 до 12 місяців",$A$3)</f>
        <v>0.98278745784008281</v>
      </c>
    </row>
    <row r="28" spans="1:6" x14ac:dyDescent="0.25">
      <c r="A28" s="35" t="s">
        <v>58</v>
      </c>
      <c r="B28" s="36">
        <f>8.67/8.25</f>
        <v>1.0509090909090908</v>
      </c>
      <c r="C28" s="36">
        <f>GETPIVOTDATA("Середнє з Ставка до 1 місяця",$A$3,"Дата",10)/GETPIVOTDATA("Середнє з Ставка до 1 місяця",$A$3)</f>
        <v>1.1143224061496568</v>
      </c>
      <c r="D28" s="50">
        <f>GETPIVOTDATA("Середнє з Ставка від 1 до 3 місяців",$A$3,"Дата",10)/GETPIVOTDATA("Середнє з Ставка від 1 до 3 місяців",$A$3)</f>
        <v>1.0131645861851764</v>
      </c>
      <c r="E28" s="50">
        <f>GETPIVOTDATA("Середнє з Ставка від 3 до 6 місяців",$A$3,"Дата",10)/GETPIVOTDATA("Середнє з Ставка від 3 до 6 місяців",$A$3)</f>
        <v>1.0268886875549019</v>
      </c>
      <c r="F28" s="50">
        <f>GETPIVOTDATA("Середнє з Ставка від 6 до 12 місяців",$A$3,"Дата",10)/GETPIVOTDATA("Середнє з Ставка від 6 до 12 місяців",$A$3)</f>
        <v>0.99679775586278252</v>
      </c>
    </row>
    <row r="29" spans="1:6" x14ac:dyDescent="0.25">
      <c r="A29" s="35" t="s">
        <v>59</v>
      </c>
      <c r="B29" s="36">
        <f>8.99/8.25</f>
        <v>1.0896969696969698</v>
      </c>
      <c r="C29" s="36">
        <f>GETPIVOTDATA("Середнє з Ставка до 1 місяця",$A$3,"Дата",11)/GETPIVOTDATA("Середнє з Ставка до 1 місяця",$A$3)</f>
        <v>1.1868079356514343</v>
      </c>
      <c r="D29" s="50">
        <f>GETPIVOTDATA("Середнє з Ставка від 1 до 3 місяців",$A$3,"Дата",11)/GETPIVOTDATA("Середнє з Ставка від 1 до 3 місяців",$A$3)</f>
        <v>1.0521145313864844</v>
      </c>
      <c r="E29" s="50">
        <f>GETPIVOTDATA("Середнє з Ставка від 3 до 6 місяців",$A$3,"Дата",11)/GETPIVOTDATA("Середнє з Ставка від 3 до 6 місяців",$A$3)</f>
        <v>0.97768576564371601</v>
      </c>
      <c r="F29" s="50">
        <f>GETPIVOTDATA("Середнє з Ставка від 6 до 12 місяців",$A$3,"Дата",11)/GETPIVOTDATA("Середнє з Ставка від 6 до 12 місяців",$A$3)</f>
        <v>0.98041411541617796</v>
      </c>
    </row>
    <row r="30" spans="1:6" x14ac:dyDescent="0.25">
      <c r="A30" s="35" t="s">
        <v>60</v>
      </c>
      <c r="B30" s="36">
        <f>8.67/8.25</f>
        <v>1.0509090909090908</v>
      </c>
      <c r="C30" s="36">
        <f>GETPIVOTDATA("Середнє з Ставка до 1 місяця",$A$3,"Дата",12)/GETPIVOTDATA("Середнє з Ставка до 1 місяця",$A$3)</f>
        <v>1.0981135247044833</v>
      </c>
      <c r="D30" s="50">
        <f>GETPIVOTDATA("Середнє з Ставка від 1 до 3 місяців",$A$3,"Дата",12)/GETPIVOTDATA("Середнє з Ставка від 1 до 3 місяців",$A$3)</f>
        <v>1.0959431291662278</v>
      </c>
      <c r="E30" s="50">
        <f>GETPIVOTDATA("Середнє з Ставка від 3 до 6 місяців",$A$3,"Дата",12)/GETPIVOTDATA("Середнє з Ставка від 3 до 6 місяців",$A$3)</f>
        <v>1.0051639180594671</v>
      </c>
      <c r="F30" s="50">
        <f>GETPIVOTDATA("Середнє з Ставка від 6 до 12 місяців",$A$3,"Дата",12)/GETPIVOTDATA("Середнє з Ставка від 6 до 12 місяців",$A$3)</f>
        <v>0.94244609259329259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Дані</vt:lpstr>
      <vt:lpstr>Зведена_Депозит_Всього_Квартали</vt:lpstr>
      <vt:lpstr>Зведена_Ставки_Квартали</vt:lpstr>
      <vt:lpstr>Індекс_Сезонності_Квартали</vt:lpstr>
      <vt:lpstr>Індекс_Сезонності_Місяці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Користувач Windows</cp:lastModifiedBy>
  <dcterms:created xsi:type="dcterms:W3CDTF">2023-02-12T14:42:30Z</dcterms:created>
  <dcterms:modified xsi:type="dcterms:W3CDTF">2023-02-18T11:59:27Z</dcterms:modified>
</cp:coreProperties>
</file>